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55" yWindow="15" windowWidth="21720" windowHeight="12120" activeTab="1"/>
  </bookViews>
  <sheets>
    <sheet name="Fig 15-1 - Nomenclature" sheetId="1" r:id="rId1"/>
    <sheet name="Example 15-1" sheetId="2" r:id="rId2"/>
    <sheet name="Example 15-2" sheetId="3" r:id="rId3"/>
    <sheet name="Example 15-3" sheetId="4" r:id="rId4"/>
    <sheet name="Example 15-4" sheetId="5" r:id="rId5"/>
    <sheet name="Limits" sheetId="6" r:id="rId6"/>
  </sheets>
  <calcPr calcId="145621"/>
  <customWorkbookViews>
    <customWorkbookView name="Howard S. Meyer - Personal View" guid="{4F8C502A-1B49-4129-81FD-D7C5FEE19727}" mergeInterval="0" personalView="1" maximized="1" xWindow="1" yWindow="1" windowWidth="1436" windowHeight="548" activeSheetId="1"/>
  </customWorkbookViews>
</workbook>
</file>

<file path=xl/calcChain.xml><?xml version="1.0" encoding="utf-8"?>
<calcChain xmlns="http://schemas.openxmlformats.org/spreadsheetml/2006/main">
  <c r="J59" i="2" l="1"/>
  <c r="J26" i="3"/>
  <c r="B38" i="4" l="1"/>
  <c r="J28" i="4"/>
  <c r="B28" i="4"/>
  <c r="B55" i="3"/>
  <c r="A56" i="3" s="1"/>
  <c r="B57" i="3"/>
  <c r="K53" i="2"/>
  <c r="I54" i="2" s="1"/>
  <c r="C53" i="2"/>
  <c r="J40" i="2"/>
  <c r="A47" i="2"/>
  <c r="L57" i="2"/>
  <c r="K91" i="2"/>
  <c r="J55" i="3"/>
  <c r="J57" i="3" s="1"/>
  <c r="I29" i="2"/>
  <c r="I54" i="3"/>
  <c r="A54" i="3"/>
  <c r="I43" i="3"/>
  <c r="A43" i="3"/>
  <c r="I40" i="3"/>
  <c r="A40" i="3"/>
  <c r="I91" i="2"/>
  <c r="C91" i="2"/>
  <c r="A91" i="2"/>
  <c r="M88" i="2"/>
  <c r="K88" i="2"/>
  <c r="E88" i="2"/>
  <c r="C88" i="2"/>
  <c r="I75" i="2"/>
  <c r="A75" i="2"/>
  <c r="K70" i="2"/>
  <c r="C70" i="2"/>
  <c r="K65" i="2"/>
  <c r="C65" i="2"/>
  <c r="I57" i="2"/>
  <c r="D57" i="2"/>
  <c r="A57" i="2"/>
  <c r="A54" i="2"/>
  <c r="B40" i="2"/>
  <c r="I56" i="3" l="1"/>
  <c r="J41" i="2"/>
  <c r="B41" i="2"/>
  <c r="B43" i="2" s="1"/>
  <c r="I42" i="2" l="1"/>
  <c r="J43" i="2"/>
  <c r="J45" i="2" s="1"/>
  <c r="J50" i="2" s="1"/>
  <c r="A42" i="2"/>
  <c r="B45" i="2"/>
  <c r="A44" i="2"/>
  <c r="I44" i="2"/>
  <c r="I92" i="2" l="1"/>
  <c r="K92" i="2"/>
  <c r="I93" i="2" s="1"/>
  <c r="I59" i="2"/>
  <c r="J79" i="2"/>
  <c r="B79" i="2"/>
  <c r="B50" i="2"/>
  <c r="A48" i="2"/>
  <c r="I60" i="2" l="1"/>
  <c r="K60" i="2"/>
  <c r="J71" i="2" s="1"/>
  <c r="B83" i="2"/>
  <c r="B81" i="2"/>
  <c r="A86" i="2" s="1"/>
  <c r="A92" i="2"/>
  <c r="A59" i="2"/>
  <c r="C92" i="2"/>
  <c r="B59" i="2"/>
  <c r="J83" i="2"/>
  <c r="J81" i="2"/>
  <c r="I86" i="2" s="1"/>
  <c r="J93" i="2"/>
  <c r="A60" i="2" l="1"/>
  <c r="C60" i="2"/>
  <c r="A93" i="2"/>
  <c r="B93" i="2"/>
  <c r="B71" i="2" l="1"/>
  <c r="B66" i="2"/>
  <c r="J66" i="2"/>
  <c r="I23" i="4" l="1"/>
  <c r="J24" i="5"/>
  <c r="I23" i="5"/>
  <c r="J22" i="5"/>
  <c r="I21" i="5"/>
  <c r="B22" i="5"/>
  <c r="A23" i="4"/>
  <c r="J38" i="4"/>
  <c r="J26" i="5" l="1"/>
  <c r="I25" i="5"/>
  <c r="B26" i="3" l="1"/>
  <c r="A29" i="2"/>
  <c r="A18" i="3"/>
  <c r="A15" i="3"/>
  <c r="I39" i="2"/>
  <c r="I32" i="2"/>
  <c r="I23" i="2"/>
  <c r="A23" i="2"/>
  <c r="K18" i="5" l="1"/>
  <c r="C18" i="5"/>
  <c r="A21" i="5"/>
  <c r="B24" i="5"/>
  <c r="A23" i="5"/>
  <c r="J37" i="4"/>
  <c r="J36" i="4"/>
  <c r="J27" i="4"/>
  <c r="J26" i="4"/>
  <c r="I21" i="4"/>
  <c r="I19" i="4"/>
  <c r="I17" i="4"/>
  <c r="I15" i="4"/>
  <c r="B37" i="4"/>
  <c r="B36" i="4"/>
  <c r="B27" i="4"/>
  <c r="B26" i="4"/>
  <c r="A21" i="4"/>
  <c r="A19" i="4"/>
  <c r="A17" i="4"/>
  <c r="A15" i="4"/>
  <c r="I25" i="3"/>
  <c r="I18" i="3"/>
  <c r="I15" i="3"/>
  <c r="A25" i="3"/>
  <c r="A39" i="2"/>
  <c r="A32" i="2"/>
  <c r="A25" i="5"/>
  <c r="J27" i="3"/>
  <c r="I28" i="3" s="1"/>
  <c r="A27" i="5" l="1"/>
  <c r="B26" i="5"/>
  <c r="J29" i="3"/>
  <c r="I27" i="5"/>
  <c r="J28" i="5"/>
  <c r="J30" i="5" s="1"/>
  <c r="B28" i="5"/>
  <c r="B30" i="5" s="1"/>
  <c r="B27" i="3"/>
  <c r="A29" i="5" l="1"/>
  <c r="I29" i="5"/>
  <c r="I30" i="3"/>
  <c r="J31" i="3"/>
  <c r="B29" i="3"/>
  <c r="A28" i="3"/>
  <c r="B31" i="3" l="1"/>
  <c r="A30" i="3"/>
  <c r="I34" i="3"/>
  <c r="J36" i="3"/>
  <c r="I46" i="3" l="1"/>
  <c r="J47" i="3"/>
  <c r="B36" i="3"/>
  <c r="A34" i="3"/>
  <c r="J49" i="3" l="1"/>
  <c r="I48" i="3"/>
  <c r="A46" i="3"/>
  <c r="B47" i="3"/>
  <c r="A48" i="3" l="1"/>
  <c r="B49" i="3"/>
</calcChain>
</file>

<file path=xl/sharedStrings.xml><?xml version="1.0" encoding="utf-8"?>
<sst xmlns="http://schemas.openxmlformats.org/spreadsheetml/2006/main" count="658" uniqueCount="225">
  <si>
    <t>D</t>
  </si>
  <si>
    <t>ρ</t>
  </si>
  <si>
    <t>F</t>
  </si>
  <si>
    <t>=</t>
  </si>
  <si>
    <t>P</t>
  </si>
  <si>
    <t>S</t>
  </si>
  <si>
    <t>Nomenclature</t>
  </si>
  <si>
    <t>°F</t>
  </si>
  <si>
    <t>psia</t>
  </si>
  <si>
    <t>A</t>
  </si>
  <si>
    <t>ASR</t>
  </si>
  <si>
    <t>BMEP</t>
  </si>
  <si>
    <t>N</t>
  </si>
  <si>
    <t>s</t>
  </si>
  <si>
    <r>
      <t>s</t>
    </r>
    <r>
      <rPr>
        <vertAlign val="subscript"/>
        <sz val="10"/>
        <rFont val="Times New Roman"/>
        <family val="1"/>
      </rPr>
      <t>f</t>
    </r>
  </si>
  <si>
    <r>
      <t>s</t>
    </r>
    <r>
      <rPr>
        <vertAlign val="subscript"/>
        <sz val="10"/>
        <rFont val="Times New Roman"/>
        <family val="1"/>
      </rPr>
      <t>g</t>
    </r>
  </si>
  <si>
    <t>TSR</t>
  </si>
  <si>
    <t>v</t>
  </si>
  <si>
    <t>f</t>
  </si>
  <si>
    <t>h</t>
  </si>
  <si>
    <r>
      <t>h</t>
    </r>
    <r>
      <rPr>
        <vertAlign val="subscript"/>
        <sz val="10"/>
        <rFont val="Times New Roman"/>
        <family val="1"/>
      </rPr>
      <t>f</t>
    </r>
  </si>
  <si>
    <r>
      <t>h</t>
    </r>
    <r>
      <rPr>
        <vertAlign val="subscript"/>
        <sz val="10"/>
        <rFont val="Times New Roman"/>
        <family val="1"/>
      </rPr>
      <t>g</t>
    </r>
  </si>
  <si>
    <t>area, sq in.</t>
  </si>
  <si>
    <t>actual steam rate, lb/(hp • hr)</t>
  </si>
  <si>
    <t>break mean effective pressure, psi</t>
  </si>
  <si>
    <t>diameter, in.</t>
  </si>
  <si>
    <t>steam low, lb/hr</t>
  </si>
  <si>
    <t>frequency, Hz</t>
  </si>
  <si>
    <t>specific enthalpy of superheated steam, Btu/lb</t>
  </si>
  <si>
    <t>specific enthalpy of saturated water, Btu/lb</t>
  </si>
  <si>
    <t>specific enthalpy of saturated steam, Btu/lb</t>
  </si>
  <si>
    <t>number of power strokes per min</t>
  </si>
  <si>
    <t>number of magnetic poles in motor</t>
  </si>
  <si>
    <t>specific entropy of superheated steam, Btu/(lb • °F)</t>
  </si>
  <si>
    <t>specific entropy of saturated water, Btu/(lb • °F)</t>
  </si>
  <si>
    <t>specific entropy of saturated steam, Btu/(lb • °F)</t>
  </si>
  <si>
    <t>piston stroke, ft</t>
  </si>
  <si>
    <t>theoretical steam rate, lb/(hp • hr)</t>
  </si>
  <si>
    <t>velocity, ft/sec</t>
  </si>
  <si>
    <t>density, lb/cu ft</t>
  </si>
  <si>
    <t>KEY</t>
  </si>
  <si>
    <t>Example calculation from the book</t>
  </si>
  <si>
    <t>Application worksheet for user to fill out</t>
  </si>
  <si>
    <t>FIG. 15-1</t>
  </si>
  <si>
    <t>Example 15-1</t>
  </si>
  <si>
    <t>Example 15-2</t>
  </si>
  <si>
    <t>Given a steam turbine application with the following characterisics:</t>
  </si>
  <si>
    <t>Inlet Pressure</t>
  </si>
  <si>
    <t>Inlet Temperature</t>
  </si>
  <si>
    <t>Exhaust Pressure</t>
  </si>
  <si>
    <t>Required Horsepower</t>
  </si>
  <si>
    <t>Speed</t>
  </si>
  <si>
    <t>rpm</t>
  </si>
  <si>
    <t>Determine</t>
  </si>
  <si>
    <t>The actual steam rate (ASR)</t>
  </si>
  <si>
    <t>The inlet and exhaust nozzle diameters</t>
  </si>
  <si>
    <t>The approximate number of stages</t>
  </si>
  <si>
    <t>Btu/(lb • °F)</t>
  </si>
  <si>
    <t>s =</t>
  </si>
  <si>
    <t>h =</t>
  </si>
  <si>
    <t>Btu/lb</t>
  </si>
  <si>
    <r>
      <t>s</t>
    </r>
    <r>
      <rPr>
        <vertAlign val="subscript"/>
        <sz val="11"/>
        <rFont val="Times New Roman"/>
        <family val="1"/>
      </rPr>
      <t>f</t>
    </r>
    <r>
      <rPr>
        <sz val="11"/>
        <rFont val="Times New Roman"/>
        <family val="1"/>
      </rPr>
      <t xml:space="preserve"> =</t>
    </r>
  </si>
  <si>
    <r>
      <t>s</t>
    </r>
    <r>
      <rPr>
        <vertAlign val="subscript"/>
        <sz val="11"/>
        <rFont val="Times New Roman"/>
        <family val="1"/>
      </rPr>
      <t>g</t>
    </r>
    <r>
      <rPr>
        <sz val="11"/>
        <rFont val="Times New Roman"/>
        <family val="1"/>
      </rPr>
      <t xml:space="preserve"> =</t>
    </r>
  </si>
  <si>
    <r>
      <t>h</t>
    </r>
    <r>
      <rPr>
        <vertAlign val="subscript"/>
        <sz val="11"/>
        <rFont val="Times New Roman"/>
        <family val="1"/>
      </rPr>
      <t>f</t>
    </r>
    <r>
      <rPr>
        <sz val="11"/>
        <rFont val="Times New Roman"/>
        <family val="1"/>
      </rPr>
      <t xml:space="preserve"> =</t>
    </r>
  </si>
  <si>
    <r>
      <t>h</t>
    </r>
    <r>
      <rPr>
        <vertAlign val="subscript"/>
        <sz val="11"/>
        <rFont val="Times New Roman"/>
        <family val="1"/>
      </rPr>
      <t>g</t>
    </r>
    <r>
      <rPr>
        <sz val="11"/>
        <rFont val="Times New Roman"/>
        <family val="1"/>
      </rPr>
      <t xml:space="preserve"> =</t>
    </r>
  </si>
  <si>
    <t>Letting x equal the liquid fraction in the exhaust, and equating the inlet and exhaust entropies:</t>
  </si>
  <si>
    <t>x =</t>
  </si>
  <si>
    <t>1 - x =</t>
  </si>
  <si>
    <t xml:space="preserve"> (vapor fraction in the exhaust)</t>
  </si>
  <si>
    <t>Substituting Btu = (hp • hr)/2544:</t>
  </si>
  <si>
    <t>TSR = the absolute value of the inverse of the enthalpy change</t>
  </si>
  <si>
    <t>lb/(hp • hr)</t>
  </si>
  <si>
    <t>Basic efficiency =</t>
  </si>
  <si>
    <t>Determine the ASR and total steam requirements for a multi-stage turbine and a single stage turbine at the following conditions:</t>
  </si>
  <si>
    <t>psig</t>
  </si>
  <si>
    <t>Outlet Pressure</t>
  </si>
  <si>
    <t>Horsepower</t>
  </si>
  <si>
    <t>hp</t>
  </si>
  <si>
    <t>For a multi-stage turbine:</t>
  </si>
  <si>
    <t>Fig. 15-13</t>
  </si>
  <si>
    <r>
      <t>Example 15-3</t>
    </r>
    <r>
      <rPr>
        <sz val="11"/>
        <rFont val="Times New Roman"/>
        <family val="1"/>
      </rPr>
      <t/>
    </r>
  </si>
  <si>
    <t>Application 15-3</t>
  </si>
  <si>
    <t>Calculate maximum available site power and heat rate for the example gas turbine at the following conditions:</t>
  </si>
  <si>
    <t>Turbine ISO Horsepower</t>
  </si>
  <si>
    <t>Turbine ISO Heat Rate</t>
  </si>
  <si>
    <t>Btu/(hp • hr)</t>
  </si>
  <si>
    <t>Ambient Temperature</t>
  </si>
  <si>
    <t>Altitude</t>
  </si>
  <si>
    <t>ft  (above sea level)</t>
  </si>
  <si>
    <t>Inlet Pressure Drop</t>
  </si>
  <si>
    <t>Exhaust Pressure Drop</t>
  </si>
  <si>
    <t>Relative Humidity</t>
  </si>
  <si>
    <t>Fuel</t>
  </si>
  <si>
    <t>Natural Gas</t>
  </si>
  <si>
    <r>
      <t>in. H</t>
    </r>
    <r>
      <rPr>
        <vertAlign val="subscript"/>
        <sz val="11"/>
        <rFont val="Times New Roman"/>
        <family val="1"/>
      </rPr>
      <t>2</t>
    </r>
    <r>
      <rPr>
        <sz val="11"/>
        <rFont val="Times New Roman"/>
        <family val="1"/>
      </rPr>
      <t>O</t>
    </r>
  </si>
  <si>
    <t xml:space="preserve">correction factor is </t>
  </si>
  <si>
    <t>Calculate the maximum available site power by multiplying maximum-no-loss power by each of the correction factors.</t>
  </si>
  <si>
    <t>Power (site) =</t>
  </si>
  <si>
    <t>Exhaust loss factor</t>
  </si>
  <si>
    <t>Temperature factor</t>
  </si>
  <si>
    <t>Inlet loss factor</t>
  </si>
  <si>
    <t>Calculate site heat rate by multiplying no-loss heat rate by the correction factors.</t>
  </si>
  <si>
    <t>Heat rate (site) =</t>
  </si>
  <si>
    <t>Example 15-4</t>
  </si>
  <si>
    <t>Application 15-4</t>
  </si>
  <si>
    <t>RPM</t>
  </si>
  <si>
    <t>Sea level</t>
  </si>
  <si>
    <t>Full power rating</t>
  </si>
  <si>
    <t>From Fig. 15-35</t>
  </si>
  <si>
    <t>Full Power</t>
  </si>
  <si>
    <t>bhp</t>
  </si>
  <si>
    <t>Heat rate</t>
  </si>
  <si>
    <t>Btu/(bhp • hr), LHV</t>
  </si>
  <si>
    <t>Btu/(bhp • hr)</t>
  </si>
  <si>
    <t>Therefore:</t>
  </si>
  <si>
    <t>MMBtu/hr</t>
  </si>
  <si>
    <t>For the heat rate find the inlet loss correction factor, exhaust loss correction factor, and ambient temperature correction factor from Figs. 15-29, 15-30, and 15-31, respectively.  (Note: Heat rate is not affected by altitude. Relative humidity has a very slight affect.)</t>
  </si>
  <si>
    <t>Rotation speed =</t>
  </si>
  <si>
    <t>Inlet air temperature =</t>
  </si>
  <si>
    <t>Altitude =</t>
  </si>
  <si>
    <t xml:space="preserve">Power rating = </t>
  </si>
  <si>
    <t>Water cooling</t>
  </si>
  <si>
    <t>Oil cooling</t>
  </si>
  <si>
    <t>Turbo Intercooling</t>
  </si>
  <si>
    <t>Radiation</t>
  </si>
  <si>
    <t xml:space="preserve">Heat rejected to: </t>
  </si>
  <si>
    <t>Numbers that must be filled in according to graphs and charts</t>
  </si>
  <si>
    <t>Numbers that must be filled in according to the user's data and specific situation</t>
  </si>
  <si>
    <t>From Fig. 24-30, for saturated steam at the turbine exhaust pressure, the liquid and vapor entropies are:</t>
  </si>
  <si>
    <t>Since the inlet entropy is within this range, the theoretical exhaust must be two-phase.  Had the exhaust-vapor entropy been equal to the inlet entropy, the exhaust would be single-phase vapor (i.e. at its dewpoint).  Had the exhaust-vapor entropy been below the inlet entropy, the assumed two-phase exhaust would have been incorrect and Fig. 24-31 instead of 24-30 would be applicable.</t>
  </si>
  <si>
    <t>Fig. 24-31</t>
  </si>
  <si>
    <t>Fig. 24-30</t>
  </si>
  <si>
    <t>Saturation Temperature at Inlet Conditions</t>
  </si>
  <si>
    <t xml:space="preserve">Using Figs. 24-30 and 31, the theoretical steam rate (TSR) may be determined from the difference in the inlet enthalpy and the theoretical exhaust enthalpy (i.e. isentropic exhaust enthalpy), but first the inlet and exhaust states should be confirmed. </t>
  </si>
  <si>
    <t xml:space="preserve">The steam rate at a partial load of </t>
  </si>
  <si>
    <t xml:space="preserve"> rpm</t>
  </si>
  <si>
    <t xml:space="preserve"> hp and</t>
  </si>
  <si>
    <t>.</t>
  </si>
  <si>
    <t>Examining Figs. 24-30 and 31 in the same way as in Example 15-1, the turbine inlet is superheated, and the exhaust is two-phase.</t>
  </si>
  <si>
    <t>Examining Figs. 24-30 and 31in the same way as in Example 15-1, the turbine inlet is superheated, and the exhaust is two-phase.</t>
  </si>
  <si>
    <t xml:space="preserve"> (fraction vapor in the exhaust)</t>
  </si>
  <si>
    <t>Solution Steps</t>
  </si>
  <si>
    <t xml:space="preserve">. </t>
  </si>
  <si>
    <t xml:space="preserve">Calculate the thermal efficiency, total heat rejected, and total exhaust heat for a </t>
  </si>
  <si>
    <t>Waukesha L7042GL</t>
  </si>
  <si>
    <t xml:space="preserve"> at:</t>
  </si>
  <si>
    <t>Substituting 1 Btu = (hp • hr)/2544:</t>
  </si>
  <si>
    <t>For the heat rate find the inlet loss correction factor, exhaust loss correction factor, and ambient temperature correction factor from Figs. 15-29, 15-30, and 15-31, respectively.  (Note: Heat rate is not affected by altitude.)</t>
  </si>
  <si>
    <t>column 2</t>
  </si>
  <si>
    <t>column 6</t>
  </si>
  <si>
    <t>column 7</t>
  </si>
  <si>
    <t>column 8</t>
  </si>
  <si>
    <t>column 9</t>
  </si>
  <si>
    <t>column 10</t>
  </si>
  <si>
    <t>Application 15-2</t>
  </si>
  <si>
    <t>Application 15-1</t>
  </si>
  <si>
    <t>Fig. 15-12</t>
  </si>
  <si>
    <t xml:space="preserve">Inlet saturation temperature = </t>
  </si>
  <si>
    <t xml:space="preserve">  first column Fig. 24-31</t>
  </si>
  <si>
    <t xml:space="preserve">Superheat efficiency-correction factor = </t>
  </si>
  <si>
    <t>Fig. 15-14</t>
  </si>
  <si>
    <t xml:space="preserve">Speed efficiency-correction factor = </t>
  </si>
  <si>
    <t>Fig. 15-16</t>
  </si>
  <si>
    <t>lb/hr</t>
  </si>
  <si>
    <t>The inlet and exhaust diameters may be estimated from the equation:</t>
  </si>
  <si>
    <t>D = √[ ((.051) (F)) / (ρv) ]</t>
  </si>
  <si>
    <t>Eq 15-1</t>
  </si>
  <si>
    <t>A reasonable rule of thumb for maximum velocity of the inlet stream is:</t>
  </si>
  <si>
    <t xml:space="preserve"> ft/sec</t>
  </si>
  <si>
    <t xml:space="preserve">ρ = 1/ν = </t>
  </si>
  <si>
    <t>D =</t>
  </si>
  <si>
    <t>in.</t>
  </si>
  <si>
    <t xml:space="preserve">A </t>
  </si>
  <si>
    <t xml:space="preserve"> in. NPS (minimum) inlet nozzle would be selected.</t>
  </si>
  <si>
    <t>Fig. 17-26</t>
  </si>
  <si>
    <t>A reasonable rule of thumb for maximum velocity of the exhaust stream is:</t>
  </si>
  <si>
    <t>ρ =</t>
  </si>
  <si>
    <t xml:space="preserve"> in. NPS pipe exhaust nozzle would be selected.</t>
  </si>
  <si>
    <t>The number of stages may be estimated using Fig. 15-18.  Drawing a horizontal line from the</t>
  </si>
  <si>
    <t>and</t>
  </si>
  <si>
    <t>stages per 100 Btu/lb</t>
  </si>
  <si>
    <t>of available energy would be acceptable.</t>
  </si>
  <si>
    <t>Available Energy (theoretical) (i.e., the isentropic enthalpy change calculated above)</t>
  </si>
  <si>
    <t>Number of Stages</t>
  </si>
  <si>
    <t>(approximately)</t>
  </si>
  <si>
    <t>or, Number of Stages</t>
  </si>
  <si>
    <t>The higher number of stages would provide increased efficiency but at additional cost.</t>
  </si>
  <si>
    <t>from Fig. 15-11, a part load efficiency factor of approximately</t>
  </si>
  <si>
    <t>is obtained.  From</t>
  </si>
  <si>
    <t>Fig. 15-12, the basic efficiency at</t>
  </si>
  <si>
    <t>hp and</t>
  </si>
  <si>
    <t xml:space="preserve"> RPM is</t>
  </si>
  <si>
    <t>estimated to be</t>
  </si>
  <si>
    <t xml:space="preserve"> lb/(hp • hr)</t>
  </si>
  <si>
    <t>°F  (interpolating first column of Fig. 24-31)</t>
  </si>
  <si>
    <t>°F  (interpolating first column of Fig. 24-38)</t>
  </si>
  <si>
    <t>Fig. 15-15</t>
  </si>
  <si>
    <t>Pressure ratio efficiency-correction factor =</t>
  </si>
  <si>
    <t>Fig. 15-17</t>
  </si>
  <si>
    <t>For a single stage turbine:</t>
  </si>
  <si>
    <t>Approximate Steam Rate =</t>
  </si>
  <si>
    <t>Fig. 15-19 Step 1</t>
  </si>
  <si>
    <t>Efficiency-correction factor =</t>
  </si>
  <si>
    <t>Fig. 15-19 Step 2</t>
  </si>
  <si>
    <t>Figs. 15-11 through 15-19 and 24-30 and 24-31 allow estimates to be made of steam rate, turbine efficiency, number of stages, and the inlet and exhaust nozzle diameters. The follow following examples illustrate the use of these figures:</t>
  </si>
  <si>
    <t>Substituting Btu = (hp . hr)/2544</t>
  </si>
  <si>
    <t>Enthalpy change = (-444.2/2544) = (-1/5.727)(hp • hr)/lb</t>
  </si>
  <si>
    <t xml:space="preserve">Btu/(lb • °F) and </t>
  </si>
  <si>
    <t>Btu/(lb • °F) and</t>
  </si>
  <si>
    <t>at:</t>
  </si>
  <si>
    <t xml:space="preserve">Calculate the thermal efficiency, total heat rejected, and total exhaust heat for a  </t>
  </si>
  <si>
    <t>Typical ranges for design parameters for steam turbine types</t>
  </si>
  <si>
    <t>Inlet pressure, psig</t>
  </si>
  <si>
    <t>30-2000</t>
  </si>
  <si>
    <t>saturated - 1000</t>
  </si>
  <si>
    <t>Exhaust pressure, psig</t>
  </si>
  <si>
    <t>saturated - 700</t>
  </si>
  <si>
    <t>Speed, rpm</t>
  </si>
  <si>
    <t>1800-14,000</t>
  </si>
  <si>
    <t>Inlet temperature, °F</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</si>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</sst>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00"/>
    <numFmt numFmtId="165" formatCode="0.0000"/>
    <numFmt numFmtId="166" formatCode="0.0"/>
    <numFmt numFmtId="167" formatCode="0.0%"/>
    <numFmt numFmtId="168" formatCode="_(* #,##0.000_);_(* \(#,##0.000\);_(* &quot;-&quot;??_);_(@_)"/>
    <numFmt numFmtId="169" formatCode="_(* #,##0_);_(* \(#,##0\);_(* &quot;-&quot;??_);_(@_)"/>
  </numFmts>
  <fonts count="17" x14ac:knownFonts="1">
    <font>
      <sz val="10"/>
      <name val="Arial"/>
    </font>
    <font>
      <sz val="10"/>
      <name val="Times New Roman"/>
      <family val="1"/>
    </font>
    <font>
      <vertAlign val="subscript"/>
      <sz val="10"/>
      <name val="Times New Roman"/>
      <family val="1"/>
    </font>
    <font>
      <sz val="8"/>
      <name val="Arial"/>
      <family val="2"/>
    </font>
    <font>
      <b/>
      <sz val="10"/>
      <name val="Arial"/>
      <family val="2"/>
    </font>
    <font>
      <b/>
      <sz val="11"/>
      <name val="Times New Roman"/>
      <family val="1"/>
    </font>
    <font>
      <sz val="11"/>
      <name val="Times New Roman"/>
      <family val="1"/>
    </font>
    <font>
      <vertAlign val="subscript"/>
      <sz val="11"/>
      <name val="Times New Roman"/>
      <family val="1"/>
    </font>
    <font>
      <sz val="11"/>
      <color indexed="18"/>
      <name val="Times New Roman"/>
      <family val="1"/>
    </font>
    <font>
      <b/>
      <sz val="16"/>
      <color indexed="8"/>
      <name val="Times New Roman"/>
      <family val="1"/>
    </font>
    <font>
      <sz val="11"/>
      <color indexed="8"/>
      <name val="Times New Roman"/>
      <family val="1"/>
    </font>
    <font>
      <sz val="10"/>
      <color indexed="8"/>
      <name val="Times New Roman"/>
      <family val="1"/>
    </font>
    <font>
      <sz val="10"/>
      <name val="Arial"/>
      <family val="2"/>
    </font>
    <font>
      <sz val="10"/>
      <name val="Arial"/>
      <family val="2"/>
    </font>
    <font>
      <b/>
      <sz val="11"/>
      <color indexed="18"/>
      <name val="Times New Roman"/>
      <family val="1"/>
    </font>
    <font>
      <sz val="10"/>
      <name val="Arial"/>
      <family val="2"/>
    </font>
    <font>
      <sz val="11"/>
      <color theme="5" tint="-0.249977111117893"/>
      <name val="Times New Roman"/>
      <family val="1"/>
    </font>
  </fonts>
  <fills count="8">
    <fill>
      <patternFill patternType="none"/>
    </fill>
    <fill>
      <patternFill patternType="gray125"/>
    </fill>
    <fill>
      <patternFill patternType="solid">
        <fgColor indexed="42"/>
        <bgColor indexed="64"/>
      </patternFill>
    </fill>
    <fill>
      <patternFill patternType="solid">
        <fgColor indexed="52"/>
        <bgColor indexed="64"/>
      </patternFill>
    </fill>
    <fill>
      <patternFill patternType="solid">
        <fgColor indexed="13"/>
        <bgColor indexed="64"/>
      </patternFill>
    </fill>
    <fill>
      <patternFill patternType="solid">
        <fgColor theme="4"/>
        <bgColor indexed="64"/>
      </patternFill>
    </fill>
    <fill>
      <patternFill patternType="solid">
        <fgColor theme="6" tint="0.59999389629810485"/>
        <bgColor indexed="64"/>
      </patternFill>
    </fill>
    <fill>
      <patternFill patternType="solid">
        <fgColor theme="9" tint="0.59999389629810485"/>
        <bgColor indexed="64"/>
      </patternFill>
    </fill>
  </fills>
  <borders count="2">
    <border>
      <left/>
      <right/>
      <top/>
      <bottom/>
      <diagonal/>
    </border>
    <border>
      <left/>
      <right/>
      <top/>
      <bottom style="medium">
        <color indexed="64"/>
      </bottom>
      <diagonal/>
    </border>
  </borders>
  <cellStyleXfs count="3">
    <xf numFmtId="0" fontId="0" fillId="0" borderId="0"/>
    <xf numFmtId="9" fontId="13" fillId="0" borderId="0" applyFont="0" applyFill="0" applyBorder="0" applyAlignment="0" applyProtection="0"/>
    <xf numFmtId="43" fontId="15" fillId="0" borderId="0" applyFont="0" applyFill="0" applyBorder="0" applyAlignment="0" applyProtection="0"/>
  </cellStyleXfs>
  <cellXfs count="121">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top" wrapText="1"/>
    </xf>
    <xf numFmtId="0" fontId="0" fillId="0" borderId="0" xfId="0" applyAlignment="1">
      <alignment horizontal="center" vertical="top"/>
    </xf>
    <xf numFmtId="0" fontId="6" fillId="2" borderId="0" xfId="0" applyFont="1" applyFill="1" applyBorder="1"/>
    <xf numFmtId="0" fontId="9" fillId="0" borderId="0" xfId="0" applyFont="1"/>
    <xf numFmtId="0" fontId="10" fillId="0" borderId="0" xfId="0" applyFont="1"/>
    <xf numFmtId="0" fontId="11" fillId="0" borderId="0" xfId="0" applyFont="1" applyAlignment="1">
      <alignment horizontal="center"/>
    </xf>
    <xf numFmtId="0" fontId="11" fillId="0" borderId="0" xfId="0" applyFont="1"/>
    <xf numFmtId="0" fontId="6" fillId="3" borderId="0" xfId="0" applyFont="1" applyFill="1" applyBorder="1"/>
    <xf numFmtId="0" fontId="6" fillId="4" borderId="0" xfId="0" applyFont="1" applyFill="1" applyBorder="1" applyAlignment="1">
      <alignment horizontal="center"/>
    </xf>
    <xf numFmtId="0" fontId="1" fillId="5" borderId="0" xfId="0" applyFont="1" applyFill="1" applyAlignment="1">
      <alignment horizontal="center" vertical="top"/>
    </xf>
    <xf numFmtId="0" fontId="12" fillId="0" borderId="0" xfId="0" applyFont="1" applyAlignment="1">
      <alignment horizontal="center" vertical="top"/>
    </xf>
    <xf numFmtId="0" fontId="1" fillId="0" borderId="0" xfId="0" applyFont="1" applyAlignment="1">
      <alignment vertical="top"/>
    </xf>
    <xf numFmtId="2" fontId="0" fillId="0" borderId="0" xfId="0" applyNumberFormat="1" applyAlignment="1">
      <alignment horizontal="center" vertical="top"/>
    </xf>
    <xf numFmtId="2" fontId="1" fillId="0" borderId="0" xfId="0" applyNumberFormat="1" applyFont="1"/>
    <xf numFmtId="166" fontId="1" fillId="0" borderId="0" xfId="0" applyNumberFormat="1" applyFont="1"/>
    <xf numFmtId="0" fontId="12" fillId="0" borderId="0" xfId="0" applyFont="1"/>
    <xf numFmtId="0" fontId="4" fillId="0" borderId="0" xfId="0" applyFont="1" applyAlignment="1">
      <alignment horizontal="center" vertical="top" wrapText="1"/>
    </xf>
    <xf numFmtId="0" fontId="0" fillId="0" borderId="0" xfId="0" applyAlignment="1">
      <alignment horizontal="center"/>
    </xf>
    <xf numFmtId="0" fontId="4" fillId="0" borderId="1" xfId="0" applyFont="1" applyBorder="1" applyAlignment="1">
      <alignment horizontal="center" vertical="top" wrapText="1"/>
    </xf>
    <xf numFmtId="0" fontId="0" fillId="0" borderId="1" xfId="0" applyBorder="1" applyAlignment="1">
      <alignment horizontal="center"/>
    </xf>
    <xf numFmtId="0" fontId="5" fillId="6" borderId="0" xfId="0" applyFont="1" applyFill="1" applyBorder="1" applyProtection="1"/>
    <xf numFmtId="0" fontId="6" fillId="6" borderId="0" xfId="0" applyFont="1" applyFill="1" applyBorder="1" applyAlignment="1" applyProtection="1">
      <alignment horizontal="center"/>
    </xf>
    <xf numFmtId="0" fontId="6" fillId="6" borderId="0" xfId="0" applyFont="1" applyFill="1" applyBorder="1" applyProtection="1"/>
    <xf numFmtId="0" fontId="6" fillId="0" borderId="0" xfId="0" applyFont="1" applyProtection="1"/>
    <xf numFmtId="0" fontId="5" fillId="7" borderId="0" xfId="0" applyFont="1" applyFill="1" applyBorder="1" applyProtection="1"/>
    <xf numFmtId="0" fontId="6" fillId="7" borderId="0" xfId="0" applyFont="1" applyFill="1" applyBorder="1" applyAlignment="1" applyProtection="1">
      <alignment horizontal="center"/>
    </xf>
    <xf numFmtId="0" fontId="6" fillId="7" borderId="0" xfId="0" applyFont="1" applyFill="1" applyBorder="1" applyProtection="1"/>
    <xf numFmtId="0" fontId="6" fillId="6" borderId="0" xfId="0" applyFont="1" applyFill="1" applyBorder="1" applyAlignment="1" applyProtection="1">
      <alignment horizontal="left" wrapText="1"/>
    </xf>
    <xf numFmtId="0" fontId="6" fillId="7" borderId="0" xfId="0" applyFont="1" applyFill="1" applyBorder="1" applyAlignment="1" applyProtection="1">
      <alignment horizontal="left" wrapText="1"/>
    </xf>
    <xf numFmtId="0" fontId="6" fillId="6" borderId="0" xfId="0" applyFont="1" applyFill="1" applyBorder="1" applyAlignment="1" applyProtection="1">
      <alignment horizontal="left" wrapText="1"/>
    </xf>
    <xf numFmtId="0" fontId="6" fillId="7" borderId="0" xfId="0" applyFont="1" applyFill="1" applyBorder="1" applyAlignment="1" applyProtection="1">
      <alignment horizontal="left" wrapText="1"/>
    </xf>
    <xf numFmtId="0" fontId="0" fillId="7" borderId="0" xfId="0" applyFill="1" applyBorder="1" applyAlignment="1" applyProtection="1">
      <alignment horizontal="left" wrapText="1"/>
    </xf>
    <xf numFmtId="0" fontId="6" fillId="6" borderId="0" xfId="0" applyFont="1" applyFill="1" applyBorder="1" applyAlignment="1" applyProtection="1">
      <alignment horizontal="center"/>
    </xf>
    <xf numFmtId="0" fontId="6" fillId="7" borderId="0" xfId="0" applyFont="1" applyFill="1" applyBorder="1" applyAlignment="1" applyProtection="1">
      <alignment horizontal="center"/>
    </xf>
    <xf numFmtId="3" fontId="6" fillId="6" borderId="0" xfId="0" applyNumberFormat="1" applyFont="1" applyFill="1" applyBorder="1" applyAlignment="1" applyProtection="1">
      <alignment horizontal="center"/>
    </xf>
    <xf numFmtId="3" fontId="6" fillId="7" borderId="0" xfId="0" applyNumberFormat="1" applyFont="1" applyFill="1" applyBorder="1" applyAlignment="1" applyProtection="1">
      <alignment horizontal="center"/>
    </xf>
    <xf numFmtId="0" fontId="6" fillId="6" borderId="0" xfId="0" applyFont="1" applyFill="1" applyBorder="1" applyAlignment="1" applyProtection="1">
      <alignment horizontal="right"/>
    </xf>
    <xf numFmtId="0" fontId="6" fillId="6" borderId="0" xfId="0" applyFont="1" applyFill="1" applyBorder="1" applyAlignment="1" applyProtection="1">
      <alignment horizontal="right"/>
    </xf>
    <xf numFmtId="0" fontId="0" fillId="6" borderId="0" xfId="0" applyFill="1" applyBorder="1" applyAlignment="1" applyProtection="1">
      <alignment horizontal="right"/>
    </xf>
    <xf numFmtId="0" fontId="6" fillId="7" borderId="0" xfId="0" applyFont="1" applyFill="1" applyBorder="1" applyAlignment="1" applyProtection="1">
      <alignment horizontal="right"/>
    </xf>
    <xf numFmtId="0" fontId="0" fillId="7" borderId="0" xfId="0" applyFill="1" applyBorder="1" applyAlignment="1" applyProtection="1">
      <alignment horizontal="right"/>
    </xf>
    <xf numFmtId="0" fontId="6" fillId="7" borderId="0" xfId="0" applyFont="1" applyFill="1" applyBorder="1" applyAlignment="1" applyProtection="1">
      <alignment horizontal="left"/>
    </xf>
    <xf numFmtId="0" fontId="6" fillId="6" borderId="0" xfId="0" applyFont="1" applyFill="1" applyBorder="1" applyAlignment="1" applyProtection="1">
      <alignment horizontal="left"/>
    </xf>
    <xf numFmtId="167" fontId="6" fillId="6" borderId="0" xfId="0" applyNumberFormat="1" applyFont="1" applyFill="1" applyBorder="1" applyAlignment="1" applyProtection="1">
      <alignment horizontal="right"/>
    </xf>
    <xf numFmtId="0" fontId="6" fillId="7" borderId="0" xfId="0" applyFont="1" applyFill="1" applyBorder="1" applyAlignment="1" applyProtection="1">
      <alignment horizontal="right"/>
    </xf>
    <xf numFmtId="166" fontId="6" fillId="6" borderId="0" xfId="0" applyNumberFormat="1" applyFont="1" applyFill="1" applyBorder="1" applyAlignment="1" applyProtection="1">
      <alignment horizontal="right"/>
    </xf>
    <xf numFmtId="43" fontId="6" fillId="6" borderId="0" xfId="2" applyNumberFormat="1" applyFont="1" applyFill="1" applyBorder="1" applyAlignment="1" applyProtection="1">
      <alignment horizontal="right"/>
    </xf>
    <xf numFmtId="166" fontId="6" fillId="7" borderId="0" xfId="0" applyNumberFormat="1" applyFont="1" applyFill="1" applyBorder="1" applyAlignment="1" applyProtection="1">
      <alignment horizontal="center"/>
    </xf>
    <xf numFmtId="0" fontId="16" fillId="0" borderId="0" xfId="0" applyFont="1" applyProtection="1"/>
    <xf numFmtId="0" fontId="6" fillId="0" borderId="0" xfId="0" applyFont="1" applyAlignment="1" applyProtection="1">
      <alignment horizontal="center"/>
    </xf>
    <xf numFmtId="166" fontId="6" fillId="0" borderId="0" xfId="0" applyNumberFormat="1" applyFont="1" applyAlignment="1" applyProtection="1">
      <alignment horizontal="center"/>
    </xf>
    <xf numFmtId="169" fontId="6" fillId="0" borderId="0" xfId="2" applyNumberFormat="1" applyFont="1" applyAlignment="1" applyProtection="1">
      <alignment horizontal="center"/>
    </xf>
    <xf numFmtId="1" fontId="6" fillId="0" borderId="0" xfId="0" applyNumberFormat="1" applyFont="1" applyAlignment="1" applyProtection="1">
      <alignment horizontal="center"/>
    </xf>
    <xf numFmtId="0" fontId="6" fillId="7" borderId="0" xfId="0" applyFont="1" applyFill="1" applyBorder="1" applyProtection="1">
      <protection locked="0"/>
    </xf>
    <xf numFmtId="0" fontId="6" fillId="7" borderId="0" xfId="0" applyFont="1" applyFill="1" applyBorder="1" applyAlignment="1" applyProtection="1">
      <alignment horizontal="center"/>
      <protection locked="0"/>
    </xf>
    <xf numFmtId="167" fontId="6" fillId="7" borderId="0" xfId="0" applyNumberFormat="1" applyFont="1" applyFill="1" applyBorder="1" applyAlignment="1" applyProtection="1">
      <alignment horizontal="right"/>
      <protection locked="0"/>
    </xf>
    <xf numFmtId="0" fontId="6" fillId="7" borderId="0" xfId="0" applyFont="1" applyFill="1" applyBorder="1" applyAlignment="1" applyProtection="1">
      <alignment horizontal="left"/>
      <protection locked="0"/>
    </xf>
    <xf numFmtId="0" fontId="6" fillId="7" borderId="0" xfId="0" applyFont="1" applyFill="1" applyBorder="1" applyAlignment="1" applyProtection="1">
      <alignment horizontal="right"/>
      <protection locked="0"/>
    </xf>
    <xf numFmtId="166" fontId="6" fillId="7" borderId="0" xfId="0" applyNumberFormat="1" applyFont="1" applyFill="1" applyBorder="1" applyAlignment="1" applyProtection="1">
      <alignment horizontal="right"/>
      <protection locked="0"/>
    </xf>
    <xf numFmtId="2" fontId="6" fillId="7" borderId="0" xfId="0" applyNumberFormat="1" applyFont="1" applyFill="1" applyBorder="1" applyAlignment="1" applyProtection="1">
      <alignment horizontal="right"/>
      <protection locked="0"/>
    </xf>
    <xf numFmtId="0" fontId="5" fillId="6" borderId="0" xfId="0" applyFont="1" applyFill="1" applyBorder="1" applyAlignment="1" applyProtection="1">
      <alignment horizontal="left" wrapText="1"/>
    </xf>
    <xf numFmtId="0" fontId="6" fillId="6" borderId="0" xfId="0" applyFont="1" applyFill="1" applyBorder="1" applyAlignment="1" applyProtection="1"/>
    <xf numFmtId="0" fontId="5" fillId="7" borderId="0" xfId="0" applyFont="1" applyFill="1" applyBorder="1" applyAlignment="1" applyProtection="1">
      <alignment horizontal="left" vertical="top" wrapText="1"/>
    </xf>
    <xf numFmtId="0" fontId="6" fillId="7" borderId="0" xfId="0" applyFont="1" applyFill="1" applyBorder="1" applyAlignment="1" applyProtection="1">
      <alignment vertical="top" wrapText="1"/>
    </xf>
    <xf numFmtId="169" fontId="6" fillId="6" borderId="0" xfId="2" applyNumberFormat="1" applyFont="1" applyFill="1" applyBorder="1" applyAlignment="1" applyProtection="1">
      <alignment horizontal="center"/>
    </xf>
    <xf numFmtId="9" fontId="6" fillId="6" borderId="0" xfId="0" applyNumberFormat="1" applyFont="1" applyFill="1" applyBorder="1" applyAlignment="1" applyProtection="1">
      <alignment horizontal="center"/>
    </xf>
    <xf numFmtId="164" fontId="6" fillId="6" borderId="0" xfId="0" applyNumberFormat="1" applyFont="1" applyFill="1" applyBorder="1" applyAlignment="1" applyProtection="1">
      <alignment horizontal="center"/>
    </xf>
    <xf numFmtId="164" fontId="6" fillId="7" borderId="0" xfId="0" applyNumberFormat="1" applyFont="1" applyFill="1" applyBorder="1" applyAlignment="1" applyProtection="1">
      <alignment horizontal="center"/>
    </xf>
    <xf numFmtId="0" fontId="6" fillId="6" borderId="0" xfId="0" applyFont="1" applyFill="1" applyBorder="1" applyAlignment="1" applyProtection="1"/>
    <xf numFmtId="0" fontId="6" fillId="7" borderId="0" xfId="0" applyFont="1" applyFill="1" applyBorder="1" applyAlignment="1" applyProtection="1"/>
    <xf numFmtId="3" fontId="6" fillId="6" borderId="0" xfId="0" applyNumberFormat="1" applyFont="1" applyFill="1" applyBorder="1" applyAlignment="1" applyProtection="1">
      <alignment horizontal="right"/>
    </xf>
    <xf numFmtId="2" fontId="6" fillId="6" borderId="0" xfId="0" applyNumberFormat="1" applyFont="1" applyFill="1" applyBorder="1" applyAlignment="1" applyProtection="1">
      <alignment horizontal="left" wrapText="1"/>
    </xf>
    <xf numFmtId="2" fontId="6" fillId="7" borderId="0" xfId="0" applyNumberFormat="1" applyFont="1" applyFill="1" applyBorder="1" applyAlignment="1" applyProtection="1">
      <alignment horizontal="left" wrapText="1"/>
    </xf>
    <xf numFmtId="169" fontId="6" fillId="7" borderId="0" xfId="2" applyNumberFormat="1" applyFont="1" applyFill="1" applyBorder="1" applyAlignment="1" applyProtection="1">
      <alignment horizontal="center"/>
      <protection locked="0"/>
    </xf>
    <xf numFmtId="9" fontId="6" fillId="7" borderId="0" xfId="0" applyNumberFormat="1" applyFont="1" applyFill="1" applyBorder="1" applyAlignment="1" applyProtection="1">
      <alignment horizontal="center"/>
      <protection locked="0"/>
    </xf>
    <xf numFmtId="3" fontId="6" fillId="7" borderId="0" xfId="0" applyNumberFormat="1" applyFont="1" applyFill="1" applyBorder="1" applyAlignment="1" applyProtection="1">
      <alignment horizontal="right"/>
      <protection locked="0"/>
    </xf>
    <xf numFmtId="0" fontId="6" fillId="7" borderId="0" xfId="0" applyFont="1" applyFill="1" applyBorder="1" applyAlignment="1" applyProtection="1">
      <protection locked="0"/>
    </xf>
    <xf numFmtId="0" fontId="5" fillId="6" borderId="0" xfId="0" applyFont="1" applyFill="1" applyBorder="1" applyAlignment="1" applyProtection="1">
      <alignment wrapText="1"/>
    </xf>
    <xf numFmtId="0" fontId="6" fillId="6" borderId="0" xfId="0" applyFont="1" applyFill="1" applyBorder="1" applyAlignment="1" applyProtection="1">
      <alignment wrapText="1"/>
    </xf>
    <xf numFmtId="0" fontId="5" fillId="7" borderId="0" xfId="0" applyFont="1" applyFill="1" applyBorder="1" applyAlignment="1" applyProtection="1">
      <alignment wrapText="1"/>
    </xf>
    <xf numFmtId="0" fontId="6" fillId="7" borderId="0" xfId="0" applyFont="1" applyFill="1" applyBorder="1" applyAlignment="1" applyProtection="1">
      <alignment wrapText="1"/>
    </xf>
    <xf numFmtId="0" fontId="8" fillId="6" borderId="0" xfId="0" applyFont="1" applyFill="1" applyBorder="1" applyProtection="1"/>
    <xf numFmtId="0" fontId="8" fillId="7" borderId="0" xfId="0" applyFont="1" applyFill="1" applyBorder="1" applyProtection="1"/>
    <xf numFmtId="165" fontId="6" fillId="6" borderId="0" xfId="0" applyNumberFormat="1" applyFont="1" applyFill="1" applyBorder="1" applyAlignment="1" applyProtection="1">
      <alignment horizontal="center"/>
    </xf>
    <xf numFmtId="165" fontId="6" fillId="7" borderId="0" xfId="0" applyNumberFormat="1" applyFont="1" applyFill="1" applyBorder="1" applyAlignment="1" applyProtection="1">
      <alignment horizontal="center"/>
    </xf>
    <xf numFmtId="3" fontId="5" fillId="6" borderId="0" xfId="0" applyNumberFormat="1" applyFont="1" applyFill="1" applyBorder="1" applyAlignment="1" applyProtection="1">
      <alignment horizontal="center"/>
    </xf>
    <xf numFmtId="3" fontId="5" fillId="7" borderId="0" xfId="0" applyNumberFormat="1" applyFont="1" applyFill="1" applyBorder="1" applyAlignment="1" applyProtection="1">
      <alignment horizontal="center"/>
    </xf>
    <xf numFmtId="165" fontId="6" fillId="6" borderId="0" xfId="0" applyNumberFormat="1" applyFont="1" applyFill="1" applyBorder="1" applyAlignment="1" applyProtection="1"/>
    <xf numFmtId="166" fontId="6" fillId="6" borderId="0" xfId="0" applyNumberFormat="1" applyFont="1" applyFill="1" applyBorder="1" applyAlignment="1" applyProtection="1"/>
    <xf numFmtId="2" fontId="6" fillId="6" borderId="0" xfId="0" applyNumberFormat="1" applyFont="1" applyFill="1" applyBorder="1" applyAlignment="1" applyProtection="1"/>
    <xf numFmtId="9" fontId="6" fillId="6" borderId="0" xfId="1" applyFont="1" applyFill="1" applyBorder="1" applyAlignment="1" applyProtection="1"/>
    <xf numFmtId="169" fontId="6" fillId="6" borderId="0" xfId="2" applyNumberFormat="1" applyFont="1" applyFill="1" applyBorder="1" applyAlignment="1" applyProtection="1">
      <alignment horizontal="right"/>
    </xf>
    <xf numFmtId="3" fontId="6" fillId="6" borderId="0" xfId="0" applyNumberFormat="1" applyFont="1" applyFill="1" applyBorder="1" applyAlignment="1" applyProtection="1"/>
    <xf numFmtId="3" fontId="6" fillId="7" borderId="0" xfId="0" applyNumberFormat="1" applyFont="1" applyFill="1" applyBorder="1" applyAlignment="1" applyProtection="1"/>
    <xf numFmtId="1" fontId="6" fillId="6" borderId="0" xfId="0" applyNumberFormat="1" applyFont="1" applyFill="1" applyBorder="1" applyAlignment="1" applyProtection="1">
      <alignment horizontal="right"/>
    </xf>
    <xf numFmtId="165" fontId="6" fillId="7" borderId="0" xfId="0" applyNumberFormat="1" applyFont="1" applyFill="1" applyBorder="1" applyAlignment="1" applyProtection="1">
      <protection locked="0"/>
    </xf>
    <xf numFmtId="166" fontId="6" fillId="7" borderId="0" xfId="0" applyNumberFormat="1" applyFont="1" applyFill="1" applyBorder="1" applyAlignment="1" applyProtection="1">
      <protection locked="0"/>
    </xf>
    <xf numFmtId="2" fontId="6" fillId="7" borderId="0" xfId="0" applyNumberFormat="1" applyFont="1" applyFill="1" applyBorder="1" applyAlignment="1" applyProtection="1">
      <protection locked="0"/>
    </xf>
    <xf numFmtId="9" fontId="6" fillId="7" borderId="0" xfId="1" applyFont="1" applyFill="1" applyBorder="1" applyAlignment="1" applyProtection="1">
      <protection locked="0"/>
    </xf>
    <xf numFmtId="169" fontId="6" fillId="7" borderId="0" xfId="2" applyNumberFormat="1" applyFont="1" applyFill="1" applyBorder="1" applyAlignment="1" applyProtection="1">
      <alignment horizontal="right"/>
      <protection locked="0"/>
    </xf>
    <xf numFmtId="1" fontId="6" fillId="7" borderId="0" xfId="0" applyNumberFormat="1" applyFont="1" applyFill="1" applyBorder="1" applyAlignment="1" applyProtection="1">
      <alignment horizontal="right"/>
      <protection locked="0"/>
    </xf>
    <xf numFmtId="0" fontId="6" fillId="0" borderId="0" xfId="0" applyFont="1" applyBorder="1" applyProtection="1"/>
    <xf numFmtId="0" fontId="14" fillId="7" borderId="0" xfId="0" applyFont="1" applyFill="1" applyBorder="1" applyProtection="1"/>
    <xf numFmtId="0" fontId="0" fillId="6" borderId="0" xfId="0" applyFill="1" applyBorder="1" applyAlignment="1" applyProtection="1">
      <alignment wrapText="1"/>
    </xf>
    <xf numFmtId="0" fontId="14" fillId="7" borderId="0" xfId="0" applyFont="1" applyFill="1" applyBorder="1" applyAlignment="1" applyProtection="1">
      <alignment wrapText="1"/>
    </xf>
    <xf numFmtId="0" fontId="0" fillId="7" borderId="0" xfId="0" applyFill="1" applyBorder="1" applyAlignment="1" applyProtection="1">
      <alignment wrapText="1"/>
    </xf>
    <xf numFmtId="0" fontId="8" fillId="7" borderId="0" xfId="0" applyFont="1" applyFill="1" applyBorder="1" applyAlignment="1" applyProtection="1">
      <alignment wrapText="1"/>
    </xf>
    <xf numFmtId="0" fontId="8" fillId="7" borderId="0" xfId="0" applyFont="1" applyFill="1" applyBorder="1" applyAlignment="1" applyProtection="1">
      <alignment horizontal="right"/>
    </xf>
    <xf numFmtId="166" fontId="8" fillId="7" borderId="0" xfId="0" applyNumberFormat="1" applyFont="1" applyFill="1" applyBorder="1" applyProtection="1"/>
    <xf numFmtId="168" fontId="6" fillId="6" borderId="0" xfId="2" applyNumberFormat="1" applyFont="1" applyFill="1" applyBorder="1" applyAlignment="1" applyProtection="1"/>
    <xf numFmtId="1" fontId="8" fillId="7" borderId="0" xfId="0" applyNumberFormat="1" applyFont="1" applyFill="1" applyBorder="1" applyProtection="1"/>
    <xf numFmtId="0" fontId="8" fillId="7" borderId="0" xfId="0" applyFont="1" applyFill="1" applyBorder="1" applyProtection="1">
      <protection locked="0"/>
    </xf>
    <xf numFmtId="165" fontId="8" fillId="7" borderId="0" xfId="0" applyNumberFormat="1" applyFont="1" applyFill="1" applyBorder="1" applyProtection="1">
      <protection locked="0"/>
    </xf>
    <xf numFmtId="166" fontId="8" fillId="7" borderId="0" xfId="0" applyNumberFormat="1" applyFont="1" applyFill="1" applyBorder="1" applyProtection="1">
      <protection locked="0"/>
    </xf>
    <xf numFmtId="168" fontId="8" fillId="7" borderId="0" xfId="2" applyNumberFormat="1" applyFont="1" applyFill="1" applyBorder="1" applyProtection="1">
      <protection locked="0"/>
    </xf>
    <xf numFmtId="164" fontId="8" fillId="7" borderId="0" xfId="0" applyNumberFormat="1" applyFont="1" applyFill="1" applyBorder="1" applyProtection="1">
      <protection locked="0"/>
    </xf>
    <xf numFmtId="2" fontId="8" fillId="7" borderId="0" xfId="0" applyNumberFormat="1" applyFont="1" applyFill="1" applyBorder="1" applyProtection="1">
      <protection locked="0"/>
    </xf>
    <xf numFmtId="169" fontId="8" fillId="7" borderId="0" xfId="2" applyNumberFormat="1" applyFont="1" applyFill="1" applyBorder="1" applyProtection="1">
      <protection locked="0"/>
    </xf>
  </cellXfs>
  <cellStyles count="3">
    <cellStyle name="Comma" xfId="2" builtinId="3"/>
    <cellStyle name="Normal" xfId="0" builtinId="0"/>
    <cellStyle name="Percent" xfId="1" builtinId="5"/>
  </cellStyles>
  <dxfs count="0"/>
  <tableStyles count="0" defaultTableStyle="TableStyleMedium9" defaultPivotStyle="PivotStyleLight16"/>
  <colors>
    <mruColors>
      <color rgb="FFCC6600"/>
      <color rgb="FFFFFF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opLeftCell="B1" workbookViewId="0">
      <selection sqref="A1:G1"/>
    </sheetView>
  </sheetViews>
  <sheetFormatPr defaultRowHeight="12.75" x14ac:dyDescent="0.2"/>
  <cols>
    <col min="1" max="1" width="6.7109375" style="2" bestFit="1" customWidth="1"/>
    <col min="2" max="2" width="8.5703125" style="4" bestFit="1" customWidth="1"/>
    <col min="3" max="3" width="36.42578125" style="3" bestFit="1" customWidth="1"/>
    <col min="4" max="4" width="9.140625" style="1"/>
    <col min="5" max="5" width="6.7109375" style="2" bestFit="1" customWidth="1"/>
    <col min="6" max="6" width="2" style="4" bestFit="1" customWidth="1"/>
    <col min="7" max="7" width="39.5703125" style="3" customWidth="1"/>
    <col min="8" max="16384" width="9.140625" style="1"/>
  </cols>
  <sheetData>
    <row r="1" spans="1:7" x14ac:dyDescent="0.2">
      <c r="A1" s="19" t="s">
        <v>43</v>
      </c>
      <c r="B1" s="20"/>
      <c r="C1" s="20"/>
      <c r="D1" s="20"/>
      <c r="E1" s="20"/>
      <c r="F1" s="20"/>
      <c r="G1" s="20"/>
    </row>
    <row r="2" spans="1:7" ht="13.5" thickBot="1" x14ac:dyDescent="0.25">
      <c r="A2" s="21" t="s">
        <v>6</v>
      </c>
      <c r="B2" s="22"/>
      <c r="C2" s="22"/>
      <c r="D2" s="22"/>
      <c r="E2" s="22"/>
      <c r="F2" s="22"/>
      <c r="G2" s="22"/>
    </row>
    <row r="3" spans="1:7" x14ac:dyDescent="0.2">
      <c r="A3" s="2" t="s">
        <v>9</v>
      </c>
      <c r="B3" s="2" t="s">
        <v>3</v>
      </c>
      <c r="C3" s="3" t="s">
        <v>22</v>
      </c>
      <c r="E3" s="2" t="s">
        <v>12</v>
      </c>
      <c r="F3" s="2" t="s">
        <v>3</v>
      </c>
      <c r="G3" s="3" t="s">
        <v>31</v>
      </c>
    </row>
    <row r="4" spans="1:7" x14ac:dyDescent="0.2">
      <c r="A4" s="2" t="s">
        <v>10</v>
      </c>
      <c r="B4" s="2" t="s">
        <v>3</v>
      </c>
      <c r="C4" s="3" t="s">
        <v>23</v>
      </c>
      <c r="E4" s="2" t="s">
        <v>4</v>
      </c>
      <c r="F4" s="2" t="s">
        <v>3</v>
      </c>
      <c r="G4" s="3" t="s">
        <v>32</v>
      </c>
    </row>
    <row r="5" spans="1:7" ht="15" customHeight="1" x14ac:dyDescent="0.2">
      <c r="A5" s="2" t="s">
        <v>11</v>
      </c>
      <c r="B5" s="2" t="s">
        <v>3</v>
      </c>
      <c r="C5" s="3" t="s">
        <v>24</v>
      </c>
      <c r="E5" s="2" t="s">
        <v>13</v>
      </c>
      <c r="F5" s="2" t="s">
        <v>3</v>
      </c>
      <c r="G5" s="3" t="s">
        <v>33</v>
      </c>
    </row>
    <row r="6" spans="1:7" ht="15" customHeight="1" x14ac:dyDescent="0.2">
      <c r="A6" s="2" t="s">
        <v>0</v>
      </c>
      <c r="B6" s="2" t="s">
        <v>3</v>
      </c>
      <c r="C6" s="3" t="s">
        <v>25</v>
      </c>
      <c r="E6" s="2" t="s">
        <v>14</v>
      </c>
      <c r="F6" s="2" t="s">
        <v>3</v>
      </c>
      <c r="G6" s="3" t="s">
        <v>34</v>
      </c>
    </row>
    <row r="7" spans="1:7" ht="15" customHeight="1" x14ac:dyDescent="0.2">
      <c r="A7" s="2" t="s">
        <v>2</v>
      </c>
      <c r="B7" s="2" t="s">
        <v>3</v>
      </c>
      <c r="C7" s="3" t="s">
        <v>26</v>
      </c>
      <c r="E7" s="2" t="s">
        <v>15</v>
      </c>
      <c r="F7" s="2" t="s">
        <v>3</v>
      </c>
      <c r="G7" s="3" t="s">
        <v>35</v>
      </c>
    </row>
    <row r="8" spans="1:7" x14ac:dyDescent="0.2">
      <c r="A8" s="2" t="s">
        <v>18</v>
      </c>
      <c r="B8" s="2" t="s">
        <v>3</v>
      </c>
      <c r="C8" s="3" t="s">
        <v>27</v>
      </c>
      <c r="E8" s="2" t="s">
        <v>5</v>
      </c>
      <c r="F8" s="2" t="s">
        <v>3</v>
      </c>
      <c r="G8" s="3" t="s">
        <v>36</v>
      </c>
    </row>
    <row r="9" spans="1:7" ht="13.5" customHeight="1" x14ac:dyDescent="0.2">
      <c r="A9" s="2" t="s">
        <v>19</v>
      </c>
      <c r="B9" s="2" t="s">
        <v>3</v>
      </c>
      <c r="C9" s="3" t="s">
        <v>28</v>
      </c>
      <c r="E9" s="2" t="s">
        <v>16</v>
      </c>
      <c r="F9" s="2" t="s">
        <v>3</v>
      </c>
      <c r="G9" s="3" t="s">
        <v>37</v>
      </c>
    </row>
    <row r="10" spans="1:7" ht="14.25" x14ac:dyDescent="0.2">
      <c r="A10" s="2" t="s">
        <v>20</v>
      </c>
      <c r="B10" s="2" t="s">
        <v>3</v>
      </c>
      <c r="C10" s="3" t="s">
        <v>29</v>
      </c>
      <c r="E10" s="2" t="s">
        <v>17</v>
      </c>
      <c r="F10" s="2" t="s">
        <v>3</v>
      </c>
      <c r="G10" s="3" t="s">
        <v>38</v>
      </c>
    </row>
    <row r="11" spans="1:7" ht="14.25" x14ac:dyDescent="0.2">
      <c r="A11" s="2" t="s">
        <v>21</v>
      </c>
      <c r="B11" s="2" t="s">
        <v>3</v>
      </c>
      <c r="C11" s="3" t="s">
        <v>30</v>
      </c>
      <c r="E11" s="2" t="s">
        <v>1</v>
      </c>
      <c r="F11" s="2" t="s">
        <v>3</v>
      </c>
      <c r="G11" s="3" t="s">
        <v>39</v>
      </c>
    </row>
    <row r="12" spans="1:7" x14ac:dyDescent="0.2">
      <c r="B12" s="2"/>
      <c r="F12" s="2"/>
    </row>
    <row r="13" spans="1:7" x14ac:dyDescent="0.2">
      <c r="B13" s="2"/>
      <c r="F13" s="2"/>
    </row>
    <row r="14" spans="1:7" x14ac:dyDescent="0.2">
      <c r="B14" s="2"/>
      <c r="F14" s="2"/>
    </row>
    <row r="15" spans="1:7" ht="20.25" x14ac:dyDescent="0.3">
      <c r="A15" s="6" t="s">
        <v>40</v>
      </c>
      <c r="B15" s="7"/>
      <c r="C15" s="7"/>
      <c r="F15" s="2"/>
    </row>
    <row r="16" spans="1:7" ht="15" x14ac:dyDescent="0.25">
      <c r="A16" s="5"/>
      <c r="B16" s="8" t="s">
        <v>3</v>
      </c>
      <c r="C16" s="9" t="s">
        <v>41</v>
      </c>
      <c r="F16" s="2"/>
    </row>
    <row r="17" spans="1:10" ht="15" x14ac:dyDescent="0.25">
      <c r="A17" s="10"/>
      <c r="B17" s="8" t="s">
        <v>3</v>
      </c>
      <c r="C17" s="9" t="s">
        <v>42</v>
      </c>
      <c r="F17" s="2"/>
    </row>
    <row r="18" spans="1:10" ht="15" x14ac:dyDescent="0.25">
      <c r="A18" s="11"/>
      <c r="B18" s="8" t="s">
        <v>3</v>
      </c>
      <c r="C18" s="9" t="s">
        <v>127</v>
      </c>
      <c r="F18" s="2"/>
    </row>
    <row r="19" spans="1:10" x14ac:dyDescent="0.2">
      <c r="A19" s="12"/>
      <c r="B19" s="13" t="s">
        <v>3</v>
      </c>
      <c r="C19" s="14" t="s">
        <v>126</v>
      </c>
      <c r="F19" s="2"/>
    </row>
    <row r="20" spans="1:10" x14ac:dyDescent="0.2">
      <c r="B20" s="2"/>
    </row>
    <row r="30" spans="1:10" x14ac:dyDescent="0.2">
      <c r="B30" s="15"/>
      <c r="J30" s="16"/>
    </row>
    <row r="31" spans="1:10" x14ac:dyDescent="0.2">
      <c r="J31" s="17"/>
    </row>
  </sheetData>
  <customSheetViews>
    <customSheetView guid="{4F8C502A-1B49-4129-81FD-D7C5FEE19727}">
      <selection activeCell="C12" sqref="C12"/>
      <pageMargins left="0.75" right="0.75" top="1" bottom="1" header="0.5" footer="0.5"/>
      <pageSetup orientation="portrait" r:id="rId1"/>
      <headerFooter alignWithMargins="0"/>
    </customSheetView>
  </customSheetViews>
  <mergeCells count="2">
    <mergeCell ref="A1:G1"/>
    <mergeCell ref="A2:G2"/>
  </mergeCells>
  <phoneticPr fontId="3" type="noConversion"/>
  <pageMargins left="0.75" right="0.75" top="1" bottom="1" header="0.5" footer="0.5"/>
  <pageSetup paperSize="17" fitToWidth="0" fitToHeight="0"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1"/>
  <sheetViews>
    <sheetView tabSelected="1" topLeftCell="A49" zoomScale="80" zoomScaleNormal="80" workbookViewId="0">
      <selection activeCell="I84" sqref="I84"/>
    </sheetView>
  </sheetViews>
  <sheetFormatPr defaultRowHeight="15" x14ac:dyDescent="0.25"/>
  <cols>
    <col min="1" max="1" width="19" style="26" customWidth="1"/>
    <col min="2" max="2" width="10.28515625" style="52" customWidth="1"/>
    <col min="3" max="3" width="9.28515625" style="52" customWidth="1"/>
    <col min="4" max="4" width="13.7109375" style="26" customWidth="1"/>
    <col min="5" max="5" width="10.85546875" style="26" customWidth="1"/>
    <col min="6" max="6" width="9.140625" style="26"/>
    <col min="7" max="7" width="11.7109375" style="26" bestFit="1" customWidth="1"/>
    <col min="8" max="8" width="9.140625" style="26"/>
    <col min="9" max="9" width="19" style="26" customWidth="1"/>
    <col min="10" max="10" width="10.28515625" style="52" customWidth="1"/>
    <col min="11" max="11" width="10" style="52" customWidth="1"/>
    <col min="12" max="12" width="13.28515625" style="26" customWidth="1"/>
    <col min="13" max="13" width="10.42578125" style="26" customWidth="1"/>
    <col min="14" max="14" width="9.140625" style="26"/>
    <col min="15" max="15" width="11.7109375" style="26" bestFit="1" customWidth="1"/>
    <col min="16" max="16384" width="9.140625" style="26"/>
  </cols>
  <sheetData>
    <row r="1" spans="1:15" x14ac:dyDescent="0.25">
      <c r="A1" s="23" t="s">
        <v>44</v>
      </c>
      <c r="B1" s="24"/>
      <c r="C1" s="24"/>
      <c r="D1" s="25"/>
      <c r="E1" s="84"/>
      <c r="F1" s="84"/>
      <c r="G1" s="84"/>
      <c r="H1" s="104"/>
      <c r="I1" s="105" t="s">
        <v>155</v>
      </c>
      <c r="J1" s="85"/>
      <c r="K1" s="85"/>
      <c r="L1" s="85"/>
      <c r="M1" s="85"/>
      <c r="N1" s="85"/>
      <c r="O1" s="85"/>
    </row>
    <row r="2" spans="1:15" ht="46.5" customHeight="1" x14ac:dyDescent="0.25">
      <c r="A2" s="80" t="s">
        <v>204</v>
      </c>
      <c r="B2" s="106"/>
      <c r="C2" s="106"/>
      <c r="D2" s="106"/>
      <c r="E2" s="106"/>
      <c r="F2" s="106"/>
      <c r="G2" s="106"/>
      <c r="H2" s="104"/>
      <c r="I2" s="107" t="s">
        <v>204</v>
      </c>
      <c r="J2" s="108"/>
      <c r="K2" s="108"/>
      <c r="L2" s="108"/>
      <c r="M2" s="108"/>
      <c r="N2" s="108"/>
      <c r="O2" s="108"/>
    </row>
    <row r="3" spans="1:15" x14ac:dyDescent="0.25">
      <c r="A3" s="25"/>
      <c r="B3" s="24"/>
      <c r="C3" s="24"/>
      <c r="D3" s="25"/>
      <c r="E3" s="84"/>
      <c r="F3" s="84"/>
      <c r="G3" s="84"/>
      <c r="H3" s="104"/>
      <c r="I3" s="85"/>
      <c r="J3" s="85"/>
      <c r="K3" s="85"/>
      <c r="L3" s="85"/>
      <c r="M3" s="85"/>
      <c r="N3" s="85"/>
      <c r="O3" s="85"/>
    </row>
    <row r="4" spans="1:15" x14ac:dyDescent="0.25">
      <c r="A4" s="25" t="s">
        <v>46</v>
      </c>
      <c r="B4" s="24"/>
      <c r="C4" s="24"/>
      <c r="D4" s="25"/>
      <c r="E4" s="25"/>
      <c r="F4" s="25"/>
      <c r="G4" s="25"/>
      <c r="H4" s="104"/>
      <c r="I4" s="85" t="s">
        <v>46</v>
      </c>
      <c r="J4" s="85"/>
      <c r="K4" s="85"/>
      <c r="L4" s="85"/>
      <c r="M4" s="85"/>
      <c r="N4" s="85"/>
      <c r="O4" s="85"/>
    </row>
    <row r="5" spans="1:15" x14ac:dyDescent="0.25">
      <c r="A5" s="25"/>
      <c r="B5" s="24"/>
      <c r="C5" s="24"/>
      <c r="D5" s="25"/>
      <c r="E5" s="25"/>
      <c r="F5" s="25"/>
      <c r="G5" s="25"/>
      <c r="H5" s="104"/>
      <c r="I5" s="85"/>
      <c r="J5" s="85"/>
      <c r="K5" s="85"/>
      <c r="L5" s="85"/>
      <c r="M5" s="85"/>
      <c r="N5" s="85"/>
      <c r="O5" s="85"/>
    </row>
    <row r="6" spans="1:15" x14ac:dyDescent="0.25">
      <c r="A6" s="25" t="s">
        <v>47</v>
      </c>
      <c r="B6" s="24" t="s">
        <v>3</v>
      </c>
      <c r="C6" s="24">
        <v>600</v>
      </c>
      <c r="D6" s="25" t="s">
        <v>8</v>
      </c>
      <c r="E6" s="25"/>
      <c r="F6" s="25"/>
      <c r="G6" s="25"/>
      <c r="H6" s="104"/>
      <c r="I6" s="85" t="s">
        <v>47</v>
      </c>
      <c r="J6" s="85" t="s">
        <v>3</v>
      </c>
      <c r="K6" s="57">
        <v>600</v>
      </c>
      <c r="L6" s="85" t="s">
        <v>8</v>
      </c>
      <c r="M6" s="85"/>
      <c r="N6" s="85"/>
      <c r="O6" s="85"/>
    </row>
    <row r="7" spans="1:15" x14ac:dyDescent="0.25">
      <c r="A7" s="25" t="s">
        <v>48</v>
      </c>
      <c r="B7" s="24" t="s">
        <v>3</v>
      </c>
      <c r="C7" s="24">
        <v>750</v>
      </c>
      <c r="D7" s="25" t="s">
        <v>7</v>
      </c>
      <c r="E7" s="25"/>
      <c r="F7" s="25"/>
      <c r="G7" s="25"/>
      <c r="H7" s="104"/>
      <c r="I7" s="85" t="s">
        <v>48</v>
      </c>
      <c r="J7" s="85" t="s">
        <v>3</v>
      </c>
      <c r="K7" s="57">
        <v>750</v>
      </c>
      <c r="L7" s="85" t="s">
        <v>7</v>
      </c>
      <c r="M7" s="85"/>
      <c r="N7" s="85"/>
      <c r="O7" s="85"/>
    </row>
    <row r="8" spans="1:15" x14ac:dyDescent="0.25">
      <c r="A8" s="25" t="s">
        <v>49</v>
      </c>
      <c r="B8" s="24" t="s">
        <v>3</v>
      </c>
      <c r="C8" s="24">
        <v>2</v>
      </c>
      <c r="D8" s="25" t="s">
        <v>8</v>
      </c>
      <c r="E8" s="25"/>
      <c r="F8" s="25"/>
      <c r="G8" s="25"/>
      <c r="H8" s="104"/>
      <c r="I8" s="85" t="s">
        <v>49</v>
      </c>
      <c r="J8" s="85" t="s">
        <v>3</v>
      </c>
      <c r="K8" s="57">
        <v>2</v>
      </c>
      <c r="L8" s="85" t="s">
        <v>8</v>
      </c>
      <c r="M8" s="85"/>
      <c r="N8" s="85"/>
      <c r="O8" s="85"/>
    </row>
    <row r="9" spans="1:15" x14ac:dyDescent="0.25">
      <c r="A9" s="25" t="s">
        <v>50</v>
      </c>
      <c r="B9" s="24" t="s">
        <v>3</v>
      </c>
      <c r="C9" s="24">
        <v>6000</v>
      </c>
      <c r="D9" s="25" t="s">
        <v>77</v>
      </c>
      <c r="E9" s="25"/>
      <c r="F9" s="25"/>
      <c r="G9" s="25"/>
      <c r="H9" s="104"/>
      <c r="I9" s="85" t="s">
        <v>50</v>
      </c>
      <c r="J9" s="85" t="s">
        <v>3</v>
      </c>
      <c r="K9" s="57">
        <v>6000</v>
      </c>
      <c r="L9" s="85" t="s">
        <v>77</v>
      </c>
      <c r="M9" s="85"/>
      <c r="N9" s="85"/>
      <c r="O9" s="85"/>
    </row>
    <row r="10" spans="1:15" x14ac:dyDescent="0.25">
      <c r="A10" s="25" t="s">
        <v>51</v>
      </c>
      <c r="B10" s="24" t="s">
        <v>3</v>
      </c>
      <c r="C10" s="24">
        <v>7000</v>
      </c>
      <c r="D10" s="25" t="s">
        <v>52</v>
      </c>
      <c r="E10" s="25"/>
      <c r="F10" s="25"/>
      <c r="G10" s="25"/>
      <c r="H10" s="104"/>
      <c r="I10" s="85" t="s">
        <v>51</v>
      </c>
      <c r="J10" s="85" t="s">
        <v>3</v>
      </c>
      <c r="K10" s="57">
        <v>7000</v>
      </c>
      <c r="L10" s="85" t="s">
        <v>52</v>
      </c>
      <c r="M10" s="85"/>
      <c r="N10" s="85"/>
      <c r="O10" s="85"/>
    </row>
    <row r="11" spans="1:15" x14ac:dyDescent="0.25">
      <c r="A11" s="25"/>
      <c r="B11" s="24"/>
      <c r="C11" s="37"/>
      <c r="D11" s="25"/>
      <c r="E11" s="25"/>
      <c r="F11" s="25"/>
      <c r="G11" s="25"/>
      <c r="H11" s="104"/>
      <c r="I11" s="85"/>
      <c r="J11" s="114"/>
      <c r="K11" s="85"/>
      <c r="L11" s="85"/>
      <c r="M11" s="85"/>
      <c r="N11" s="85"/>
      <c r="O11" s="85"/>
    </row>
    <row r="12" spans="1:15" x14ac:dyDescent="0.25">
      <c r="A12" s="25" t="s">
        <v>53</v>
      </c>
      <c r="B12" s="24"/>
      <c r="C12" s="24"/>
      <c r="D12" s="25"/>
      <c r="E12" s="25"/>
      <c r="F12" s="25"/>
      <c r="G12" s="25"/>
      <c r="H12" s="104"/>
      <c r="I12" s="85" t="s">
        <v>53</v>
      </c>
      <c r="J12" s="85"/>
      <c r="K12" s="85"/>
      <c r="L12" s="85"/>
      <c r="M12" s="85"/>
      <c r="N12" s="85"/>
      <c r="O12" s="85"/>
    </row>
    <row r="13" spans="1:15" x14ac:dyDescent="0.25">
      <c r="A13" s="25"/>
      <c r="B13" s="45" t="s">
        <v>54</v>
      </c>
      <c r="C13" s="24"/>
      <c r="D13" s="25"/>
      <c r="E13" s="25"/>
      <c r="F13" s="25"/>
      <c r="G13" s="25"/>
      <c r="H13" s="104"/>
      <c r="I13" s="85"/>
      <c r="J13" s="85" t="s">
        <v>54</v>
      </c>
      <c r="K13" s="85"/>
      <c r="L13" s="85"/>
      <c r="M13" s="85"/>
      <c r="N13" s="85"/>
      <c r="O13" s="85"/>
    </row>
    <row r="14" spans="1:15" x14ac:dyDescent="0.25">
      <c r="A14" s="25"/>
      <c r="B14" s="45" t="s">
        <v>55</v>
      </c>
      <c r="C14" s="24"/>
      <c r="D14" s="25"/>
      <c r="E14" s="25"/>
      <c r="F14" s="25"/>
      <c r="G14" s="25"/>
      <c r="H14" s="104"/>
      <c r="I14" s="85"/>
      <c r="J14" s="85" t="s">
        <v>55</v>
      </c>
      <c r="K14" s="85"/>
      <c r="L14" s="85"/>
      <c r="M14" s="85"/>
      <c r="N14" s="85"/>
      <c r="O14" s="85"/>
    </row>
    <row r="15" spans="1:15" ht="15" customHeight="1" x14ac:dyDescent="0.25">
      <c r="A15" s="71"/>
      <c r="B15" s="71" t="s">
        <v>56</v>
      </c>
      <c r="C15" s="71"/>
      <c r="D15" s="71"/>
      <c r="E15" s="25"/>
      <c r="F15" s="25"/>
      <c r="G15" s="25"/>
      <c r="H15" s="104"/>
      <c r="I15" s="85"/>
      <c r="J15" s="85" t="s">
        <v>56</v>
      </c>
      <c r="K15" s="85"/>
      <c r="L15" s="85"/>
      <c r="M15" s="85"/>
      <c r="N15" s="85"/>
      <c r="O15" s="85"/>
    </row>
    <row r="16" spans="1:15" x14ac:dyDescent="0.25">
      <c r="A16" s="71"/>
      <c r="B16" s="71" t="s">
        <v>134</v>
      </c>
      <c r="C16" s="71"/>
      <c r="D16" s="71"/>
      <c r="E16" s="25">
        <v>4000</v>
      </c>
      <c r="F16" s="25" t="s">
        <v>136</v>
      </c>
      <c r="G16" s="25"/>
      <c r="H16" s="104"/>
      <c r="I16" s="85"/>
      <c r="J16" s="85" t="s">
        <v>134</v>
      </c>
      <c r="K16" s="85"/>
      <c r="L16" s="85"/>
      <c r="M16" s="56">
        <v>4000</v>
      </c>
      <c r="N16" s="85" t="s">
        <v>136</v>
      </c>
      <c r="O16" s="85"/>
    </row>
    <row r="17" spans="1:15" x14ac:dyDescent="0.25">
      <c r="A17" s="71"/>
      <c r="B17" s="71"/>
      <c r="C17" s="71"/>
      <c r="D17" s="71"/>
      <c r="E17" s="25">
        <v>6100</v>
      </c>
      <c r="F17" s="25" t="s">
        <v>135</v>
      </c>
      <c r="G17" s="25"/>
      <c r="H17" s="104"/>
      <c r="I17" s="85"/>
      <c r="J17" s="85"/>
      <c r="K17" s="85"/>
      <c r="L17" s="85"/>
      <c r="M17" s="56">
        <v>6100</v>
      </c>
      <c r="N17" s="85" t="s">
        <v>135</v>
      </c>
      <c r="O17" s="85"/>
    </row>
    <row r="18" spans="1:15" x14ac:dyDescent="0.25">
      <c r="A18" s="71"/>
      <c r="B18" s="71"/>
      <c r="C18" s="71"/>
      <c r="D18" s="71"/>
      <c r="E18" s="25"/>
      <c r="F18" s="25"/>
      <c r="G18" s="25"/>
      <c r="H18" s="104"/>
      <c r="I18" s="85"/>
      <c r="J18" s="85"/>
      <c r="K18" s="85"/>
      <c r="L18" s="85"/>
      <c r="M18" s="85"/>
      <c r="N18" s="85"/>
      <c r="O18" s="85"/>
    </row>
    <row r="19" spans="1:15" x14ac:dyDescent="0.25">
      <c r="A19" s="71"/>
      <c r="B19" s="71"/>
      <c r="C19" s="71"/>
      <c r="D19" s="71"/>
      <c r="E19" s="25"/>
      <c r="F19" s="25"/>
      <c r="G19" s="25"/>
      <c r="H19" s="104"/>
      <c r="I19" s="85"/>
      <c r="J19" s="85"/>
      <c r="K19" s="85"/>
      <c r="L19" s="85"/>
      <c r="M19" s="85"/>
      <c r="N19" s="85"/>
      <c r="O19" s="85"/>
    </row>
    <row r="20" spans="1:15" x14ac:dyDescent="0.25">
      <c r="A20" s="71" t="s">
        <v>132</v>
      </c>
      <c r="B20" s="71"/>
      <c r="C20" s="71"/>
      <c r="D20" s="24" t="s">
        <v>3</v>
      </c>
      <c r="E20" s="25">
        <v>486.2</v>
      </c>
      <c r="F20" s="25" t="s">
        <v>7</v>
      </c>
      <c r="G20" s="25" t="s">
        <v>130</v>
      </c>
      <c r="H20" s="104"/>
      <c r="I20" s="85" t="s">
        <v>132</v>
      </c>
      <c r="J20" s="85"/>
      <c r="K20" s="85"/>
      <c r="L20" s="85" t="s">
        <v>3</v>
      </c>
      <c r="M20" s="56">
        <v>486.2</v>
      </c>
      <c r="N20" s="85" t="s">
        <v>7</v>
      </c>
      <c r="O20" s="85" t="s">
        <v>130</v>
      </c>
    </row>
    <row r="21" spans="1:15" x14ac:dyDescent="0.25">
      <c r="A21" s="71"/>
      <c r="B21" s="71"/>
      <c r="C21" s="71"/>
      <c r="D21" s="71"/>
      <c r="E21" s="25"/>
      <c r="F21" s="25"/>
      <c r="G21" s="25"/>
      <c r="H21" s="104"/>
      <c r="I21" s="85"/>
      <c r="J21" s="85"/>
      <c r="K21" s="85"/>
      <c r="L21" s="85"/>
      <c r="M21" s="85"/>
      <c r="N21" s="85"/>
      <c r="O21" s="85"/>
    </row>
    <row r="22" spans="1:15" ht="46.5" customHeight="1" x14ac:dyDescent="0.25">
      <c r="A22" s="30" t="s">
        <v>133</v>
      </c>
      <c r="B22" s="30"/>
      <c r="C22" s="30"/>
      <c r="D22" s="30"/>
      <c r="E22" s="30"/>
      <c r="F22" s="30"/>
      <c r="G22" s="30"/>
      <c r="H22" s="104"/>
      <c r="I22" s="109" t="s">
        <v>133</v>
      </c>
      <c r="J22" s="109"/>
      <c r="K22" s="109"/>
      <c r="L22" s="109"/>
      <c r="M22" s="109"/>
      <c r="N22" s="109"/>
      <c r="O22" s="109"/>
    </row>
    <row r="23" spans="1:15" ht="33.75" customHeight="1" x14ac:dyDescent="0.25">
      <c r="A23" s="30" t="str">
        <f>CONCATENATE( "Fig. 24-31 for superheated steam indicates that the inlet is superheated (i.e., ", C7, " °F is above the saturation temperature of ", E20, " °F) and gives an inlet entropy of:")</f>
        <v>Fig. 24-31 for superheated steam indicates that the inlet is superheated (i.e., 750 °F is above the saturation temperature of 486.2 °F) and gives an inlet entropy of:</v>
      </c>
      <c r="B23" s="30"/>
      <c r="C23" s="30"/>
      <c r="D23" s="30"/>
      <c r="E23" s="30"/>
      <c r="F23" s="30"/>
      <c r="G23" s="30"/>
      <c r="H23" s="104"/>
      <c r="I23" s="109" t="str">
        <f>CONCATENATE( "Fig. 24-31 for superheated steam indicates that the inlet is superheated (i.e., ", K7, " °F is above the saturation temperature of ", M20, " °F) and gives an inlet entropy of:")</f>
        <v>Fig. 24-31 for superheated steam indicates that the inlet is superheated (i.e., 750 °F is above the saturation temperature of 486.2 °F) and gives an inlet entropy of:</v>
      </c>
      <c r="J23" s="109"/>
      <c r="K23" s="109"/>
      <c r="L23" s="109"/>
      <c r="M23" s="109"/>
      <c r="N23" s="109"/>
      <c r="O23" s="109"/>
    </row>
    <row r="24" spans="1:15" x14ac:dyDescent="0.25">
      <c r="A24" s="71">
        <v>1.6109</v>
      </c>
      <c r="B24" s="71" t="s">
        <v>57</v>
      </c>
      <c r="C24" s="71"/>
      <c r="D24" s="71"/>
      <c r="E24" s="25"/>
      <c r="F24" s="25"/>
      <c r="G24" s="24" t="s">
        <v>130</v>
      </c>
      <c r="H24" s="104"/>
      <c r="I24" s="114">
        <v>1.6109</v>
      </c>
      <c r="J24" s="85" t="s">
        <v>57</v>
      </c>
      <c r="K24" s="85"/>
      <c r="L24" s="85"/>
      <c r="M24" s="85"/>
      <c r="N24" s="85"/>
      <c r="O24" s="85" t="s">
        <v>130</v>
      </c>
    </row>
    <row r="25" spans="1:15" ht="30" customHeight="1" x14ac:dyDescent="0.25">
      <c r="A25" s="30" t="s">
        <v>128</v>
      </c>
      <c r="B25" s="30"/>
      <c r="C25" s="30"/>
      <c r="D25" s="30"/>
      <c r="E25" s="30"/>
      <c r="F25" s="30"/>
      <c r="G25" s="30"/>
      <c r="H25" s="104"/>
      <c r="I25" s="109" t="s">
        <v>128</v>
      </c>
      <c r="J25" s="109"/>
      <c r="K25" s="109"/>
      <c r="L25" s="109"/>
      <c r="M25" s="109"/>
      <c r="N25" s="109"/>
      <c r="O25" s="109"/>
    </row>
    <row r="26" spans="1:15" x14ac:dyDescent="0.25">
      <c r="A26" s="71">
        <v>0.17499999999999999</v>
      </c>
      <c r="B26" s="71" t="s">
        <v>207</v>
      </c>
      <c r="C26" s="71"/>
      <c r="D26" s="71">
        <v>1.92</v>
      </c>
      <c r="E26" s="71" t="s">
        <v>57</v>
      </c>
      <c r="F26" s="25"/>
      <c r="G26" s="24" t="s">
        <v>131</v>
      </c>
      <c r="H26" s="104"/>
      <c r="I26" s="79">
        <v>0.17499999999999999</v>
      </c>
      <c r="J26" s="85" t="s">
        <v>208</v>
      </c>
      <c r="K26" s="85"/>
      <c r="L26" s="79">
        <v>1.92</v>
      </c>
      <c r="M26" s="85" t="s">
        <v>57</v>
      </c>
      <c r="N26" s="85"/>
      <c r="O26" s="85" t="s">
        <v>131</v>
      </c>
    </row>
    <row r="27" spans="1:15" ht="75" customHeight="1" x14ac:dyDescent="0.25">
      <c r="A27" s="30" t="s">
        <v>129</v>
      </c>
      <c r="B27" s="30"/>
      <c r="C27" s="30"/>
      <c r="D27" s="30"/>
      <c r="E27" s="30"/>
      <c r="F27" s="30"/>
      <c r="G27" s="30"/>
      <c r="H27" s="104"/>
      <c r="I27" s="109" t="s">
        <v>129</v>
      </c>
      <c r="J27" s="109"/>
      <c r="K27" s="109"/>
      <c r="L27" s="109"/>
      <c r="M27" s="109"/>
      <c r="N27" s="109"/>
      <c r="O27" s="109"/>
    </row>
    <row r="28" spans="1:15" x14ac:dyDescent="0.25">
      <c r="A28" s="71"/>
      <c r="B28" s="71"/>
      <c r="C28" s="71"/>
      <c r="D28" s="71"/>
      <c r="E28" s="25"/>
      <c r="F28" s="25"/>
      <c r="G28" s="25"/>
      <c r="H28" s="104"/>
      <c r="I28" s="85"/>
      <c r="J28" s="85"/>
      <c r="K28" s="85"/>
      <c r="L28" s="85"/>
      <c r="M28" s="85"/>
      <c r="N28" s="85"/>
      <c r="O28" s="85"/>
    </row>
    <row r="29" spans="1:15" x14ac:dyDescent="0.25">
      <c r="A29" s="71" t="str">
        <f>CONCATENATE("Inlet conditions at ",C6," psia and ",C7," °F (interpolating linearly on Fig. 24-31):")</f>
        <v>Inlet conditions at 600 psia and 750 °F (interpolating linearly on Fig. 24-31):</v>
      </c>
      <c r="B29" s="71"/>
      <c r="C29" s="71"/>
      <c r="D29" s="71"/>
      <c r="E29" s="25"/>
      <c r="F29" s="25"/>
      <c r="G29" s="25"/>
      <c r="H29" s="104"/>
      <c r="I29" s="85" t="str">
        <f>CONCATENATE("Inlet conditions at ",K6," psia and ",K7," °F (interpolating linearly on Fig. 24-31):")</f>
        <v>Inlet conditions at 600 psia and 750 °F (interpolating linearly on Fig. 24-31):</v>
      </c>
      <c r="J29" s="85"/>
      <c r="K29" s="85"/>
      <c r="L29" s="85"/>
      <c r="M29" s="85"/>
      <c r="N29" s="85"/>
      <c r="O29" s="85"/>
    </row>
    <row r="30" spans="1:15" x14ac:dyDescent="0.25">
      <c r="A30" s="39" t="s">
        <v>58</v>
      </c>
      <c r="B30" s="71">
        <v>1.6109</v>
      </c>
      <c r="C30" s="71" t="s">
        <v>57</v>
      </c>
      <c r="D30" s="71"/>
      <c r="E30" s="25"/>
      <c r="F30" s="25"/>
      <c r="G30" s="24" t="s">
        <v>130</v>
      </c>
      <c r="H30" s="104"/>
      <c r="I30" s="110" t="s">
        <v>58</v>
      </c>
      <c r="J30" s="79">
        <v>1.6109</v>
      </c>
      <c r="K30" s="85" t="s">
        <v>57</v>
      </c>
      <c r="L30" s="85"/>
      <c r="M30" s="85"/>
      <c r="N30" s="85"/>
      <c r="O30" s="85" t="s">
        <v>130</v>
      </c>
    </row>
    <row r="31" spans="1:15" x14ac:dyDescent="0.25">
      <c r="A31" s="39" t="s">
        <v>59</v>
      </c>
      <c r="B31" s="91">
        <v>1379.4</v>
      </c>
      <c r="C31" s="71" t="s">
        <v>60</v>
      </c>
      <c r="D31" s="71"/>
      <c r="E31" s="25"/>
      <c r="F31" s="25"/>
      <c r="G31" s="25"/>
      <c r="H31" s="104"/>
      <c r="I31" s="110" t="s">
        <v>59</v>
      </c>
      <c r="J31" s="99">
        <v>1379.4</v>
      </c>
      <c r="K31" s="85" t="s">
        <v>60</v>
      </c>
      <c r="L31" s="85"/>
      <c r="M31" s="85"/>
      <c r="N31" s="85"/>
      <c r="O31" s="85"/>
    </row>
    <row r="32" spans="1:15" x14ac:dyDescent="0.25">
      <c r="A32" s="71" t="str">
        <f>CONCATENATE("Exhaust conditions at ",C8," psia:")</f>
        <v>Exhaust conditions at 2 psia:</v>
      </c>
      <c r="B32" s="71"/>
      <c r="C32" s="71"/>
      <c r="D32" s="71"/>
      <c r="E32" s="25"/>
      <c r="F32" s="25"/>
      <c r="G32" s="25"/>
      <c r="H32" s="104"/>
      <c r="I32" s="85" t="str">
        <f>CONCATENATE("Exhaust conditions at ",K8," psia:")</f>
        <v>Exhaust conditions at 2 psia:</v>
      </c>
      <c r="J32" s="111"/>
      <c r="K32" s="85"/>
      <c r="L32" s="85"/>
      <c r="M32" s="85"/>
      <c r="N32" s="85"/>
      <c r="O32" s="85"/>
    </row>
    <row r="33" spans="1:15" ht="16.5" x14ac:dyDescent="0.3">
      <c r="A33" s="39" t="s">
        <v>61</v>
      </c>
      <c r="B33" s="71">
        <v>0.17499999999999999</v>
      </c>
      <c r="C33" s="71" t="s">
        <v>57</v>
      </c>
      <c r="D33" s="71"/>
      <c r="E33" s="25"/>
      <c r="F33" s="25"/>
      <c r="G33" s="24" t="s">
        <v>131</v>
      </c>
      <c r="H33" s="104"/>
      <c r="I33" s="110" t="s">
        <v>61</v>
      </c>
      <c r="J33" s="79">
        <v>0.17499999999999999</v>
      </c>
      <c r="K33" s="85" t="s">
        <v>57</v>
      </c>
      <c r="L33" s="85"/>
      <c r="M33" s="85"/>
      <c r="N33" s="85"/>
      <c r="O33" s="85" t="s">
        <v>131</v>
      </c>
    </row>
    <row r="34" spans="1:15" ht="16.5" x14ac:dyDescent="0.3">
      <c r="A34" s="39" t="s">
        <v>62</v>
      </c>
      <c r="B34" s="71">
        <v>1.92</v>
      </c>
      <c r="C34" s="71" t="s">
        <v>57</v>
      </c>
      <c r="D34" s="71"/>
      <c r="E34" s="25"/>
      <c r="F34" s="25"/>
      <c r="G34" s="25"/>
      <c r="H34" s="104"/>
      <c r="I34" s="110" t="s">
        <v>62</v>
      </c>
      <c r="J34" s="79">
        <v>1.92</v>
      </c>
      <c r="K34" s="85" t="s">
        <v>57</v>
      </c>
      <c r="L34" s="85"/>
      <c r="M34" s="85"/>
      <c r="N34" s="85"/>
      <c r="O34" s="85"/>
    </row>
    <row r="35" spans="1:15" ht="16.5" x14ac:dyDescent="0.3">
      <c r="A35" s="39" t="s">
        <v>63</v>
      </c>
      <c r="B35" s="71">
        <v>94.03</v>
      </c>
      <c r="C35" s="71" t="s">
        <v>60</v>
      </c>
      <c r="D35" s="71"/>
      <c r="E35" s="25"/>
      <c r="F35" s="25"/>
      <c r="G35" s="25"/>
      <c r="H35" s="104"/>
      <c r="I35" s="110" t="s">
        <v>63</v>
      </c>
      <c r="J35" s="79">
        <v>94.03</v>
      </c>
      <c r="K35" s="85" t="s">
        <v>60</v>
      </c>
      <c r="L35" s="85"/>
      <c r="M35" s="85"/>
      <c r="N35" s="85"/>
      <c r="O35" s="85"/>
    </row>
    <row r="36" spans="1:15" ht="16.5" x14ac:dyDescent="0.3">
      <c r="A36" s="39" t="s">
        <v>64</v>
      </c>
      <c r="B36" s="71">
        <v>1116.2</v>
      </c>
      <c r="C36" s="71" t="s">
        <v>60</v>
      </c>
      <c r="D36" s="71"/>
      <c r="E36" s="25"/>
      <c r="F36" s="25"/>
      <c r="G36" s="25"/>
      <c r="H36" s="104"/>
      <c r="I36" s="110" t="s">
        <v>64</v>
      </c>
      <c r="J36" s="79">
        <v>1116.2</v>
      </c>
      <c r="K36" s="85" t="s">
        <v>60</v>
      </c>
      <c r="L36" s="85"/>
      <c r="M36" s="85"/>
      <c r="N36" s="85"/>
      <c r="O36" s="85"/>
    </row>
    <row r="37" spans="1:15" x14ac:dyDescent="0.25">
      <c r="A37" s="71"/>
      <c r="B37" s="71"/>
      <c r="C37" s="71"/>
      <c r="D37" s="71"/>
      <c r="E37" s="25"/>
      <c r="F37" s="25"/>
      <c r="G37" s="25"/>
      <c r="H37" s="104"/>
      <c r="I37" s="85"/>
      <c r="J37" s="85"/>
      <c r="K37" s="85"/>
      <c r="L37" s="85"/>
      <c r="M37" s="85"/>
      <c r="N37" s="85"/>
      <c r="O37" s="85"/>
    </row>
    <row r="38" spans="1:15" x14ac:dyDescent="0.25">
      <c r="A38" s="71" t="s">
        <v>65</v>
      </c>
      <c r="B38" s="71"/>
      <c r="C38" s="71"/>
      <c r="D38" s="71"/>
      <c r="E38" s="25"/>
      <c r="F38" s="25"/>
      <c r="G38" s="25"/>
      <c r="H38" s="104"/>
      <c r="I38" s="85" t="s">
        <v>65</v>
      </c>
      <c r="J38" s="85"/>
      <c r="K38" s="85"/>
      <c r="L38" s="85"/>
      <c r="M38" s="85"/>
      <c r="N38" s="85"/>
      <c r="O38" s="85"/>
    </row>
    <row r="39" spans="1:15" x14ac:dyDescent="0.25">
      <c r="A39" s="71" t="str">
        <f>CONCATENATE(B30," = x (",B33,") + (1 - x)(",B34,")")</f>
        <v>1.6109 = x (0.175) + (1 - x)(1.92)</v>
      </c>
      <c r="B39" s="71"/>
      <c r="C39" s="71"/>
      <c r="D39" s="71"/>
      <c r="E39" s="25"/>
      <c r="F39" s="25"/>
      <c r="G39" s="25"/>
      <c r="H39" s="104"/>
      <c r="I39" s="85" t="str">
        <f>CONCATENATE(J30," = x (",J33,") + (1 - x)(",J34,")")</f>
        <v>1.6109 = x (0.175) + (1 - x)(1.92)</v>
      </c>
      <c r="J39" s="85"/>
      <c r="K39" s="85"/>
      <c r="L39" s="85"/>
      <c r="M39" s="85"/>
      <c r="N39" s="85"/>
      <c r="O39" s="85"/>
    </row>
    <row r="40" spans="1:15" x14ac:dyDescent="0.25">
      <c r="A40" s="39" t="s">
        <v>66</v>
      </c>
      <c r="B40" s="71">
        <f>ROUND((B30-B34)/(B33-B34),4)</f>
        <v>0.17710000000000001</v>
      </c>
      <c r="C40" s="71"/>
      <c r="D40" s="71"/>
      <c r="E40" s="25"/>
      <c r="F40" s="25"/>
      <c r="G40" s="25"/>
      <c r="H40" s="104"/>
      <c r="I40" s="110" t="s">
        <v>66</v>
      </c>
      <c r="J40" s="115">
        <f>((J30-J34)/(J33-J34))</f>
        <v>0.17713467048710599</v>
      </c>
      <c r="K40" s="85"/>
      <c r="L40" s="85"/>
      <c r="M40" s="85"/>
      <c r="N40" s="85"/>
      <c r="O40" s="85"/>
    </row>
    <row r="41" spans="1:15" x14ac:dyDescent="0.25">
      <c r="A41" s="39" t="s">
        <v>67</v>
      </c>
      <c r="B41" s="71">
        <f>1-B40</f>
        <v>0.82289999999999996</v>
      </c>
      <c r="C41" s="71" t="s">
        <v>68</v>
      </c>
      <c r="D41" s="71"/>
      <c r="E41" s="25"/>
      <c r="F41" s="25"/>
      <c r="G41" s="25"/>
      <c r="H41" s="104"/>
      <c r="I41" s="110" t="s">
        <v>67</v>
      </c>
      <c r="J41" s="115">
        <f>1-J40</f>
        <v>0.82286532951289404</v>
      </c>
      <c r="K41" s="85" t="s">
        <v>68</v>
      </c>
      <c r="L41" s="85"/>
      <c r="M41" s="85"/>
      <c r="N41" s="85"/>
      <c r="O41" s="85"/>
    </row>
    <row r="42" spans="1:15" x14ac:dyDescent="0.25">
      <c r="A42" s="71" t="str">
        <f>CONCATENATE("Exhaust enthalpy = (",B40,")(",B35,") + (",B41,")(",B36,")")</f>
        <v>Exhaust enthalpy = (0.1771)(94.03) + (0.8229)(1116.2)</v>
      </c>
      <c r="B42" s="71"/>
      <c r="C42" s="71"/>
      <c r="D42" s="71"/>
      <c r="E42" s="25"/>
      <c r="F42" s="25"/>
      <c r="G42" s="25"/>
      <c r="H42" s="104"/>
      <c r="I42" s="85" t="str">
        <f>CONCATENATE("Exhaust enthalpy = (",ROUND(J40,4),")(",J35,") + (",ROUND(J41,4),")(",J36,")")</f>
        <v>Exhaust enthalpy = (0.1771)(94.03) + (0.8229)(1116.2)</v>
      </c>
      <c r="J42" s="85"/>
      <c r="K42" s="85"/>
      <c r="L42" s="85"/>
      <c r="M42" s="85"/>
      <c r="N42" s="85"/>
      <c r="O42" s="85"/>
    </row>
    <row r="43" spans="1:15" x14ac:dyDescent="0.25">
      <c r="A43" s="39" t="s">
        <v>3</v>
      </c>
      <c r="B43" s="71">
        <f>ROUND(B40*B35+B41*B36,1)</f>
        <v>935.2</v>
      </c>
      <c r="C43" s="71" t="s">
        <v>60</v>
      </c>
      <c r="D43" s="71"/>
      <c r="E43" s="25"/>
      <c r="F43" s="25"/>
      <c r="G43" s="25"/>
      <c r="H43" s="104"/>
      <c r="I43" s="110" t="s">
        <v>3</v>
      </c>
      <c r="J43" s="116">
        <f>(J40*J35+J41*J36)</f>
        <v>935.13825386819497</v>
      </c>
      <c r="K43" s="85" t="s">
        <v>60</v>
      </c>
      <c r="L43" s="85"/>
      <c r="M43" s="85"/>
      <c r="N43" s="85"/>
      <c r="O43" s="85"/>
    </row>
    <row r="44" spans="1:15" x14ac:dyDescent="0.25">
      <c r="A44" s="71" t="str">
        <f>CONCATENATE("Enthalpy change = ",B43," - ",B31)</f>
        <v>Enthalpy change = 935.2 - 1379.4</v>
      </c>
      <c r="B44" s="71"/>
      <c r="C44" s="71"/>
      <c r="D44" s="71"/>
      <c r="E44" s="25"/>
      <c r="F44" s="25"/>
      <c r="G44" s="25"/>
      <c r="H44" s="104"/>
      <c r="I44" s="85" t="str">
        <f>CONCATENATE("Enthalpy change = ",J43," - ",J31)</f>
        <v>Enthalpy change = 935.138253868195 - 1379.4</v>
      </c>
      <c r="J44" s="85"/>
      <c r="K44" s="85"/>
      <c r="L44" s="85"/>
      <c r="M44" s="85"/>
      <c r="N44" s="85"/>
      <c r="O44" s="85"/>
    </row>
    <row r="45" spans="1:15" x14ac:dyDescent="0.25">
      <c r="A45" s="39" t="s">
        <v>3</v>
      </c>
      <c r="B45" s="71">
        <f>ROUND(B43-B31,1)</f>
        <v>-444.2</v>
      </c>
      <c r="C45" s="71" t="s">
        <v>60</v>
      </c>
      <c r="D45" s="71"/>
      <c r="E45" s="25"/>
      <c r="F45" s="25"/>
      <c r="G45" s="25"/>
      <c r="H45" s="104"/>
      <c r="I45" s="110" t="s">
        <v>3</v>
      </c>
      <c r="J45" s="116">
        <f>(J43-J31)</f>
        <v>-444.26174613180513</v>
      </c>
      <c r="K45" s="85" t="s">
        <v>60</v>
      </c>
      <c r="L45" s="85"/>
      <c r="M45" s="85"/>
      <c r="N45" s="85"/>
      <c r="O45" s="85"/>
    </row>
    <row r="46" spans="1:15" x14ac:dyDescent="0.25">
      <c r="A46" s="71"/>
      <c r="B46" s="71"/>
      <c r="C46" s="71"/>
      <c r="D46" s="71"/>
      <c r="E46" s="25"/>
      <c r="F46" s="25"/>
      <c r="G46" s="25"/>
      <c r="H46" s="104"/>
      <c r="I46" s="85"/>
      <c r="J46" s="85"/>
      <c r="K46" s="85"/>
      <c r="L46" s="85"/>
      <c r="M46" s="85"/>
      <c r="N46" s="85"/>
      <c r="O46" s="85"/>
    </row>
    <row r="47" spans="1:15" x14ac:dyDescent="0.25">
      <c r="A47" s="71" t="str">
        <f>CONCATENATE("Substituting Btu = (hp . hr)/2544")</f>
        <v>Substituting Btu = (hp . hr)/2544</v>
      </c>
      <c r="B47" s="71"/>
      <c r="C47" s="71"/>
      <c r="D47" s="71"/>
      <c r="E47" s="25"/>
      <c r="F47" s="25"/>
      <c r="G47" s="25"/>
      <c r="H47" s="104"/>
      <c r="I47" s="85" t="s">
        <v>205</v>
      </c>
      <c r="J47" s="85"/>
      <c r="K47" s="85"/>
      <c r="L47" s="85"/>
      <c r="M47" s="85"/>
      <c r="N47" s="85"/>
      <c r="O47" s="85"/>
    </row>
    <row r="48" spans="1:15" x14ac:dyDescent="0.25">
      <c r="A48" s="71" t="str">
        <f>CONCATENATE("Enthalpy change = (",B45,"/2544) = (-1/",ROUND(-2544/B45,3),")(hp • hr)/lb")</f>
        <v>Enthalpy change = (-444.2/2544) = (-1/5.727)(hp • hr)/lb</v>
      </c>
      <c r="B48" s="71"/>
      <c r="C48" s="71"/>
      <c r="D48" s="71"/>
      <c r="E48" s="25"/>
      <c r="F48" s="25"/>
      <c r="G48" s="25"/>
      <c r="H48" s="104"/>
      <c r="I48" s="85" t="s">
        <v>206</v>
      </c>
      <c r="J48" s="111"/>
      <c r="K48" s="85"/>
      <c r="L48" s="85"/>
      <c r="M48" s="85"/>
      <c r="N48" s="85"/>
      <c r="O48" s="85"/>
    </row>
    <row r="49" spans="1:15" x14ac:dyDescent="0.25">
      <c r="A49" s="71" t="s">
        <v>70</v>
      </c>
      <c r="B49" s="71"/>
      <c r="C49" s="71"/>
      <c r="D49" s="71"/>
      <c r="E49" s="25"/>
      <c r="F49" s="25"/>
      <c r="G49" s="25"/>
      <c r="H49" s="104"/>
      <c r="I49" s="85" t="s">
        <v>70</v>
      </c>
      <c r="J49" s="85"/>
      <c r="K49" s="85"/>
      <c r="L49" s="85"/>
      <c r="M49" s="85"/>
      <c r="N49" s="85"/>
      <c r="O49" s="85"/>
    </row>
    <row r="50" spans="1:15" x14ac:dyDescent="0.25">
      <c r="A50" s="39" t="s">
        <v>3</v>
      </c>
      <c r="B50" s="112">
        <f>ROUND(ABS(2544/B45),3)</f>
        <v>5.7270000000000003</v>
      </c>
      <c r="C50" s="71" t="s">
        <v>71</v>
      </c>
      <c r="D50" s="71"/>
      <c r="E50" s="25"/>
      <c r="F50" s="25"/>
      <c r="G50" s="25"/>
      <c r="H50" s="104"/>
      <c r="I50" s="110" t="s">
        <v>3</v>
      </c>
      <c r="J50" s="117">
        <f>ROUND(ABS(2544/J45),3)</f>
        <v>5.726</v>
      </c>
      <c r="K50" s="85" t="s">
        <v>71</v>
      </c>
      <c r="L50" s="85"/>
      <c r="M50" s="85"/>
      <c r="N50" s="85"/>
      <c r="O50" s="85"/>
    </row>
    <row r="51" spans="1:15" x14ac:dyDescent="0.25">
      <c r="A51" s="39"/>
      <c r="B51" s="71"/>
      <c r="C51" s="71"/>
      <c r="D51" s="71"/>
      <c r="E51" s="25"/>
      <c r="F51" s="25"/>
      <c r="G51" s="25"/>
      <c r="H51" s="104"/>
      <c r="I51" s="85"/>
      <c r="J51" s="85"/>
      <c r="K51" s="85"/>
      <c r="L51" s="85"/>
      <c r="M51" s="85"/>
      <c r="N51" s="85"/>
      <c r="O51" s="85"/>
    </row>
    <row r="52" spans="1:15" x14ac:dyDescent="0.25">
      <c r="A52" s="71" t="s">
        <v>72</v>
      </c>
      <c r="B52" s="71">
        <v>0.72899999999999998</v>
      </c>
      <c r="C52" s="71"/>
      <c r="D52" s="71"/>
      <c r="E52" s="25"/>
      <c r="F52" s="25"/>
      <c r="G52" s="25" t="s">
        <v>156</v>
      </c>
      <c r="H52" s="104"/>
      <c r="I52" s="85" t="s">
        <v>72</v>
      </c>
      <c r="J52" s="79">
        <v>0.72899999999999998</v>
      </c>
      <c r="K52" s="85"/>
      <c r="L52" s="85"/>
      <c r="M52" s="85"/>
      <c r="N52" s="85"/>
      <c r="O52" s="85" t="s">
        <v>156</v>
      </c>
    </row>
    <row r="53" spans="1:15" x14ac:dyDescent="0.25">
      <c r="A53" s="71" t="s">
        <v>157</v>
      </c>
      <c r="B53" s="71"/>
      <c r="C53" s="71">
        <f>+E20</f>
        <v>486.2</v>
      </c>
      <c r="D53" s="71" t="s">
        <v>7</v>
      </c>
      <c r="E53" s="25"/>
      <c r="F53" s="25"/>
      <c r="G53" s="39" t="s">
        <v>158</v>
      </c>
      <c r="H53" s="104"/>
      <c r="I53" s="85" t="s">
        <v>157</v>
      </c>
      <c r="J53" s="85"/>
      <c r="K53" s="114">
        <f>M20</f>
        <v>486.2</v>
      </c>
      <c r="L53" s="85" t="s">
        <v>7</v>
      </c>
      <c r="M53" s="85"/>
      <c r="N53" s="85"/>
      <c r="O53" s="110" t="s">
        <v>158</v>
      </c>
    </row>
    <row r="54" spans="1:15" x14ac:dyDescent="0.25">
      <c r="A54" s="71" t="str">
        <f>CONCATENATE("Inlet superheat = ",C7," - ",C53," = ",C7-C53," °F")</f>
        <v>Inlet superheat = 750 - 486.2 = 263.8 °F</v>
      </c>
      <c r="B54" s="71"/>
      <c r="C54" s="71"/>
      <c r="D54" s="71"/>
      <c r="E54" s="25"/>
      <c r="F54" s="25"/>
      <c r="G54" s="25"/>
      <c r="H54" s="104"/>
      <c r="I54" s="114" t="str">
        <f>CONCATENATE("Inlet superheat = ",K7," - ",K53," = ",ROUND(K7-K53,0)," °F")</f>
        <v>Inlet superheat = 750 - 486.2 = 264 °F</v>
      </c>
      <c r="J54" s="114"/>
      <c r="K54" s="114"/>
      <c r="L54" s="85"/>
      <c r="M54" s="85"/>
      <c r="N54" s="85"/>
      <c r="O54" s="85"/>
    </row>
    <row r="55" spans="1:15" x14ac:dyDescent="0.25">
      <c r="A55" s="71" t="s">
        <v>159</v>
      </c>
      <c r="B55" s="71"/>
      <c r="C55" s="71"/>
      <c r="D55" s="71">
        <v>1.03</v>
      </c>
      <c r="E55" s="25"/>
      <c r="F55" s="25"/>
      <c r="G55" s="25" t="s">
        <v>160</v>
      </c>
      <c r="H55" s="104"/>
      <c r="I55" s="85" t="s">
        <v>159</v>
      </c>
      <c r="J55" s="85"/>
      <c r="K55" s="85"/>
      <c r="L55" s="79">
        <v>1.03</v>
      </c>
      <c r="M55" s="85"/>
      <c r="N55" s="85"/>
      <c r="O55" s="85" t="s">
        <v>160</v>
      </c>
    </row>
    <row r="56" spans="1:15" x14ac:dyDescent="0.25">
      <c r="A56" s="71" t="s">
        <v>161</v>
      </c>
      <c r="B56" s="71"/>
      <c r="C56" s="71"/>
      <c r="D56" s="71">
        <v>0.95699999999999996</v>
      </c>
      <c r="E56" s="25"/>
      <c r="F56" s="25"/>
      <c r="G56" s="25" t="s">
        <v>162</v>
      </c>
      <c r="H56" s="104"/>
      <c r="I56" s="85" t="s">
        <v>161</v>
      </c>
      <c r="J56" s="113"/>
      <c r="K56" s="85"/>
      <c r="L56" s="79">
        <v>0.95699999999999996</v>
      </c>
      <c r="M56" s="85"/>
      <c r="N56" s="85"/>
      <c r="O56" s="85" t="s">
        <v>162</v>
      </c>
    </row>
    <row r="57" spans="1:15" x14ac:dyDescent="0.25">
      <c r="A57" s="71" t="str">
        <f>CONCATENATE("Corrected efficiency = (",B52,")(",D55,")(",D56,") = ")</f>
        <v xml:space="preserve">Corrected efficiency = (0.729)(1.03)(0.957) = </v>
      </c>
      <c r="B57" s="71"/>
      <c r="C57" s="71"/>
      <c r="D57" s="71">
        <f>ROUND(B52*D55*D56,3)</f>
        <v>0.71899999999999997</v>
      </c>
      <c r="E57" s="25"/>
      <c r="F57" s="25"/>
      <c r="G57" s="25"/>
      <c r="H57" s="104"/>
      <c r="I57" s="85" t="str">
        <f>CONCATENATE("Corrected efficiency = (",J52,")(",L55,")(",L56,") = ")</f>
        <v xml:space="preserve">Corrected efficiency = (0.729)(1.03)(0.957) = </v>
      </c>
      <c r="J57" s="85"/>
      <c r="K57" s="85"/>
      <c r="L57" s="118">
        <f>(J52*L55*L56)</f>
        <v>0.71858259000000002</v>
      </c>
      <c r="M57" s="85"/>
      <c r="N57" s="85"/>
      <c r="O57" s="85"/>
    </row>
    <row r="58" spans="1:15" x14ac:dyDescent="0.25">
      <c r="A58" s="71"/>
      <c r="B58" s="71"/>
      <c r="C58" s="71"/>
      <c r="D58" s="71"/>
      <c r="E58" s="25"/>
      <c r="F58" s="25"/>
      <c r="G58" s="25"/>
      <c r="H58" s="104"/>
      <c r="I58" s="85"/>
      <c r="J58" s="85"/>
      <c r="K58" s="85"/>
      <c r="L58" s="85"/>
      <c r="M58" s="85"/>
      <c r="N58" s="85"/>
      <c r="O58" s="85"/>
    </row>
    <row r="59" spans="1:15" x14ac:dyDescent="0.25">
      <c r="A59" s="71" t="str">
        <f>CONCATENATE("ASR = ",B50,"/",D57," = ")</f>
        <v xml:space="preserve">ASR = 5.727/0.719 = </v>
      </c>
      <c r="B59" s="71">
        <f>ROUND(B50/D57,2)</f>
        <v>7.97</v>
      </c>
      <c r="C59" s="71" t="s">
        <v>71</v>
      </c>
      <c r="D59" s="71"/>
      <c r="E59" s="25"/>
      <c r="F59" s="25"/>
      <c r="G59" s="25"/>
      <c r="H59" s="104"/>
      <c r="I59" s="85" t="str">
        <f>CONCATENATE("ASR = ",J50,"/",ROUND(L57,2)," = ")</f>
        <v xml:space="preserve">ASR = 5.726/0.72 = </v>
      </c>
      <c r="J59" s="119">
        <f>(J50/L57)</f>
        <v>7.9684646965911039</v>
      </c>
      <c r="K59" s="85" t="s">
        <v>71</v>
      </c>
      <c r="L59" s="85"/>
      <c r="M59" s="85"/>
      <c r="N59" s="85"/>
      <c r="O59" s="85"/>
    </row>
    <row r="60" spans="1:15" x14ac:dyDescent="0.25">
      <c r="A60" s="71" t="str">
        <f>CONCATENATE("F = (",C9," hp) ",B59," lb/(hp • hr) = ")</f>
        <v xml:space="preserve">F = (6000 hp) 7.97 lb/(hp • hr) = </v>
      </c>
      <c r="B60" s="71"/>
      <c r="C60" s="95">
        <f>ROUND(C9*B59,-2)</f>
        <v>47800</v>
      </c>
      <c r="D60" s="71" t="s">
        <v>163</v>
      </c>
      <c r="E60" s="25"/>
      <c r="F60" s="25"/>
      <c r="G60" s="25"/>
      <c r="H60" s="104"/>
      <c r="I60" s="85" t="str">
        <f>CONCATENATE("F = (",K9," hp) ",ROUND(J59,2)," lb/(hp • hr) = ")</f>
        <v xml:space="preserve">F = (6000 hp) 7.97 lb/(hp • hr) = </v>
      </c>
      <c r="J60" s="85"/>
      <c r="K60" s="120">
        <f>(K9*J59)</f>
        <v>47810.788179546624</v>
      </c>
      <c r="L60" s="85" t="s">
        <v>163</v>
      </c>
      <c r="M60" s="85"/>
      <c r="N60" s="85"/>
      <c r="O60" s="85"/>
    </row>
    <row r="61" spans="1:15" x14ac:dyDescent="0.25">
      <c r="A61" s="71"/>
      <c r="B61" s="71"/>
      <c r="C61" s="71"/>
      <c r="D61" s="71"/>
      <c r="E61" s="25"/>
      <c r="F61" s="25"/>
      <c r="G61" s="25"/>
      <c r="H61" s="104"/>
      <c r="I61" s="85"/>
      <c r="J61" s="85"/>
      <c r="K61" s="85"/>
      <c r="L61" s="85"/>
      <c r="M61" s="85"/>
      <c r="N61" s="85"/>
      <c r="O61" s="85"/>
    </row>
    <row r="62" spans="1:15" x14ac:dyDescent="0.25">
      <c r="A62" s="71" t="s">
        <v>164</v>
      </c>
      <c r="B62" s="71"/>
      <c r="C62" s="71"/>
      <c r="D62" s="71"/>
      <c r="E62" s="25"/>
      <c r="F62" s="25"/>
      <c r="G62" s="25"/>
      <c r="H62" s="104"/>
      <c r="I62" s="85" t="s">
        <v>164</v>
      </c>
      <c r="J62" s="85"/>
      <c r="K62" s="85"/>
      <c r="L62" s="85"/>
      <c r="M62" s="85"/>
      <c r="N62" s="85"/>
      <c r="O62" s="85"/>
    </row>
    <row r="63" spans="1:15" x14ac:dyDescent="0.25">
      <c r="A63" s="71" t="s">
        <v>165</v>
      </c>
      <c r="B63" s="71"/>
      <c r="C63" s="71"/>
      <c r="D63" s="71"/>
      <c r="E63" s="25"/>
      <c r="F63" s="25"/>
      <c r="G63" s="24" t="s">
        <v>166</v>
      </c>
      <c r="H63" s="104"/>
      <c r="I63" s="85" t="s">
        <v>165</v>
      </c>
      <c r="J63" s="85"/>
      <c r="K63" s="85"/>
      <c r="L63" s="85"/>
      <c r="M63" s="85"/>
      <c r="N63" s="85"/>
      <c r="O63" s="85" t="s">
        <v>166</v>
      </c>
    </row>
    <row r="64" spans="1:15" x14ac:dyDescent="0.25">
      <c r="A64" s="71" t="s">
        <v>167</v>
      </c>
      <c r="B64" s="71"/>
      <c r="C64" s="71"/>
      <c r="D64" s="71"/>
      <c r="E64" s="25"/>
      <c r="F64" s="25">
        <v>150</v>
      </c>
      <c r="G64" s="25" t="s">
        <v>168</v>
      </c>
      <c r="H64" s="104"/>
      <c r="I64" s="85" t="s">
        <v>167</v>
      </c>
      <c r="J64" s="85"/>
      <c r="K64" s="85"/>
      <c r="L64" s="85"/>
      <c r="M64" s="85"/>
      <c r="N64" s="56">
        <v>150</v>
      </c>
      <c r="O64" s="85" t="s">
        <v>168</v>
      </c>
    </row>
    <row r="65" spans="1:15" x14ac:dyDescent="0.25">
      <c r="A65" s="39" t="s">
        <v>169</v>
      </c>
      <c r="B65" s="71">
        <v>0.88</v>
      </c>
      <c r="C65" s="71" t="str">
        <f>CONCATENATE("lb/ft3 @ ",C6," psia and ",C7," °F")</f>
        <v>lb/ft3 @ 600 psia and 750 °F</v>
      </c>
      <c r="D65" s="71"/>
      <c r="E65" s="25"/>
      <c r="F65" s="25"/>
      <c r="G65" s="25" t="s">
        <v>130</v>
      </c>
      <c r="H65" s="104"/>
      <c r="I65" s="110" t="s">
        <v>169</v>
      </c>
      <c r="J65" s="79">
        <v>0.88</v>
      </c>
      <c r="K65" s="85" t="str">
        <f>CONCATENATE("lb/ft3 @ ",K6," psia and ",K7," °F")</f>
        <v>lb/ft3 @ 600 psia and 750 °F</v>
      </c>
      <c r="L65" s="85"/>
      <c r="M65" s="85"/>
      <c r="N65" s="85"/>
      <c r="O65" s="85" t="s">
        <v>130</v>
      </c>
    </row>
    <row r="66" spans="1:15" x14ac:dyDescent="0.25">
      <c r="A66" s="39" t="s">
        <v>170</v>
      </c>
      <c r="B66" s="71">
        <f>ROUND(SQRT((0.051*C60)/(B65*150)),1)</f>
        <v>4.3</v>
      </c>
      <c r="C66" s="71" t="s">
        <v>171</v>
      </c>
      <c r="D66" s="71"/>
      <c r="E66" s="25"/>
      <c r="F66" s="25"/>
      <c r="G66" s="25"/>
      <c r="H66" s="104"/>
      <c r="I66" s="110" t="s">
        <v>170</v>
      </c>
      <c r="J66" s="114">
        <f>ROUND(SQRT((0.051*K60)/(J65*150)),1)</f>
        <v>4.3</v>
      </c>
      <c r="K66" s="85" t="s">
        <v>171</v>
      </c>
      <c r="L66" s="85"/>
      <c r="M66" s="85"/>
      <c r="N66" s="85"/>
      <c r="O66" s="85"/>
    </row>
    <row r="67" spans="1:15" x14ac:dyDescent="0.25">
      <c r="A67" s="39" t="s">
        <v>172</v>
      </c>
      <c r="B67" s="71">
        <v>4</v>
      </c>
      <c r="C67" s="71" t="s">
        <v>173</v>
      </c>
      <c r="D67" s="71"/>
      <c r="E67" s="25"/>
      <c r="F67" s="25"/>
      <c r="G67" s="25" t="s">
        <v>174</v>
      </c>
      <c r="H67" s="104"/>
      <c r="I67" s="110" t="s">
        <v>172</v>
      </c>
      <c r="J67" s="79">
        <v>4</v>
      </c>
      <c r="K67" s="85" t="s">
        <v>173</v>
      </c>
      <c r="L67" s="85"/>
      <c r="M67" s="85"/>
      <c r="N67" s="85"/>
      <c r="O67" s="85" t="s">
        <v>174</v>
      </c>
    </row>
    <row r="68" spans="1:15" x14ac:dyDescent="0.25">
      <c r="A68" s="71"/>
      <c r="B68" s="71"/>
      <c r="C68" s="71"/>
      <c r="D68" s="71"/>
      <c r="E68" s="25"/>
      <c r="F68" s="25"/>
      <c r="G68" s="25"/>
      <c r="H68" s="104"/>
      <c r="I68" s="85"/>
      <c r="J68" s="85"/>
      <c r="K68" s="85"/>
      <c r="L68" s="85"/>
      <c r="M68" s="85"/>
      <c r="N68" s="85"/>
      <c r="O68" s="85"/>
    </row>
    <row r="69" spans="1:15" x14ac:dyDescent="0.25">
      <c r="A69" s="71" t="s">
        <v>175</v>
      </c>
      <c r="B69" s="71"/>
      <c r="C69" s="71"/>
      <c r="D69" s="71"/>
      <c r="E69" s="25"/>
      <c r="F69" s="25">
        <v>450</v>
      </c>
      <c r="G69" s="25" t="s">
        <v>168</v>
      </c>
      <c r="H69" s="104"/>
      <c r="I69" s="85" t="s">
        <v>175</v>
      </c>
      <c r="J69" s="85"/>
      <c r="K69" s="85"/>
      <c r="L69" s="85"/>
      <c r="M69" s="85"/>
      <c r="N69" s="56">
        <v>450</v>
      </c>
      <c r="O69" s="85" t="s">
        <v>168</v>
      </c>
    </row>
    <row r="70" spans="1:15" x14ac:dyDescent="0.25">
      <c r="A70" s="39" t="s">
        <v>176</v>
      </c>
      <c r="B70" s="71">
        <v>5.7000000000000002E-3</v>
      </c>
      <c r="C70" s="71" t="str">
        <f>CONCATENATE("lb/ft3 @ ",C8," psia")</f>
        <v>lb/ft3 @ 2 psia</v>
      </c>
      <c r="D70" s="71"/>
      <c r="E70" s="25"/>
      <c r="F70" s="25"/>
      <c r="G70" s="25" t="s">
        <v>131</v>
      </c>
      <c r="H70" s="104"/>
      <c r="I70" s="110" t="s">
        <v>176</v>
      </c>
      <c r="J70" s="79">
        <v>5.7000000000000002E-3</v>
      </c>
      <c r="K70" s="85" t="str">
        <f>CONCATENATE("lb/ft3 @ ",K8," psia")</f>
        <v>lb/ft3 @ 2 psia</v>
      </c>
      <c r="L70" s="85"/>
      <c r="M70" s="85"/>
      <c r="N70" s="85"/>
      <c r="O70" s="85" t="s">
        <v>131</v>
      </c>
    </row>
    <row r="71" spans="1:15" x14ac:dyDescent="0.25">
      <c r="A71" s="39" t="s">
        <v>170</v>
      </c>
      <c r="B71" s="71">
        <f>ROUND(SQRT((0.051*C60)/(B70*450)),1)</f>
        <v>30.8</v>
      </c>
      <c r="C71" s="71" t="s">
        <v>171</v>
      </c>
      <c r="D71" s="71"/>
      <c r="E71" s="25"/>
      <c r="F71" s="25"/>
      <c r="G71" s="25"/>
      <c r="H71" s="104"/>
      <c r="I71" s="110" t="s">
        <v>170</v>
      </c>
      <c r="J71" s="116">
        <f>(SQRT((0.051*K60)/(J70*450)))</f>
        <v>30.832188675809135</v>
      </c>
      <c r="K71" s="85" t="s">
        <v>171</v>
      </c>
      <c r="L71" s="85"/>
      <c r="M71" s="85"/>
      <c r="N71" s="85"/>
      <c r="O71" s="85"/>
    </row>
    <row r="72" spans="1:15" x14ac:dyDescent="0.25">
      <c r="A72" s="39" t="s">
        <v>172</v>
      </c>
      <c r="B72" s="71">
        <v>30</v>
      </c>
      <c r="C72" s="71" t="s">
        <v>177</v>
      </c>
      <c r="D72" s="71"/>
      <c r="E72" s="25"/>
      <c r="F72" s="25"/>
      <c r="G72" s="25" t="s">
        <v>174</v>
      </c>
      <c r="H72" s="104"/>
      <c r="I72" s="110" t="s">
        <v>172</v>
      </c>
      <c r="J72" s="79">
        <v>30</v>
      </c>
      <c r="K72" s="85" t="s">
        <v>177</v>
      </c>
      <c r="L72" s="85"/>
      <c r="M72" s="85"/>
      <c r="N72" s="85"/>
      <c r="O72" s="85" t="s">
        <v>174</v>
      </c>
    </row>
    <row r="73" spans="1:15" x14ac:dyDescent="0.25">
      <c r="A73" s="71"/>
      <c r="B73" s="71"/>
      <c r="C73" s="71"/>
      <c r="D73" s="71"/>
      <c r="E73" s="25"/>
      <c r="F73" s="25"/>
      <c r="G73" s="25"/>
      <c r="H73" s="104"/>
      <c r="I73" s="85"/>
      <c r="J73" s="85"/>
      <c r="K73" s="85"/>
      <c r="L73" s="85"/>
      <c r="M73" s="85"/>
      <c r="N73" s="85"/>
      <c r="O73" s="85"/>
    </row>
    <row r="74" spans="1:15" x14ac:dyDescent="0.25">
      <c r="A74" s="71" t="s">
        <v>178</v>
      </c>
      <c r="B74" s="71"/>
      <c r="C74" s="71"/>
      <c r="D74" s="71"/>
      <c r="E74" s="25"/>
      <c r="F74" s="25"/>
      <c r="G74" s="25"/>
      <c r="H74" s="104"/>
      <c r="I74" s="85" t="s">
        <v>178</v>
      </c>
      <c r="J74" s="85"/>
      <c r="K74" s="85"/>
      <c r="L74" s="85"/>
      <c r="M74" s="85"/>
      <c r="N74" s="85"/>
      <c r="O74" s="85"/>
    </row>
    <row r="75" spans="1:15" x14ac:dyDescent="0.25">
      <c r="A75" s="71" t="str">
        <f>CONCATENATE(C10," RPM indicates that between")</f>
        <v>7000 RPM indicates that between</v>
      </c>
      <c r="B75" s="71"/>
      <c r="C75" s="71">
        <v>1.5</v>
      </c>
      <c r="D75" s="24" t="s">
        <v>179</v>
      </c>
      <c r="E75" s="25">
        <v>2</v>
      </c>
      <c r="F75" s="25" t="s">
        <v>180</v>
      </c>
      <c r="G75" s="25"/>
      <c r="H75" s="104"/>
      <c r="I75" s="85" t="str">
        <f>CONCATENATE(K10," RPM indicates that between")</f>
        <v>7000 RPM indicates that between</v>
      </c>
      <c r="J75" s="85"/>
      <c r="K75" s="79">
        <v>1.5</v>
      </c>
      <c r="L75" s="85" t="s">
        <v>179</v>
      </c>
      <c r="M75" s="29">
        <v>2</v>
      </c>
      <c r="N75" s="85" t="s">
        <v>180</v>
      </c>
      <c r="O75" s="85"/>
    </row>
    <row r="76" spans="1:15" x14ac:dyDescent="0.25">
      <c r="A76" s="71" t="s">
        <v>181</v>
      </c>
      <c r="B76" s="71"/>
      <c r="C76" s="71"/>
      <c r="D76" s="71"/>
      <c r="E76" s="25"/>
      <c r="F76" s="25"/>
      <c r="G76" s="25"/>
      <c r="H76" s="104"/>
      <c r="I76" s="85" t="s">
        <v>181</v>
      </c>
      <c r="J76" s="85"/>
      <c r="K76" s="85"/>
      <c r="L76" s="85"/>
      <c r="M76" s="85"/>
      <c r="N76" s="85"/>
      <c r="O76" s="85"/>
    </row>
    <row r="77" spans="1:15" x14ac:dyDescent="0.25">
      <c r="A77" s="71"/>
      <c r="B77" s="71"/>
      <c r="C77" s="71"/>
      <c r="D77" s="71"/>
      <c r="E77" s="25"/>
      <c r="F77" s="25"/>
      <c r="G77" s="25"/>
      <c r="H77" s="104"/>
      <c r="I77" s="85"/>
      <c r="J77" s="85"/>
      <c r="K77" s="85"/>
      <c r="L77" s="85"/>
      <c r="M77" s="85"/>
      <c r="N77" s="85"/>
      <c r="O77" s="85"/>
    </row>
    <row r="78" spans="1:15" x14ac:dyDescent="0.25">
      <c r="A78" s="71" t="s">
        <v>182</v>
      </c>
      <c r="B78" s="71"/>
      <c r="C78" s="71"/>
      <c r="D78" s="71"/>
      <c r="E78" s="25"/>
      <c r="F78" s="25"/>
      <c r="G78" s="25"/>
      <c r="H78" s="104"/>
      <c r="I78" s="85" t="s">
        <v>182</v>
      </c>
      <c r="J78" s="85"/>
      <c r="K78" s="85"/>
      <c r="L78" s="85"/>
      <c r="M78" s="85"/>
      <c r="N78" s="85"/>
      <c r="O78" s="85"/>
    </row>
    <row r="79" spans="1:15" x14ac:dyDescent="0.25">
      <c r="A79" s="39" t="s">
        <v>3</v>
      </c>
      <c r="B79" s="71">
        <f>-B45</f>
        <v>444.2</v>
      </c>
      <c r="C79" s="71" t="s">
        <v>60</v>
      </c>
      <c r="D79" s="71"/>
      <c r="E79" s="25"/>
      <c r="F79" s="25"/>
      <c r="G79" s="25"/>
      <c r="H79" s="104"/>
      <c r="I79" s="110" t="s">
        <v>3</v>
      </c>
      <c r="J79" s="116">
        <f>-J45</f>
        <v>444.26174613180513</v>
      </c>
      <c r="K79" s="85" t="s">
        <v>60</v>
      </c>
      <c r="L79" s="85"/>
      <c r="M79" s="85"/>
      <c r="N79" s="85"/>
      <c r="O79" s="85"/>
    </row>
    <row r="80" spans="1:15" x14ac:dyDescent="0.25">
      <c r="A80" s="71" t="s">
        <v>183</v>
      </c>
      <c r="B80" s="71"/>
      <c r="C80" s="71"/>
      <c r="D80" s="71"/>
      <c r="E80" s="25"/>
      <c r="F80" s="25"/>
      <c r="G80" s="25"/>
      <c r="H80" s="104"/>
      <c r="I80" s="85" t="s">
        <v>183</v>
      </c>
      <c r="J80" s="85"/>
      <c r="K80" s="85"/>
      <c r="L80" s="85"/>
      <c r="M80" s="85"/>
      <c r="N80" s="85"/>
      <c r="O80" s="85"/>
    </row>
    <row r="81" spans="1:15" x14ac:dyDescent="0.25">
      <c r="A81" s="39" t="s">
        <v>3</v>
      </c>
      <c r="B81" s="71">
        <f>ROUND(C75*B79/100,0)</f>
        <v>7</v>
      </c>
      <c r="C81" s="71" t="s">
        <v>184</v>
      </c>
      <c r="D81" s="71"/>
      <c r="E81" s="25"/>
      <c r="F81" s="25"/>
      <c r="G81" s="25"/>
      <c r="H81" s="104"/>
      <c r="I81" s="110" t="s">
        <v>3</v>
      </c>
      <c r="J81" s="114">
        <f>ROUND(K75*J79/100,0)</f>
        <v>7</v>
      </c>
      <c r="K81" s="85" t="s">
        <v>184</v>
      </c>
      <c r="L81" s="85"/>
      <c r="M81" s="85"/>
      <c r="N81" s="85"/>
      <c r="O81" s="85"/>
    </row>
    <row r="82" spans="1:15" x14ac:dyDescent="0.25">
      <c r="A82" s="71" t="s">
        <v>185</v>
      </c>
      <c r="B82" s="71"/>
      <c r="C82" s="71"/>
      <c r="D82" s="71"/>
      <c r="E82" s="25"/>
      <c r="F82" s="25"/>
      <c r="G82" s="25"/>
      <c r="H82" s="104"/>
      <c r="I82" s="85" t="s">
        <v>185</v>
      </c>
      <c r="J82" s="85"/>
      <c r="K82" s="85"/>
      <c r="L82" s="85"/>
      <c r="M82" s="85"/>
      <c r="N82" s="85"/>
      <c r="O82" s="85"/>
    </row>
    <row r="83" spans="1:15" x14ac:dyDescent="0.25">
      <c r="A83" s="39" t="s">
        <v>3</v>
      </c>
      <c r="B83" s="71">
        <f>ROUND(E75*B79/100,0)</f>
        <v>9</v>
      </c>
      <c r="C83" s="71" t="s">
        <v>184</v>
      </c>
      <c r="D83" s="71"/>
      <c r="E83" s="25"/>
      <c r="F83" s="25"/>
      <c r="G83" s="25"/>
      <c r="H83" s="104"/>
      <c r="I83" s="110" t="s">
        <v>3</v>
      </c>
      <c r="J83" s="114">
        <f>ROUND(M75*J79/100,0)</f>
        <v>9</v>
      </c>
      <c r="K83" s="85" t="s">
        <v>184</v>
      </c>
      <c r="L83" s="85"/>
      <c r="M83" s="85"/>
      <c r="N83" s="85"/>
      <c r="O83" s="85"/>
    </row>
    <row r="84" spans="1:15" x14ac:dyDescent="0.25">
      <c r="A84" s="71" t="s">
        <v>186</v>
      </c>
      <c r="B84" s="71"/>
      <c r="C84" s="71"/>
      <c r="D84" s="71"/>
      <c r="E84" s="25"/>
      <c r="F84" s="25"/>
      <c r="G84" s="25"/>
      <c r="H84" s="104"/>
      <c r="I84" s="85" t="s">
        <v>186</v>
      </c>
      <c r="J84" s="85"/>
      <c r="K84" s="85"/>
      <c r="L84" s="85"/>
      <c r="M84" s="85"/>
      <c r="N84" s="85"/>
      <c r="O84" s="85"/>
    </row>
    <row r="85" spans="1:15" x14ac:dyDescent="0.25">
      <c r="A85" s="71"/>
      <c r="B85" s="71"/>
      <c r="C85" s="71"/>
      <c r="D85" s="71"/>
      <c r="E85" s="25"/>
      <c r="F85" s="25"/>
      <c r="G85" s="25"/>
      <c r="H85" s="104"/>
      <c r="I85" s="85"/>
      <c r="J85" s="85"/>
      <c r="K85" s="85"/>
      <c r="L85" s="85"/>
      <c r="M85" s="85"/>
      <c r="N85" s="85"/>
      <c r="O85" s="85"/>
    </row>
    <row r="86" spans="1:15" x14ac:dyDescent="0.25">
      <c r="A86" s="71" t="str">
        <f>CONCATENATE("At partial load of ", E16, " hp and ", E17, " RPM and assuming ", B81, " stages")</f>
        <v>At partial load of 4000 hp and 6100 RPM and assuming 7 stages</v>
      </c>
      <c r="B86" s="71"/>
      <c r="C86" s="71"/>
      <c r="D86" s="71"/>
      <c r="E86" s="25"/>
      <c r="F86" s="25"/>
      <c r="G86" s="25"/>
      <c r="H86" s="104"/>
      <c r="I86" s="85" t="str">
        <f>CONCATENATE("At partial load of ", M16, " hp and ", M17, " RPM and assuming ", J81, " stages")</f>
        <v>At partial load of 4000 hp and 6100 RPM and assuming 7 stages</v>
      </c>
      <c r="J86" s="85"/>
      <c r="K86" s="85"/>
      <c r="L86" s="85"/>
      <c r="M86" s="85"/>
      <c r="N86" s="85"/>
      <c r="O86" s="85"/>
    </row>
    <row r="87" spans="1:15" x14ac:dyDescent="0.25">
      <c r="A87" s="71" t="s">
        <v>187</v>
      </c>
      <c r="B87" s="71"/>
      <c r="C87" s="71"/>
      <c r="D87" s="71"/>
      <c r="E87" s="25">
        <v>0.96</v>
      </c>
      <c r="F87" s="25" t="s">
        <v>188</v>
      </c>
      <c r="G87" s="25"/>
      <c r="H87" s="104"/>
      <c r="I87" s="85" t="s">
        <v>187</v>
      </c>
      <c r="J87" s="85"/>
      <c r="K87" s="85"/>
      <c r="L87" s="85"/>
      <c r="M87" s="56">
        <v>0.96</v>
      </c>
      <c r="N87" s="85" t="s">
        <v>188</v>
      </c>
      <c r="O87" s="85"/>
    </row>
    <row r="88" spans="1:15" x14ac:dyDescent="0.25">
      <c r="A88" s="71" t="s">
        <v>189</v>
      </c>
      <c r="B88" s="71"/>
      <c r="C88" s="71">
        <f>E16</f>
        <v>4000</v>
      </c>
      <c r="D88" s="71" t="s">
        <v>190</v>
      </c>
      <c r="E88" s="25">
        <f>E17</f>
        <v>6100</v>
      </c>
      <c r="F88" s="25" t="s">
        <v>191</v>
      </c>
      <c r="G88" s="25"/>
      <c r="H88" s="104"/>
      <c r="I88" s="85" t="s">
        <v>189</v>
      </c>
      <c r="J88" s="85"/>
      <c r="K88" s="114">
        <f>M16</f>
        <v>4000</v>
      </c>
      <c r="L88" s="85" t="s">
        <v>190</v>
      </c>
      <c r="M88" s="114">
        <f>M17</f>
        <v>6100</v>
      </c>
      <c r="N88" s="85" t="s">
        <v>191</v>
      </c>
      <c r="O88" s="85"/>
    </row>
    <row r="89" spans="1:15" x14ac:dyDescent="0.25">
      <c r="A89" s="71" t="s">
        <v>192</v>
      </c>
      <c r="B89" s="71">
        <v>0.71</v>
      </c>
      <c r="C89" s="71" t="s">
        <v>137</v>
      </c>
      <c r="D89" s="71"/>
      <c r="E89" s="25"/>
      <c r="F89" s="25"/>
      <c r="G89" s="25"/>
      <c r="H89" s="104"/>
      <c r="I89" s="85" t="s">
        <v>192</v>
      </c>
      <c r="J89" s="79">
        <v>0.71</v>
      </c>
      <c r="K89" s="85" t="s">
        <v>137</v>
      </c>
      <c r="L89" s="85"/>
      <c r="M89" s="85"/>
      <c r="N89" s="85"/>
      <c r="O89" s="85"/>
    </row>
    <row r="90" spans="1:15" x14ac:dyDescent="0.25">
      <c r="A90" s="71"/>
      <c r="B90" s="71"/>
      <c r="C90" s="71"/>
      <c r="D90" s="71"/>
      <c r="E90" s="25"/>
      <c r="F90" s="25"/>
      <c r="G90" s="25"/>
      <c r="H90" s="104"/>
      <c r="I90" s="85"/>
      <c r="J90" s="85"/>
      <c r="K90" s="85"/>
      <c r="L90" s="85"/>
      <c r="M90" s="85"/>
      <c r="N90" s="85"/>
      <c r="O90" s="85"/>
    </row>
    <row r="91" spans="1:15" x14ac:dyDescent="0.25">
      <c r="A91" s="71" t="str">
        <f>CONCATENATE("Efficiency = (",E87,") (",B89,") = ")</f>
        <v xml:space="preserve">Efficiency = (0.96) (0.71) = </v>
      </c>
      <c r="B91" s="71"/>
      <c r="C91" s="71">
        <f>ROUND(E87*B89,2)</f>
        <v>0.68</v>
      </c>
      <c r="D91" s="71"/>
      <c r="E91" s="25"/>
      <c r="F91" s="25"/>
      <c r="G91" s="25"/>
      <c r="H91" s="104"/>
      <c r="I91" s="85" t="str">
        <f>CONCATENATE("Efficiency = (",M87,") (",J89,") = ")</f>
        <v xml:space="preserve">Efficiency = (0.96) (0.71) = </v>
      </c>
      <c r="J91" s="85"/>
      <c r="K91" s="119">
        <f>(M87*J89)</f>
        <v>0.68159999999999998</v>
      </c>
      <c r="L91" s="85"/>
      <c r="M91" s="85"/>
      <c r="N91" s="85"/>
      <c r="O91" s="85"/>
    </row>
    <row r="92" spans="1:15" x14ac:dyDescent="0.25">
      <c r="A92" s="71" t="str">
        <f>CONCATENATE("Actual Steam Rate = ",B50,"/",C91," = ")</f>
        <v xml:space="preserve">Actual Steam Rate = 5.727/0.68 = </v>
      </c>
      <c r="B92" s="71"/>
      <c r="C92" s="71">
        <f>ROUND(B50/C91,2)</f>
        <v>8.42</v>
      </c>
      <c r="D92" s="71" t="s">
        <v>193</v>
      </c>
      <c r="E92" s="25"/>
      <c r="F92" s="25"/>
      <c r="G92" s="25"/>
      <c r="H92" s="104"/>
      <c r="I92" s="85" t="str">
        <f>CONCATENATE("Actual Steam Rate = ",J50,"/",ROUND(K91,2)," = ")</f>
        <v xml:space="preserve">Actual Steam Rate = 5.726/0.68 = </v>
      </c>
      <c r="J92" s="85"/>
      <c r="K92" s="119">
        <f>(J50/K91)</f>
        <v>8.4008215962441319</v>
      </c>
      <c r="L92" s="85" t="s">
        <v>193</v>
      </c>
      <c r="M92" s="85"/>
      <c r="N92" s="85"/>
      <c r="O92" s="85"/>
    </row>
    <row r="93" spans="1:15" x14ac:dyDescent="0.25">
      <c r="A93" s="71" t="str">
        <f>CONCATENATE("F = (",E16,") (",C92,") = ")</f>
        <v xml:space="preserve">F = (4000) (8.42) = </v>
      </c>
      <c r="B93" s="95">
        <f>ROUND(E16*C92,-2)</f>
        <v>33700</v>
      </c>
      <c r="C93" s="71" t="s">
        <v>163</v>
      </c>
      <c r="D93" s="71"/>
      <c r="E93" s="25"/>
      <c r="F93" s="25"/>
      <c r="G93" s="25"/>
      <c r="H93" s="104"/>
      <c r="I93" s="85" t="str">
        <f>CONCATENATE("F = (",M16,") (",ROUND(K92,2),") = ")</f>
        <v xml:space="preserve">F = (4000) (8.4) = </v>
      </c>
      <c r="J93" s="120">
        <f>(M16*K92)</f>
        <v>33603.286384976527</v>
      </c>
      <c r="K93" s="85" t="s">
        <v>163</v>
      </c>
      <c r="L93" s="85"/>
      <c r="M93" s="85"/>
      <c r="N93" s="85"/>
      <c r="O93" s="85"/>
    </row>
    <row r="94" spans="1:15" x14ac:dyDescent="0.25">
      <c r="A94" s="71"/>
      <c r="B94" s="71"/>
      <c r="C94" s="71"/>
      <c r="D94" s="71"/>
      <c r="E94" s="25"/>
      <c r="F94" s="25"/>
      <c r="G94" s="25"/>
      <c r="H94" s="104"/>
      <c r="I94" s="85"/>
      <c r="J94" s="85"/>
      <c r="K94" s="85"/>
      <c r="L94" s="85"/>
      <c r="M94" s="85"/>
      <c r="N94" s="85"/>
      <c r="O94" s="85"/>
    </row>
    <row r="97" spans="1:1" x14ac:dyDescent="0.25">
      <c r="A97" s="51" t="s">
        <v>220</v>
      </c>
    </row>
    <row r="98" spans="1:1" x14ac:dyDescent="0.25">
      <c r="A98" s="51" t="s">
        <v>221</v>
      </c>
    </row>
    <row r="99" spans="1:1" x14ac:dyDescent="0.25">
      <c r="A99" s="51" t="s">
        <v>222</v>
      </c>
    </row>
    <row r="100" spans="1:1" x14ac:dyDescent="0.25">
      <c r="A100" s="51" t="s">
        <v>223</v>
      </c>
    </row>
    <row r="101" spans="1:1" x14ac:dyDescent="0.25">
      <c r="A101" s="51" t="s">
        <v>224</v>
      </c>
    </row>
  </sheetData>
  <sheetProtection password="F030" sheet="1" objects="1" scenarios="1"/>
  <customSheetViews>
    <customSheetView guid="{4F8C502A-1B49-4129-81FD-D7C5FEE19727}" topLeftCell="A5">
      <selection activeCell="D18" sqref="D18"/>
      <pageMargins left="0.75" right="0.75" top="1" bottom="1" header="0.5" footer="0.5"/>
      <pageSetup orientation="portrait" r:id="rId1"/>
      <headerFooter alignWithMargins="0"/>
    </customSheetView>
  </customSheetViews>
  <mergeCells count="10">
    <mergeCell ref="A2:G2"/>
    <mergeCell ref="I2:O2"/>
    <mergeCell ref="A22:G22"/>
    <mergeCell ref="A25:G25"/>
    <mergeCell ref="A27:G27"/>
    <mergeCell ref="I22:O22"/>
    <mergeCell ref="I25:O25"/>
    <mergeCell ref="I27:O27"/>
    <mergeCell ref="A23:G23"/>
    <mergeCell ref="I23:O23"/>
  </mergeCells>
  <phoneticPr fontId="3" type="noConversion"/>
  <pageMargins left="0.75" right="0.75" top="1" bottom="1" header="0.5" footer="0.5"/>
  <pageSetup paperSize="17"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topLeftCell="A20" zoomScale="80" zoomScaleNormal="80" workbookViewId="0">
      <selection activeCell="A61" sqref="A61"/>
    </sheetView>
  </sheetViews>
  <sheetFormatPr defaultRowHeight="15" x14ac:dyDescent="0.25"/>
  <cols>
    <col min="1" max="1" width="17.7109375" style="26" customWidth="1"/>
    <col min="2" max="2" width="10.42578125" style="52" bestFit="1" customWidth="1"/>
    <col min="3" max="3" width="10.5703125" style="52" customWidth="1"/>
    <col min="4" max="5" width="10.5703125" style="26" customWidth="1"/>
    <col min="6" max="6" width="9.140625" style="26"/>
    <col min="7" max="7" width="14.7109375" style="26" customWidth="1"/>
    <col min="8" max="8" width="9.140625" style="26"/>
    <col min="9" max="9" width="19.140625" style="26" customWidth="1"/>
    <col min="10" max="10" width="10.42578125" style="52" bestFit="1" customWidth="1"/>
    <col min="11" max="11" width="9.140625" style="52"/>
    <col min="12" max="12" width="10.7109375" style="26" bestFit="1" customWidth="1"/>
    <col min="13" max="14" width="9.140625" style="26"/>
    <col min="15" max="15" width="16.7109375" style="26" customWidth="1"/>
    <col min="16" max="16384" width="9.140625" style="26"/>
  </cols>
  <sheetData>
    <row r="1" spans="1:15" ht="15" customHeight="1" x14ac:dyDescent="0.25">
      <c r="A1" s="80" t="s">
        <v>45</v>
      </c>
      <c r="B1" s="81"/>
      <c r="C1" s="81"/>
      <c r="D1" s="81"/>
      <c r="E1" s="81"/>
      <c r="F1" s="81"/>
      <c r="G1" s="81"/>
      <c r="I1" s="82" t="s">
        <v>154</v>
      </c>
      <c r="J1" s="83"/>
      <c r="K1" s="83"/>
      <c r="L1" s="83"/>
      <c r="M1" s="83"/>
      <c r="N1" s="83"/>
      <c r="O1" s="83"/>
    </row>
    <row r="2" spans="1:15" x14ac:dyDescent="0.25">
      <c r="A2" s="25"/>
      <c r="B2" s="24"/>
      <c r="C2" s="24"/>
      <c r="D2" s="25"/>
      <c r="E2" s="84"/>
      <c r="F2" s="84"/>
      <c r="G2" s="84"/>
      <c r="I2" s="29"/>
      <c r="J2" s="28"/>
      <c r="K2" s="28"/>
      <c r="L2" s="29"/>
      <c r="M2" s="85"/>
      <c r="N2" s="85"/>
      <c r="O2" s="85"/>
    </row>
    <row r="3" spans="1:15" ht="30" customHeight="1" x14ac:dyDescent="0.25">
      <c r="A3" s="30" t="s">
        <v>73</v>
      </c>
      <c r="B3" s="30"/>
      <c r="C3" s="30"/>
      <c r="D3" s="30"/>
      <c r="E3" s="30"/>
      <c r="F3" s="30"/>
      <c r="G3" s="30"/>
      <c r="I3" s="31" t="s">
        <v>73</v>
      </c>
      <c r="J3" s="31"/>
      <c r="K3" s="31"/>
      <c r="L3" s="31"/>
      <c r="M3" s="31"/>
      <c r="N3" s="31"/>
      <c r="O3" s="31"/>
    </row>
    <row r="4" spans="1:15" x14ac:dyDescent="0.25">
      <c r="A4" s="25"/>
      <c r="B4" s="24"/>
      <c r="C4" s="24"/>
      <c r="D4" s="25"/>
      <c r="E4" s="84"/>
      <c r="F4" s="84"/>
      <c r="G4" s="84"/>
      <c r="I4" s="29"/>
      <c r="J4" s="28"/>
      <c r="K4" s="28"/>
      <c r="L4" s="29"/>
      <c r="M4" s="85"/>
      <c r="N4" s="85"/>
      <c r="O4" s="85"/>
    </row>
    <row r="5" spans="1:15" x14ac:dyDescent="0.25">
      <c r="A5" s="25" t="s">
        <v>47</v>
      </c>
      <c r="B5" s="24" t="s">
        <v>3</v>
      </c>
      <c r="C5" s="24">
        <v>250</v>
      </c>
      <c r="D5" s="25" t="s">
        <v>74</v>
      </c>
      <c r="E5" s="84"/>
      <c r="F5" s="84"/>
      <c r="G5" s="84"/>
      <c r="I5" s="29" t="s">
        <v>47</v>
      </c>
      <c r="J5" s="28" t="s">
        <v>3</v>
      </c>
      <c r="K5" s="57">
        <v>250</v>
      </c>
      <c r="L5" s="29" t="s">
        <v>74</v>
      </c>
      <c r="M5" s="85"/>
      <c r="N5" s="85"/>
      <c r="O5" s="85"/>
    </row>
    <row r="6" spans="1:15" x14ac:dyDescent="0.25">
      <c r="A6" s="25" t="s">
        <v>75</v>
      </c>
      <c r="B6" s="24" t="s">
        <v>3</v>
      </c>
      <c r="C6" s="24">
        <v>100</v>
      </c>
      <c r="D6" s="25" t="s">
        <v>74</v>
      </c>
      <c r="E6" s="84"/>
      <c r="F6" s="84"/>
      <c r="G6" s="84"/>
      <c r="I6" s="29" t="s">
        <v>75</v>
      </c>
      <c r="J6" s="28" t="s">
        <v>3</v>
      </c>
      <c r="K6" s="57">
        <v>100</v>
      </c>
      <c r="L6" s="29" t="s">
        <v>74</v>
      </c>
      <c r="M6" s="85"/>
      <c r="N6" s="85"/>
      <c r="O6" s="85"/>
    </row>
    <row r="7" spans="1:15" x14ac:dyDescent="0.25">
      <c r="A7" s="25" t="s">
        <v>48</v>
      </c>
      <c r="B7" s="24" t="s">
        <v>3</v>
      </c>
      <c r="C7" s="24">
        <v>500</v>
      </c>
      <c r="D7" s="25" t="s">
        <v>7</v>
      </c>
      <c r="E7" s="84"/>
      <c r="F7" s="84"/>
      <c r="G7" s="84"/>
      <c r="I7" s="29" t="s">
        <v>48</v>
      </c>
      <c r="J7" s="28" t="s">
        <v>3</v>
      </c>
      <c r="K7" s="57">
        <v>500</v>
      </c>
      <c r="L7" s="29" t="s">
        <v>7</v>
      </c>
      <c r="M7" s="85"/>
      <c r="N7" s="85"/>
      <c r="O7" s="85"/>
    </row>
    <row r="8" spans="1:15" x14ac:dyDescent="0.25">
      <c r="A8" s="25" t="s">
        <v>76</v>
      </c>
      <c r="B8" s="24" t="s">
        <v>3</v>
      </c>
      <c r="C8" s="24">
        <v>900</v>
      </c>
      <c r="D8" s="25" t="s">
        <v>77</v>
      </c>
      <c r="E8" s="84"/>
      <c r="F8" s="84"/>
      <c r="G8" s="84"/>
      <c r="I8" s="29" t="s">
        <v>76</v>
      </c>
      <c r="J8" s="28" t="s">
        <v>3</v>
      </c>
      <c r="K8" s="57">
        <v>900</v>
      </c>
      <c r="L8" s="29" t="s">
        <v>77</v>
      </c>
      <c r="M8" s="85"/>
      <c r="N8" s="85"/>
      <c r="O8" s="85"/>
    </row>
    <row r="9" spans="1:15" x14ac:dyDescent="0.25">
      <c r="A9" s="25" t="s">
        <v>51</v>
      </c>
      <c r="B9" s="24" t="s">
        <v>3</v>
      </c>
      <c r="C9" s="24">
        <v>5000</v>
      </c>
      <c r="D9" s="25" t="s">
        <v>52</v>
      </c>
      <c r="E9" s="84"/>
      <c r="F9" s="84"/>
      <c r="G9" s="84"/>
      <c r="I9" s="29" t="s">
        <v>51</v>
      </c>
      <c r="J9" s="28" t="s">
        <v>3</v>
      </c>
      <c r="K9" s="57">
        <v>5000</v>
      </c>
      <c r="L9" s="29" t="s">
        <v>52</v>
      </c>
      <c r="M9" s="85"/>
      <c r="N9" s="85"/>
      <c r="O9" s="85"/>
    </row>
    <row r="10" spans="1:15" x14ac:dyDescent="0.25">
      <c r="A10" s="25"/>
      <c r="B10" s="24"/>
      <c r="C10" s="24"/>
      <c r="D10" s="25"/>
      <c r="E10" s="84"/>
      <c r="F10" s="84"/>
      <c r="G10" s="84"/>
      <c r="I10" s="29"/>
      <c r="J10" s="28"/>
      <c r="K10" s="28"/>
      <c r="L10" s="29"/>
      <c r="M10" s="85"/>
      <c r="N10" s="85"/>
      <c r="O10" s="85"/>
    </row>
    <row r="11" spans="1:15" x14ac:dyDescent="0.25">
      <c r="A11" s="25"/>
      <c r="B11" s="24"/>
      <c r="C11" s="69"/>
      <c r="D11" s="25"/>
      <c r="E11" s="84"/>
      <c r="F11" s="84"/>
      <c r="G11" s="84"/>
      <c r="I11" s="29"/>
      <c r="J11" s="28"/>
      <c r="K11" s="70"/>
      <c r="L11" s="29"/>
      <c r="M11" s="85"/>
      <c r="N11" s="85"/>
      <c r="O11" s="85"/>
    </row>
    <row r="12" spans="1:15" x14ac:dyDescent="0.25">
      <c r="A12" s="25" t="s">
        <v>78</v>
      </c>
      <c r="B12" s="24"/>
      <c r="C12" s="24"/>
      <c r="D12" s="25"/>
      <c r="E12" s="84"/>
      <c r="F12" s="84"/>
      <c r="G12" s="84"/>
      <c r="I12" s="29" t="s">
        <v>78</v>
      </c>
      <c r="J12" s="28"/>
      <c r="K12" s="28"/>
      <c r="L12" s="29"/>
      <c r="M12" s="85"/>
      <c r="N12" s="85"/>
      <c r="O12" s="85"/>
    </row>
    <row r="13" spans="1:15" ht="30" customHeight="1" x14ac:dyDescent="0.25">
      <c r="A13" s="30" t="s">
        <v>138</v>
      </c>
      <c r="B13" s="30"/>
      <c r="C13" s="30"/>
      <c r="D13" s="30"/>
      <c r="E13" s="30"/>
      <c r="F13" s="30"/>
      <c r="G13" s="30"/>
      <c r="I13" s="31" t="s">
        <v>139</v>
      </c>
      <c r="J13" s="31"/>
      <c r="K13" s="31"/>
      <c r="L13" s="31"/>
      <c r="M13" s="31"/>
      <c r="N13" s="31"/>
      <c r="O13" s="31"/>
    </row>
    <row r="14" spans="1:15" x14ac:dyDescent="0.25">
      <c r="A14" s="25"/>
      <c r="B14" s="24"/>
      <c r="C14" s="24"/>
      <c r="D14" s="25"/>
      <c r="E14" s="25"/>
      <c r="F14" s="25"/>
      <c r="G14" s="25"/>
      <c r="I14" s="29"/>
      <c r="J14" s="28"/>
      <c r="K14" s="28"/>
      <c r="L14" s="29"/>
      <c r="M14" s="29"/>
      <c r="N14" s="29"/>
      <c r="O14" s="29"/>
    </row>
    <row r="15" spans="1:15" x14ac:dyDescent="0.25">
      <c r="A15" s="25" t="str">
        <f>CONCATENATE("Inlet conditions at ",C5," psig (",C5+14.7," psia) and ",C7," °F (interpolating linearly on Fig. 24-31):")</f>
        <v>Inlet conditions at 250 psig (264.7 psia) and 500 °F (interpolating linearly on Fig. 24-31):</v>
      </c>
      <c r="B15" s="24"/>
      <c r="C15" s="45"/>
      <c r="D15" s="25"/>
      <c r="E15" s="25"/>
      <c r="F15" s="25"/>
      <c r="G15" s="69"/>
      <c r="I15" s="29" t="str">
        <f>CONCATENATE("Inlet conditions at ",K5," psig (",K5+14.7," psia) and ",K7," °F (interpolating linearly on Fig. 24-38):")</f>
        <v>Inlet conditions at 250 psig (264.7 psia) and 500 °F (interpolating linearly on Fig. 24-38):</v>
      </c>
      <c r="J15" s="28"/>
      <c r="K15" s="44"/>
      <c r="L15" s="29"/>
      <c r="M15" s="29"/>
      <c r="N15" s="29"/>
      <c r="O15" s="70"/>
    </row>
    <row r="16" spans="1:15" x14ac:dyDescent="0.25">
      <c r="A16" s="39" t="s">
        <v>58</v>
      </c>
      <c r="B16" s="71">
        <v>1.5872999999999999</v>
      </c>
      <c r="C16" s="71" t="s">
        <v>57</v>
      </c>
      <c r="D16" s="25"/>
      <c r="E16" s="25"/>
      <c r="F16" s="25"/>
      <c r="G16" s="25"/>
      <c r="I16" s="47" t="s">
        <v>58</v>
      </c>
      <c r="J16" s="79">
        <v>1.5872999999999999</v>
      </c>
      <c r="K16" s="72" t="s">
        <v>57</v>
      </c>
      <c r="L16" s="29"/>
      <c r="M16" s="29"/>
      <c r="N16" s="29"/>
      <c r="O16" s="29"/>
    </row>
    <row r="17" spans="1:15" x14ac:dyDescent="0.25">
      <c r="A17" s="39" t="s">
        <v>59</v>
      </c>
      <c r="B17" s="71">
        <v>1261.8</v>
      </c>
      <c r="C17" s="71" t="s">
        <v>60</v>
      </c>
      <c r="D17" s="25"/>
      <c r="E17" s="25"/>
      <c r="F17" s="25"/>
      <c r="G17" s="25"/>
      <c r="I17" s="47" t="s">
        <v>59</v>
      </c>
      <c r="J17" s="79">
        <v>1261.8</v>
      </c>
      <c r="K17" s="72" t="s">
        <v>60</v>
      </c>
      <c r="L17" s="29"/>
      <c r="M17" s="29"/>
      <c r="N17" s="29"/>
      <c r="O17" s="29"/>
    </row>
    <row r="18" spans="1:15" x14ac:dyDescent="0.25">
      <c r="A18" s="25" t="str">
        <f>CONCATENATE("Exhaust conditions at ",C6," psig (",C6+14.7," psia).  From Fig. 24-30 interpolating linearly:")</f>
        <v>Exhaust conditions at 100 psig (114.7 psia).  From Fig. 24-30 interpolating linearly:</v>
      </c>
      <c r="B18" s="24"/>
      <c r="C18" s="24"/>
      <c r="D18" s="25"/>
      <c r="E18" s="25"/>
      <c r="F18" s="25"/>
      <c r="G18" s="25"/>
      <c r="I18" s="29" t="str">
        <f>CONCATENATE("Exhaust conditions at ",K6," psig (",K6+14.7," psia).  From Fig. 24-37 interpolating linearly:")</f>
        <v>Exhaust conditions at 100 psig (114.7 psia).  From Fig. 24-37 interpolating linearly:</v>
      </c>
      <c r="J18" s="28"/>
      <c r="K18" s="28"/>
      <c r="L18" s="29"/>
      <c r="M18" s="29"/>
      <c r="N18" s="29"/>
      <c r="O18" s="29"/>
    </row>
    <row r="19" spans="1:15" ht="16.5" x14ac:dyDescent="0.3">
      <c r="A19" s="39" t="s">
        <v>61</v>
      </c>
      <c r="B19" s="71">
        <v>0.48720000000000002</v>
      </c>
      <c r="C19" s="71" t="s">
        <v>57</v>
      </c>
      <c r="D19" s="25"/>
      <c r="E19" s="25"/>
      <c r="F19" s="24"/>
      <c r="G19" s="86"/>
      <c r="I19" s="47" t="s">
        <v>61</v>
      </c>
      <c r="J19" s="79">
        <v>0.48720000000000002</v>
      </c>
      <c r="K19" s="72" t="s">
        <v>57</v>
      </c>
      <c r="L19" s="29"/>
      <c r="M19" s="29"/>
      <c r="N19" s="28"/>
      <c r="O19" s="87"/>
    </row>
    <row r="20" spans="1:15" ht="16.5" x14ac:dyDescent="0.3">
      <c r="A20" s="39" t="s">
        <v>62</v>
      </c>
      <c r="B20" s="71">
        <v>1.5918000000000001</v>
      </c>
      <c r="C20" s="71" t="s">
        <v>57</v>
      </c>
      <c r="D20" s="25"/>
      <c r="E20" s="25"/>
      <c r="F20" s="24"/>
      <c r="G20" s="86"/>
      <c r="I20" s="47" t="s">
        <v>62</v>
      </c>
      <c r="J20" s="79">
        <v>1.5918000000000001</v>
      </c>
      <c r="K20" s="72" t="s">
        <v>57</v>
      </c>
      <c r="L20" s="29"/>
      <c r="M20" s="29"/>
      <c r="N20" s="28"/>
      <c r="O20" s="87"/>
    </row>
    <row r="21" spans="1:15" ht="16.5" x14ac:dyDescent="0.3">
      <c r="A21" s="39" t="s">
        <v>63</v>
      </c>
      <c r="B21" s="71">
        <v>308.89999999999998</v>
      </c>
      <c r="C21" s="71" t="s">
        <v>60</v>
      </c>
      <c r="D21" s="71"/>
      <c r="E21" s="25"/>
      <c r="F21" s="25"/>
      <c r="G21" s="25"/>
      <c r="I21" s="47" t="s">
        <v>63</v>
      </c>
      <c r="J21" s="79">
        <v>308.89999999999998</v>
      </c>
      <c r="K21" s="72" t="s">
        <v>60</v>
      </c>
      <c r="L21" s="72"/>
      <c r="M21" s="29"/>
      <c r="N21" s="29"/>
      <c r="O21" s="29"/>
    </row>
    <row r="22" spans="1:15" ht="16.5" x14ac:dyDescent="0.3">
      <c r="A22" s="39" t="s">
        <v>64</v>
      </c>
      <c r="B22" s="71">
        <v>1189.5</v>
      </c>
      <c r="C22" s="71" t="s">
        <v>60</v>
      </c>
      <c r="D22" s="71"/>
      <c r="E22" s="71"/>
      <c r="F22" s="24"/>
      <c r="G22" s="88"/>
      <c r="I22" s="47" t="s">
        <v>64</v>
      </c>
      <c r="J22" s="79">
        <v>1189.5</v>
      </c>
      <c r="K22" s="72" t="s">
        <v>60</v>
      </c>
      <c r="L22" s="72"/>
      <c r="M22" s="72"/>
      <c r="N22" s="28"/>
      <c r="O22" s="89"/>
    </row>
    <row r="23" spans="1:15" x14ac:dyDescent="0.25">
      <c r="A23" s="25"/>
      <c r="B23" s="24"/>
      <c r="C23" s="71"/>
      <c r="D23" s="71"/>
      <c r="E23" s="71"/>
      <c r="F23" s="25"/>
      <c r="G23" s="25"/>
      <c r="I23" s="29"/>
      <c r="J23" s="28"/>
      <c r="K23" s="72"/>
      <c r="L23" s="72"/>
      <c r="M23" s="72"/>
      <c r="N23" s="29"/>
      <c r="O23" s="29"/>
    </row>
    <row r="24" spans="1:15" x14ac:dyDescent="0.25">
      <c r="A24" s="25" t="s">
        <v>65</v>
      </c>
      <c r="B24" s="24"/>
      <c r="C24" s="45"/>
      <c r="D24" s="25"/>
      <c r="E24" s="25"/>
      <c r="F24" s="25"/>
      <c r="G24" s="69"/>
      <c r="I24" s="29" t="s">
        <v>65</v>
      </c>
      <c r="J24" s="28"/>
      <c r="K24" s="44"/>
      <c r="L24" s="29"/>
      <c r="M24" s="29"/>
      <c r="N24" s="29"/>
      <c r="O24" s="70"/>
    </row>
    <row r="25" spans="1:15" x14ac:dyDescent="0.25">
      <c r="A25" s="71" t="str">
        <f>CONCATENATE(B16," = x (",B19,") + (1 - x)(",B20,")")</f>
        <v>1.5873 = x (0.4872) + (1 - x)(1.5918)</v>
      </c>
      <c r="B25" s="71"/>
      <c r="C25" s="71"/>
      <c r="D25" s="25"/>
      <c r="E25" s="25"/>
      <c r="F25" s="25"/>
      <c r="G25" s="25"/>
      <c r="I25" s="72" t="str">
        <f>CONCATENATE(J16," = x (",J19,") + (1 - x)(",J20,")")</f>
        <v>1.5873 = x (0.4872) + (1 - x)(1.5918)</v>
      </c>
      <c r="J25" s="72"/>
      <c r="K25" s="72"/>
      <c r="L25" s="29"/>
      <c r="M25" s="29"/>
      <c r="N25" s="29"/>
      <c r="O25" s="29"/>
    </row>
    <row r="26" spans="1:15" x14ac:dyDescent="0.25">
      <c r="A26" s="39" t="s">
        <v>66</v>
      </c>
      <c r="B26" s="90">
        <f>((B16-B20)/(B19-B20))</f>
        <v>4.0738728951658252E-3</v>
      </c>
      <c r="C26" s="71"/>
      <c r="D26" s="25"/>
      <c r="E26" s="25"/>
      <c r="F26" s="25"/>
      <c r="G26" s="25"/>
      <c r="I26" s="47" t="s">
        <v>66</v>
      </c>
      <c r="J26" s="98">
        <f>((J16-J20)/(J19-J20))</f>
        <v>4.0738728951658252E-3</v>
      </c>
      <c r="K26" s="72"/>
      <c r="L26" s="29"/>
      <c r="M26" s="29"/>
      <c r="N26" s="29"/>
      <c r="O26" s="29"/>
    </row>
    <row r="27" spans="1:15" x14ac:dyDescent="0.25">
      <c r="A27" s="39" t="s">
        <v>67</v>
      </c>
      <c r="B27" s="90">
        <f>1-B26</f>
        <v>0.99592612710483419</v>
      </c>
      <c r="C27" s="71" t="s">
        <v>140</v>
      </c>
      <c r="D27" s="25"/>
      <c r="E27" s="25"/>
      <c r="F27" s="25"/>
      <c r="G27" s="25"/>
      <c r="I27" s="47" t="s">
        <v>67</v>
      </c>
      <c r="J27" s="98">
        <f>1-J26</f>
        <v>0.99592612710483419</v>
      </c>
      <c r="K27" s="72" t="s">
        <v>68</v>
      </c>
      <c r="L27" s="29"/>
      <c r="M27" s="29"/>
      <c r="N27" s="29"/>
      <c r="O27" s="29"/>
    </row>
    <row r="28" spans="1:15" x14ac:dyDescent="0.25">
      <c r="A28" s="71" t="str">
        <f>CONCATENATE("Exhaust enthalpy = (",ROUND(B26,4),")(",ROUND(B21,4),") + (",ROUND(B27,4),")(",ROUND(B22,4),")")</f>
        <v>Exhaust enthalpy = (0.0041)(308.9) + (0.9959)(1189.5)</v>
      </c>
      <c r="B28" s="71"/>
      <c r="C28" s="71"/>
      <c r="D28" s="71"/>
      <c r="E28" s="25"/>
      <c r="F28" s="25"/>
      <c r="G28" s="25"/>
      <c r="I28" s="79" t="str">
        <f>CONCATENATE("Exhaust enthalpy = (",ROUND(J26,4),")(",ROUND(J21,4),") + (",ROUND(J27,4),")(",ROUND(J22,4),")")</f>
        <v>Exhaust enthalpy = (0.0041)(308.9) + (0.9959)(1189.5)</v>
      </c>
      <c r="J28" s="79"/>
      <c r="K28" s="79"/>
      <c r="L28" s="79"/>
      <c r="M28" s="29"/>
      <c r="N28" s="29"/>
      <c r="O28" s="29"/>
    </row>
    <row r="29" spans="1:15" x14ac:dyDescent="0.25">
      <c r="A29" s="39" t="s">
        <v>3</v>
      </c>
      <c r="B29" s="91">
        <f>(B26*B21+B27*B22)</f>
        <v>1185.9125475285171</v>
      </c>
      <c r="C29" s="71" t="s">
        <v>60</v>
      </c>
      <c r="D29" s="71"/>
      <c r="E29" s="25"/>
      <c r="F29" s="25"/>
      <c r="G29" s="25"/>
      <c r="I29" s="47" t="s">
        <v>3</v>
      </c>
      <c r="J29" s="99">
        <f>(J26*J21+J27*J22)</f>
        <v>1185.9125475285171</v>
      </c>
      <c r="K29" s="72" t="s">
        <v>60</v>
      </c>
      <c r="L29" s="72"/>
      <c r="M29" s="29"/>
      <c r="N29" s="29"/>
      <c r="O29" s="29"/>
    </row>
    <row r="30" spans="1:15" x14ac:dyDescent="0.25">
      <c r="A30" s="71" t="str">
        <f>CONCATENATE("Enthalpy change = ",ROUND(B29,1)," - ",ROUND(B17,1))</f>
        <v>Enthalpy change = 1185.9 - 1261.8</v>
      </c>
      <c r="B30" s="92"/>
      <c r="C30" s="71"/>
      <c r="D30" s="71"/>
      <c r="E30" s="25"/>
      <c r="F30" s="25"/>
      <c r="G30" s="25"/>
      <c r="I30" s="79" t="str">
        <f>CONCATENATE("Enthalpy change = ",ROUND(J29,1)," - ",ROUND(J17,1))</f>
        <v>Enthalpy change = 1185.9 - 1261.8</v>
      </c>
      <c r="J30" s="100"/>
      <c r="K30" s="79"/>
      <c r="L30" s="72"/>
      <c r="M30" s="29"/>
      <c r="N30" s="29"/>
      <c r="O30" s="29"/>
    </row>
    <row r="31" spans="1:15" x14ac:dyDescent="0.25">
      <c r="A31" s="39" t="s">
        <v>3</v>
      </c>
      <c r="B31" s="91">
        <f>(B29-B17)</f>
        <v>-75.887452471482902</v>
      </c>
      <c r="C31" s="71" t="s">
        <v>60</v>
      </c>
      <c r="D31" s="71"/>
      <c r="E31" s="25"/>
      <c r="F31" s="25"/>
      <c r="G31" s="25"/>
      <c r="I31" s="47" t="s">
        <v>3</v>
      </c>
      <c r="J31" s="99">
        <f>(J29-J17)</f>
        <v>-75.887452471482902</v>
      </c>
      <c r="K31" s="72" t="s">
        <v>60</v>
      </c>
      <c r="L31" s="72"/>
      <c r="M31" s="29"/>
      <c r="N31" s="29"/>
      <c r="O31" s="29"/>
    </row>
    <row r="32" spans="1:15" x14ac:dyDescent="0.25">
      <c r="A32" s="71"/>
      <c r="B32" s="71"/>
      <c r="C32" s="71"/>
      <c r="D32" s="71"/>
      <c r="E32" s="25"/>
      <c r="F32" s="25"/>
      <c r="G32" s="25"/>
      <c r="I32" s="72"/>
      <c r="J32" s="72"/>
      <c r="K32" s="72"/>
      <c r="L32" s="72"/>
      <c r="M32" s="29"/>
      <c r="N32" s="29"/>
      <c r="O32" s="29"/>
    </row>
    <row r="33" spans="1:15" x14ac:dyDescent="0.25">
      <c r="A33" s="71" t="s">
        <v>146</v>
      </c>
      <c r="B33" s="71"/>
      <c r="C33" s="71"/>
      <c r="D33" s="71"/>
      <c r="E33" s="25"/>
      <c r="F33" s="25"/>
      <c r="G33" s="25"/>
      <c r="I33" s="72" t="s">
        <v>69</v>
      </c>
      <c r="J33" s="72"/>
      <c r="K33" s="72"/>
      <c r="L33" s="72"/>
      <c r="M33" s="29"/>
      <c r="N33" s="29"/>
      <c r="O33" s="29"/>
    </row>
    <row r="34" spans="1:15" x14ac:dyDescent="0.25">
      <c r="A34" s="71" t="str">
        <f>CONCATENATE("Enthalpy change = (",ROUND(B31,1),"/2544) = (-1/",ROUND(-2544/B31,1),")(hp • hr)/lb")</f>
        <v>Enthalpy change = (-75.9/2544) = (-1/33.5)(hp • hr)/lb</v>
      </c>
      <c r="B34" s="71"/>
      <c r="C34" s="71"/>
      <c r="D34" s="71"/>
      <c r="E34" s="25"/>
      <c r="F34" s="25"/>
      <c r="G34" s="25"/>
      <c r="I34" s="72" t="str">
        <f>CONCATENATE("Enthalpy change = (",ROUND(J31,1),"/2544) = (-1/",ROUND(-2544/J31,1),")(hp • hr)/lb")</f>
        <v>Enthalpy change = (-75.9/2544) = (-1/33.5)(hp • hr)/lb</v>
      </c>
      <c r="J34" s="72"/>
      <c r="K34" s="72"/>
      <c r="L34" s="72"/>
      <c r="M34" s="29"/>
      <c r="N34" s="29"/>
      <c r="O34" s="29"/>
    </row>
    <row r="35" spans="1:15" x14ac:dyDescent="0.25">
      <c r="A35" s="71" t="s">
        <v>70</v>
      </c>
      <c r="B35" s="71"/>
      <c r="C35" s="71"/>
      <c r="D35" s="71"/>
      <c r="E35" s="25"/>
      <c r="F35" s="25"/>
      <c r="G35" s="25"/>
      <c r="I35" s="72" t="s">
        <v>70</v>
      </c>
      <c r="J35" s="72"/>
      <c r="K35" s="72"/>
      <c r="L35" s="72"/>
      <c r="M35" s="29"/>
      <c r="N35" s="29"/>
      <c r="O35" s="29"/>
    </row>
    <row r="36" spans="1:15" x14ac:dyDescent="0.25">
      <c r="A36" s="39" t="s">
        <v>3</v>
      </c>
      <c r="B36" s="91">
        <f>(ABS(2544/B31))</f>
        <v>33.523328523328516</v>
      </c>
      <c r="C36" s="71" t="s">
        <v>71</v>
      </c>
      <c r="D36" s="71"/>
      <c r="E36" s="25"/>
      <c r="F36" s="25"/>
      <c r="G36" s="25"/>
      <c r="I36" s="47" t="s">
        <v>3</v>
      </c>
      <c r="J36" s="99">
        <f>(ABS(2544/J31))</f>
        <v>33.523328523328516</v>
      </c>
      <c r="K36" s="72" t="s">
        <v>71</v>
      </c>
      <c r="L36" s="72"/>
      <c r="M36" s="29"/>
      <c r="N36" s="29"/>
      <c r="O36" s="29"/>
    </row>
    <row r="37" spans="1:15" x14ac:dyDescent="0.25">
      <c r="A37" s="39"/>
      <c r="B37" s="71"/>
      <c r="C37" s="71"/>
      <c r="D37" s="71"/>
      <c r="E37" s="25"/>
      <c r="F37" s="25"/>
      <c r="G37" s="25"/>
      <c r="I37" s="47"/>
      <c r="J37" s="72"/>
      <c r="K37" s="72"/>
      <c r="L37" s="72"/>
      <c r="M37" s="29"/>
      <c r="N37" s="29"/>
      <c r="O37" s="29"/>
    </row>
    <row r="38" spans="1:15" x14ac:dyDescent="0.25">
      <c r="A38" s="71" t="s">
        <v>72</v>
      </c>
      <c r="B38" s="93">
        <v>0.66</v>
      </c>
      <c r="C38" s="71"/>
      <c r="D38" s="71"/>
      <c r="E38" s="25"/>
      <c r="F38" s="25"/>
      <c r="G38" s="24" t="s">
        <v>79</v>
      </c>
      <c r="I38" s="72" t="s">
        <v>72</v>
      </c>
      <c r="J38" s="101">
        <v>0.66</v>
      </c>
      <c r="K38" s="72"/>
      <c r="L38" s="72"/>
      <c r="M38" s="29"/>
      <c r="N38" s="29"/>
      <c r="O38" s="28" t="s">
        <v>79</v>
      </c>
    </row>
    <row r="39" spans="1:15" x14ac:dyDescent="0.25">
      <c r="A39" s="71" t="s">
        <v>157</v>
      </c>
      <c r="B39" s="71"/>
      <c r="C39" s="71">
        <v>406</v>
      </c>
      <c r="D39" s="71" t="s">
        <v>194</v>
      </c>
      <c r="E39" s="25"/>
      <c r="F39" s="25"/>
      <c r="G39" s="25"/>
      <c r="I39" s="72" t="s">
        <v>157</v>
      </c>
      <c r="J39" s="72"/>
      <c r="K39" s="79">
        <v>406</v>
      </c>
      <c r="L39" s="72" t="s">
        <v>195</v>
      </c>
      <c r="M39" s="29"/>
      <c r="N39" s="29"/>
      <c r="O39" s="29"/>
    </row>
    <row r="40" spans="1:15" x14ac:dyDescent="0.25">
      <c r="A40" s="71" t="str">
        <f>CONCATENATE("Inlet superheat = ",C7," - ",C39," = ",C7-C39," °F")</f>
        <v>Inlet superheat = 500 - 406 = 94 °F</v>
      </c>
      <c r="B40" s="71"/>
      <c r="C40" s="71"/>
      <c r="D40" s="71"/>
      <c r="E40" s="25"/>
      <c r="F40" s="25"/>
      <c r="G40" s="25"/>
      <c r="I40" s="79" t="str">
        <f>CONCATENATE("Inlet superheat = ",K7," - ",K39," = ",K7-K39," °F")</f>
        <v>Inlet superheat = 500 - 406 = 94 °F</v>
      </c>
      <c r="J40" s="79"/>
      <c r="K40" s="72"/>
      <c r="L40" s="72"/>
      <c r="M40" s="29"/>
      <c r="N40" s="29"/>
      <c r="O40" s="29"/>
    </row>
    <row r="41" spans="1:15" x14ac:dyDescent="0.25">
      <c r="A41" s="71" t="s">
        <v>159</v>
      </c>
      <c r="B41" s="71"/>
      <c r="C41" s="71"/>
      <c r="D41" s="71">
        <v>0.99</v>
      </c>
      <c r="E41" s="25"/>
      <c r="F41" s="25"/>
      <c r="G41" s="24" t="s">
        <v>196</v>
      </c>
      <c r="I41" s="72" t="s">
        <v>159</v>
      </c>
      <c r="J41" s="72"/>
      <c r="K41" s="72"/>
      <c r="L41" s="79">
        <v>0.99</v>
      </c>
      <c r="M41" s="29"/>
      <c r="N41" s="29"/>
      <c r="O41" s="28" t="s">
        <v>196</v>
      </c>
    </row>
    <row r="42" spans="1:15" x14ac:dyDescent="0.25">
      <c r="A42" s="71" t="s">
        <v>161</v>
      </c>
      <c r="B42" s="71"/>
      <c r="C42" s="71"/>
      <c r="D42" s="71">
        <v>1.01</v>
      </c>
      <c r="E42" s="25"/>
      <c r="F42" s="25"/>
      <c r="G42" s="24" t="s">
        <v>162</v>
      </c>
      <c r="I42" s="72" t="s">
        <v>161</v>
      </c>
      <c r="J42" s="72"/>
      <c r="K42" s="72"/>
      <c r="L42" s="79">
        <v>1.01</v>
      </c>
      <c r="M42" s="29"/>
      <c r="N42" s="29"/>
      <c r="O42" s="28" t="s">
        <v>162</v>
      </c>
    </row>
    <row r="43" spans="1:15" x14ac:dyDescent="0.25">
      <c r="A43" s="25" t="str">
        <f>CONCATENATE("Pressure ratio = (",C6+14.7," psia)/(",C5+14.7," psia) = ",ROUND((C6+14.7)/(C5+14.7),3))</f>
        <v>Pressure ratio = (114.7 psia)/(264.7 psia) = 0.433</v>
      </c>
      <c r="B43" s="24"/>
      <c r="C43" s="24"/>
      <c r="D43" s="25"/>
      <c r="E43" s="25"/>
      <c r="F43" s="25"/>
      <c r="G43" s="25"/>
      <c r="I43" s="29" t="str">
        <f>CONCATENATE("Pressure ratio = (",K6+14.7," psia)/(",K5+14.7," psia) = ",ROUND((K6+14.7)/(K5+14.7),3))</f>
        <v>Pressure ratio = (114.7 psia)/(264.7 psia) = 0.433</v>
      </c>
      <c r="J43" s="28"/>
      <c r="K43" s="28"/>
      <c r="L43" s="56"/>
      <c r="M43" s="29"/>
      <c r="N43" s="29"/>
      <c r="O43" s="29"/>
    </row>
    <row r="44" spans="1:15" x14ac:dyDescent="0.25">
      <c r="A44" s="25" t="s">
        <v>197</v>
      </c>
      <c r="B44" s="24"/>
      <c r="C44" s="24"/>
      <c r="D44" s="25">
        <v>0.97</v>
      </c>
      <c r="E44" s="25"/>
      <c r="F44" s="25"/>
      <c r="G44" s="24" t="s">
        <v>198</v>
      </c>
      <c r="I44" s="29" t="s">
        <v>197</v>
      </c>
      <c r="J44" s="28"/>
      <c r="K44" s="28"/>
      <c r="L44" s="56">
        <v>0.97</v>
      </c>
      <c r="M44" s="29"/>
      <c r="N44" s="29"/>
      <c r="O44" s="28" t="s">
        <v>198</v>
      </c>
    </row>
    <row r="45" spans="1:15" x14ac:dyDescent="0.25">
      <c r="A45" s="25"/>
      <c r="B45" s="24"/>
      <c r="C45" s="24"/>
      <c r="D45" s="25"/>
      <c r="E45" s="25"/>
      <c r="F45" s="25"/>
      <c r="G45" s="24"/>
      <c r="I45" s="29"/>
      <c r="J45" s="28"/>
      <c r="K45" s="28"/>
      <c r="L45" s="29"/>
      <c r="M45" s="29"/>
      <c r="N45" s="29"/>
      <c r="O45" s="28"/>
    </row>
    <row r="46" spans="1:15" x14ac:dyDescent="0.25">
      <c r="A46" s="25" t="str">
        <f>CONCATENATE("ASR = [",ROUND(B36,2)," lb/(hp • hr)]/[(",B38,") (",D41,") (",D42,") (",D44,")]")</f>
        <v>ASR = [33.52 lb/(hp • hr)]/[(0.66) (0.99) (1.01) (0.97)]</v>
      </c>
      <c r="B46" s="24"/>
      <c r="C46" s="24"/>
      <c r="D46" s="25"/>
      <c r="E46" s="25"/>
      <c r="F46" s="25"/>
      <c r="G46" s="25"/>
      <c r="I46" s="56" t="str">
        <f>CONCATENATE("ASR = [",ROUND(J36,2)," lb/(hp • hr)]/[(",J38,") (",L41,") (",L42,") (",L44,")]")</f>
        <v>ASR = [33.52 lb/(hp • hr)]/[(0.66) (0.99) (1.01) (0.97)]</v>
      </c>
      <c r="J46" s="57"/>
      <c r="K46" s="57"/>
      <c r="L46" s="56"/>
      <c r="M46" s="29"/>
      <c r="N46" s="29"/>
      <c r="O46" s="29"/>
    </row>
    <row r="47" spans="1:15" x14ac:dyDescent="0.25">
      <c r="A47" s="39" t="s">
        <v>3</v>
      </c>
      <c r="B47" s="48">
        <f>(B36/(B38*D41*D42*D44))</f>
        <v>52.369074026003837</v>
      </c>
      <c r="C47" s="45" t="s">
        <v>71</v>
      </c>
      <c r="D47" s="25"/>
      <c r="E47" s="25"/>
      <c r="F47" s="24"/>
      <c r="G47" s="86"/>
      <c r="I47" s="47" t="s">
        <v>3</v>
      </c>
      <c r="J47" s="61">
        <f>(J36/(J38*L41*L42*L44))</f>
        <v>52.369074026003837</v>
      </c>
      <c r="K47" s="44" t="s">
        <v>71</v>
      </c>
      <c r="L47" s="29"/>
      <c r="M47" s="29"/>
      <c r="N47" s="28"/>
      <c r="O47" s="87"/>
    </row>
    <row r="48" spans="1:15" x14ac:dyDescent="0.25">
      <c r="A48" s="25" t="str">
        <f>CONCATENATE("F = [",ROUND(B47,1)," lb/(hp • hr)] (",C8," hp)")</f>
        <v>F = [52.4 lb/(hp • hr)] (900 hp)</v>
      </c>
      <c r="B48" s="24"/>
      <c r="C48" s="45"/>
      <c r="D48" s="25"/>
      <c r="E48" s="25"/>
      <c r="F48" s="24"/>
      <c r="G48" s="86"/>
      <c r="I48" s="29" t="str">
        <f>CONCATENATE("F = [",ROUND(J47,2)," lb/(hp • hr)] (",K8," hp)")</f>
        <v>F = [52.37 lb/(hp • hr)] (900 hp)</v>
      </c>
      <c r="J48" s="28"/>
      <c r="K48" s="44"/>
      <c r="L48" s="29"/>
      <c r="M48" s="29"/>
      <c r="N48" s="28"/>
      <c r="O48" s="87"/>
    </row>
    <row r="49" spans="1:15" x14ac:dyDescent="0.25">
      <c r="A49" s="39" t="s">
        <v>3</v>
      </c>
      <c r="B49" s="94">
        <f>ROUND(B47*C8,-2)</f>
        <v>47100</v>
      </c>
      <c r="C49" s="45" t="s">
        <v>163</v>
      </c>
      <c r="D49" s="71"/>
      <c r="E49" s="25"/>
      <c r="F49" s="25"/>
      <c r="G49" s="25"/>
      <c r="I49" s="47" t="s">
        <v>3</v>
      </c>
      <c r="J49" s="102">
        <f>(J47*K8)</f>
        <v>47132.166623403456</v>
      </c>
      <c r="K49" s="44" t="s">
        <v>163</v>
      </c>
      <c r="L49" s="72"/>
      <c r="M49" s="29"/>
      <c r="N49" s="29"/>
      <c r="O49" s="29"/>
    </row>
    <row r="50" spans="1:15" x14ac:dyDescent="0.25">
      <c r="A50" s="25"/>
      <c r="B50" s="24"/>
      <c r="C50" s="95"/>
      <c r="D50" s="71"/>
      <c r="E50" s="71"/>
      <c r="F50" s="24"/>
      <c r="G50" s="88"/>
      <c r="I50" s="29"/>
      <c r="J50" s="28"/>
      <c r="K50" s="96"/>
      <c r="L50" s="72"/>
      <c r="M50" s="72"/>
      <c r="N50" s="28"/>
      <c r="O50" s="89"/>
    </row>
    <row r="51" spans="1:15" x14ac:dyDescent="0.25">
      <c r="A51" s="25" t="s">
        <v>199</v>
      </c>
      <c r="B51" s="24"/>
      <c r="C51" s="71"/>
      <c r="D51" s="71"/>
      <c r="E51" s="71"/>
      <c r="F51" s="25"/>
      <c r="G51" s="25"/>
      <c r="I51" s="29" t="s">
        <v>199</v>
      </c>
      <c r="J51" s="28"/>
      <c r="K51" s="72"/>
      <c r="L51" s="72"/>
      <c r="M51" s="72"/>
      <c r="N51" s="29"/>
      <c r="O51" s="29"/>
    </row>
    <row r="52" spans="1:15" x14ac:dyDescent="0.25">
      <c r="A52" s="25" t="s">
        <v>200</v>
      </c>
      <c r="B52" s="24"/>
      <c r="C52" s="71">
        <v>75</v>
      </c>
      <c r="D52" s="45" t="s">
        <v>71</v>
      </c>
      <c r="E52" s="71"/>
      <c r="F52" s="25"/>
      <c r="G52" s="24" t="s">
        <v>201</v>
      </c>
      <c r="I52" s="29" t="s">
        <v>200</v>
      </c>
      <c r="J52" s="28"/>
      <c r="K52" s="79">
        <v>75</v>
      </c>
      <c r="L52" s="44" t="s">
        <v>71</v>
      </c>
      <c r="M52" s="72"/>
      <c r="N52" s="29"/>
      <c r="O52" s="29" t="s">
        <v>201</v>
      </c>
    </row>
    <row r="53" spans="1:15" x14ac:dyDescent="0.25">
      <c r="A53" s="25" t="s">
        <v>202</v>
      </c>
      <c r="B53" s="24"/>
      <c r="C53" s="71">
        <v>0.93</v>
      </c>
      <c r="D53" s="25"/>
      <c r="E53" s="25"/>
      <c r="F53" s="25"/>
      <c r="G53" s="24" t="s">
        <v>203</v>
      </c>
      <c r="I53" s="29" t="s">
        <v>202</v>
      </c>
      <c r="J53" s="28"/>
      <c r="K53" s="79">
        <v>0.93</v>
      </c>
      <c r="L53" s="29"/>
      <c r="M53" s="29"/>
      <c r="N53" s="29"/>
      <c r="O53" s="29" t="s">
        <v>203</v>
      </c>
    </row>
    <row r="54" spans="1:15" x14ac:dyDescent="0.25">
      <c r="A54" s="25" t="str">
        <f>CONCATENATE("ASR = [",C52," lb/(hp • hr)] (",C53,")]")</f>
        <v>ASR = [75 lb/(hp • hr)] (0.93)]</v>
      </c>
      <c r="B54" s="24"/>
      <c r="C54" s="24"/>
      <c r="D54" s="25"/>
      <c r="E54" s="25"/>
      <c r="F54" s="25"/>
      <c r="G54" s="25"/>
      <c r="I54" s="29" t="str">
        <f>CONCATENATE("ASR = [",K52," lb/(hp • hr)] (",K53,")]")</f>
        <v>ASR = [75 lb/(hp • hr)] (0.93)]</v>
      </c>
      <c r="J54" s="28"/>
      <c r="K54" s="28"/>
      <c r="L54" s="29"/>
      <c r="M54" s="29"/>
      <c r="N54" s="29"/>
      <c r="O54" s="29"/>
    </row>
    <row r="55" spans="1:15" x14ac:dyDescent="0.25">
      <c r="A55" s="39" t="s">
        <v>3</v>
      </c>
      <c r="B55" s="97">
        <f>C52*C53</f>
        <v>69.75</v>
      </c>
      <c r="C55" s="45" t="s">
        <v>71</v>
      </c>
      <c r="D55" s="25"/>
      <c r="E55" s="25"/>
      <c r="F55" s="25"/>
      <c r="G55" s="25"/>
      <c r="I55" s="47" t="s">
        <v>3</v>
      </c>
      <c r="J55" s="103">
        <f>(K52*K53)</f>
        <v>69.75</v>
      </c>
      <c r="K55" s="44" t="s">
        <v>71</v>
      </c>
      <c r="L55" s="29"/>
      <c r="M55" s="29"/>
      <c r="N55" s="29"/>
      <c r="O55" s="29"/>
    </row>
    <row r="56" spans="1:15" x14ac:dyDescent="0.25">
      <c r="A56" s="25" t="str">
        <f>CONCATENATE("F = [",ROUND(B55,0)," lb/(hp • hr)] (",C8," hp)")</f>
        <v>F = [70 lb/(hp • hr)] (900 hp)</v>
      </c>
      <c r="B56" s="24"/>
      <c r="C56" s="45"/>
      <c r="D56" s="25"/>
      <c r="E56" s="25"/>
      <c r="F56" s="24"/>
      <c r="G56" s="86"/>
      <c r="I56" s="29" t="str">
        <f>CONCATENATE("F = [",J55," lb/(hp • hr)] (",K8," hp)")</f>
        <v>F = [69.75 lb/(hp • hr)] (900 hp)</v>
      </c>
      <c r="J56" s="28"/>
      <c r="K56" s="44"/>
      <c r="L56" s="29"/>
      <c r="M56" s="29"/>
      <c r="N56" s="28"/>
      <c r="O56" s="87"/>
    </row>
    <row r="57" spans="1:15" x14ac:dyDescent="0.25">
      <c r="A57" s="39" t="s">
        <v>3</v>
      </c>
      <c r="B57" s="73">
        <f>ROUND(B55*C8,-3)</f>
        <v>63000</v>
      </c>
      <c r="C57" s="45" t="s">
        <v>163</v>
      </c>
      <c r="D57" s="25"/>
      <c r="E57" s="25"/>
      <c r="F57" s="24"/>
      <c r="G57" s="86"/>
      <c r="I57" s="47" t="s">
        <v>3</v>
      </c>
      <c r="J57" s="78">
        <f>J55*K8</f>
        <v>62775</v>
      </c>
      <c r="K57" s="44" t="s">
        <v>163</v>
      </c>
      <c r="L57" s="29"/>
      <c r="M57" s="29"/>
      <c r="N57" s="28"/>
      <c r="O57" s="87"/>
    </row>
    <row r="58" spans="1:15" x14ac:dyDescent="0.25">
      <c r="A58" s="25"/>
      <c r="B58" s="24"/>
      <c r="C58" s="24"/>
      <c r="D58" s="71"/>
      <c r="E58" s="25"/>
      <c r="F58" s="25"/>
      <c r="G58" s="25"/>
      <c r="I58" s="29"/>
      <c r="J58" s="28"/>
      <c r="K58" s="28"/>
      <c r="L58" s="72"/>
      <c r="M58" s="29"/>
      <c r="N58" s="29"/>
      <c r="O58" s="29"/>
    </row>
    <row r="61" spans="1:15" x14ac:dyDescent="0.25">
      <c r="A61" s="51" t="s">
        <v>220</v>
      </c>
    </row>
    <row r="62" spans="1:15" x14ac:dyDescent="0.25">
      <c r="A62" s="51" t="s">
        <v>221</v>
      </c>
    </row>
    <row r="63" spans="1:15" x14ac:dyDescent="0.25">
      <c r="A63" s="51" t="s">
        <v>222</v>
      </c>
    </row>
    <row r="64" spans="1:15" x14ac:dyDescent="0.25">
      <c r="A64" s="51" t="s">
        <v>223</v>
      </c>
    </row>
    <row r="65" spans="1:1" x14ac:dyDescent="0.25">
      <c r="A65" s="51" t="s">
        <v>224</v>
      </c>
    </row>
  </sheetData>
  <sheetProtection password="F030" sheet="1" objects="1" scenarios="1"/>
  <customSheetViews>
    <customSheetView guid="{4F8C502A-1B49-4129-81FD-D7C5FEE19727}">
      <selection sqref="A1:G1"/>
      <pageMargins left="0.75" right="0.75" top="1" bottom="1" header="0.5" footer="0.5"/>
      <pageSetup orientation="portrait" r:id="rId1"/>
      <headerFooter alignWithMargins="0"/>
    </customSheetView>
  </customSheetViews>
  <mergeCells count="6">
    <mergeCell ref="A13:G13"/>
    <mergeCell ref="I13:O13"/>
    <mergeCell ref="A1:G1"/>
    <mergeCell ref="I1:O1"/>
    <mergeCell ref="A3:G3"/>
    <mergeCell ref="I3:O3"/>
  </mergeCells>
  <phoneticPr fontId="3" type="noConversion"/>
  <pageMargins left="0.75" right="0.75" top="1" bottom="1" header="0.5" footer="0.5"/>
  <pageSetup paperSize="17" fitToHeight="0"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zoomScale="80" zoomScaleNormal="80" workbookViewId="0">
      <selection activeCell="A30" sqref="A30:G30"/>
    </sheetView>
  </sheetViews>
  <sheetFormatPr defaultRowHeight="15" x14ac:dyDescent="0.25"/>
  <cols>
    <col min="1" max="1" width="22.28515625" style="26" customWidth="1"/>
    <col min="2" max="2" width="10.140625" style="52" bestFit="1" customWidth="1"/>
    <col min="3" max="3" width="10" style="52" customWidth="1"/>
    <col min="4" max="4" width="12.85546875" style="26" customWidth="1"/>
    <col min="5" max="6" width="9.140625" style="26"/>
    <col min="7" max="7" width="11.7109375" style="26" bestFit="1" customWidth="1"/>
    <col min="8" max="8" width="9.140625" style="26"/>
    <col min="9" max="9" width="22.5703125" style="26" customWidth="1"/>
    <col min="10" max="10" width="10.140625" style="52" bestFit="1" customWidth="1"/>
    <col min="11" max="11" width="10.140625" style="52" customWidth="1"/>
    <col min="12" max="12" width="12.85546875" style="26" customWidth="1"/>
    <col min="13" max="14" width="9.140625" style="26"/>
    <col min="15" max="15" width="11.7109375" style="26" bestFit="1" customWidth="1"/>
    <col min="16" max="16384" width="9.140625" style="26"/>
  </cols>
  <sheetData>
    <row r="1" spans="1:15" ht="15" customHeight="1" x14ac:dyDescent="0.25">
      <c r="A1" s="63" t="s">
        <v>80</v>
      </c>
      <c r="B1" s="64"/>
      <c r="C1" s="64"/>
      <c r="D1" s="64"/>
      <c r="E1" s="64"/>
      <c r="F1" s="25"/>
      <c r="G1" s="25"/>
      <c r="I1" s="65" t="s">
        <v>81</v>
      </c>
      <c r="J1" s="66"/>
      <c r="K1" s="66"/>
      <c r="L1" s="66"/>
      <c r="M1" s="66"/>
      <c r="N1" s="29"/>
      <c r="O1" s="29"/>
    </row>
    <row r="2" spans="1:15" x14ac:dyDescent="0.25">
      <c r="A2" s="25"/>
      <c r="B2" s="24"/>
      <c r="C2" s="24"/>
      <c r="D2" s="25"/>
      <c r="E2" s="25"/>
      <c r="F2" s="25"/>
      <c r="G2" s="25"/>
      <c r="I2" s="29"/>
      <c r="J2" s="28"/>
      <c r="K2" s="28"/>
      <c r="L2" s="29"/>
      <c r="M2" s="29"/>
      <c r="N2" s="29"/>
      <c r="O2" s="29"/>
    </row>
    <row r="3" spans="1:15" ht="30" customHeight="1" x14ac:dyDescent="0.25">
      <c r="A3" s="30" t="s">
        <v>82</v>
      </c>
      <c r="B3" s="30"/>
      <c r="C3" s="30"/>
      <c r="D3" s="30"/>
      <c r="E3" s="30"/>
      <c r="F3" s="30"/>
      <c r="G3" s="30"/>
      <c r="I3" s="31" t="s">
        <v>82</v>
      </c>
      <c r="J3" s="31"/>
      <c r="K3" s="31"/>
      <c r="L3" s="31"/>
      <c r="M3" s="31"/>
      <c r="N3" s="31"/>
      <c r="O3" s="31"/>
    </row>
    <row r="4" spans="1:15" x14ac:dyDescent="0.25">
      <c r="A4" s="25"/>
      <c r="B4" s="24"/>
      <c r="C4" s="24"/>
      <c r="D4" s="25"/>
      <c r="E4" s="25"/>
      <c r="F4" s="25"/>
      <c r="G4" s="25"/>
      <c r="I4" s="29"/>
      <c r="J4" s="28"/>
      <c r="K4" s="28"/>
      <c r="L4" s="29"/>
      <c r="M4" s="29"/>
      <c r="N4" s="29"/>
      <c r="O4" s="29"/>
    </row>
    <row r="5" spans="1:15" x14ac:dyDescent="0.25">
      <c r="A5" s="25" t="s">
        <v>83</v>
      </c>
      <c r="B5" s="24" t="s">
        <v>3</v>
      </c>
      <c r="C5" s="67">
        <v>27500</v>
      </c>
      <c r="D5" s="25" t="s">
        <v>77</v>
      </c>
      <c r="E5" s="25"/>
      <c r="F5" s="25"/>
      <c r="G5" s="25"/>
      <c r="I5" s="29" t="s">
        <v>83</v>
      </c>
      <c r="J5" s="28" t="s">
        <v>3</v>
      </c>
      <c r="K5" s="76">
        <v>27500</v>
      </c>
      <c r="L5" s="29" t="s">
        <v>77</v>
      </c>
      <c r="M5" s="29"/>
      <c r="N5" s="29"/>
      <c r="O5" s="29"/>
    </row>
    <row r="6" spans="1:15" x14ac:dyDescent="0.25">
      <c r="A6" s="25" t="s">
        <v>84</v>
      </c>
      <c r="B6" s="24" t="s">
        <v>3</v>
      </c>
      <c r="C6" s="67">
        <v>7090</v>
      </c>
      <c r="D6" s="25" t="s">
        <v>85</v>
      </c>
      <c r="E6" s="25"/>
      <c r="F6" s="25"/>
      <c r="G6" s="25"/>
      <c r="I6" s="29" t="s">
        <v>84</v>
      </c>
      <c r="J6" s="28" t="s">
        <v>3</v>
      </c>
      <c r="K6" s="76">
        <v>7090</v>
      </c>
      <c r="L6" s="29" t="s">
        <v>85</v>
      </c>
      <c r="M6" s="29"/>
      <c r="N6" s="29"/>
      <c r="O6" s="29"/>
    </row>
    <row r="7" spans="1:15" x14ac:dyDescent="0.25">
      <c r="A7" s="25" t="s">
        <v>86</v>
      </c>
      <c r="B7" s="24" t="s">
        <v>3</v>
      </c>
      <c r="C7" s="24">
        <v>80</v>
      </c>
      <c r="D7" s="25" t="s">
        <v>7</v>
      </c>
      <c r="E7" s="25"/>
      <c r="F7" s="25"/>
      <c r="G7" s="25"/>
      <c r="I7" s="29" t="s">
        <v>86</v>
      </c>
      <c r="J7" s="28" t="s">
        <v>3</v>
      </c>
      <c r="K7" s="57">
        <v>80</v>
      </c>
      <c r="L7" s="29" t="s">
        <v>7</v>
      </c>
      <c r="M7" s="29"/>
      <c r="N7" s="29"/>
      <c r="O7" s="29"/>
    </row>
    <row r="8" spans="1:15" x14ac:dyDescent="0.25">
      <c r="A8" s="25" t="s">
        <v>87</v>
      </c>
      <c r="B8" s="24" t="s">
        <v>3</v>
      </c>
      <c r="C8" s="24">
        <v>1000</v>
      </c>
      <c r="D8" s="25" t="s">
        <v>88</v>
      </c>
      <c r="E8" s="25"/>
      <c r="F8" s="25"/>
      <c r="G8" s="25"/>
      <c r="I8" s="29" t="s">
        <v>87</v>
      </c>
      <c r="J8" s="28" t="s">
        <v>3</v>
      </c>
      <c r="K8" s="57">
        <v>1000</v>
      </c>
      <c r="L8" s="29" t="s">
        <v>88</v>
      </c>
      <c r="M8" s="29"/>
      <c r="N8" s="29"/>
      <c r="O8" s="29"/>
    </row>
    <row r="9" spans="1:15" ht="16.5" x14ac:dyDescent="0.3">
      <c r="A9" s="25" t="s">
        <v>89</v>
      </c>
      <c r="B9" s="24" t="s">
        <v>3</v>
      </c>
      <c r="C9" s="24">
        <v>4</v>
      </c>
      <c r="D9" s="25" t="s">
        <v>94</v>
      </c>
      <c r="E9" s="25"/>
      <c r="F9" s="25"/>
      <c r="G9" s="25"/>
      <c r="I9" s="29" t="s">
        <v>89</v>
      </c>
      <c r="J9" s="28" t="s">
        <v>3</v>
      </c>
      <c r="K9" s="57">
        <v>4</v>
      </c>
      <c r="L9" s="29" t="s">
        <v>94</v>
      </c>
      <c r="M9" s="29"/>
      <c r="N9" s="29"/>
      <c r="O9" s="29"/>
    </row>
    <row r="10" spans="1:15" ht="16.5" x14ac:dyDescent="0.3">
      <c r="A10" s="25" t="s">
        <v>90</v>
      </c>
      <c r="B10" s="24" t="s">
        <v>3</v>
      </c>
      <c r="C10" s="24">
        <v>2</v>
      </c>
      <c r="D10" s="25" t="s">
        <v>94</v>
      </c>
      <c r="E10" s="25"/>
      <c r="F10" s="25"/>
      <c r="G10" s="25"/>
      <c r="I10" s="29" t="s">
        <v>90</v>
      </c>
      <c r="J10" s="28" t="s">
        <v>3</v>
      </c>
      <c r="K10" s="57">
        <v>2</v>
      </c>
      <c r="L10" s="29" t="s">
        <v>94</v>
      </c>
      <c r="M10" s="29"/>
      <c r="N10" s="29"/>
      <c r="O10" s="29"/>
    </row>
    <row r="11" spans="1:15" x14ac:dyDescent="0.25">
      <c r="A11" s="25" t="s">
        <v>91</v>
      </c>
      <c r="B11" s="24" t="s">
        <v>3</v>
      </c>
      <c r="C11" s="68">
        <v>0.6</v>
      </c>
      <c r="D11" s="25"/>
      <c r="E11" s="25"/>
      <c r="F11" s="25"/>
      <c r="G11" s="25"/>
      <c r="I11" s="29" t="s">
        <v>91</v>
      </c>
      <c r="J11" s="28" t="s">
        <v>3</v>
      </c>
      <c r="K11" s="77">
        <v>0.6</v>
      </c>
      <c r="L11" s="29"/>
      <c r="M11" s="29"/>
      <c r="N11" s="29"/>
      <c r="O11" s="29"/>
    </row>
    <row r="12" spans="1:15" x14ac:dyDescent="0.25">
      <c r="A12" s="25" t="s">
        <v>92</v>
      </c>
      <c r="B12" s="24" t="s">
        <v>3</v>
      </c>
      <c r="C12" s="24" t="s">
        <v>93</v>
      </c>
      <c r="D12" s="25"/>
      <c r="E12" s="25"/>
      <c r="F12" s="25"/>
      <c r="G12" s="25"/>
      <c r="I12" s="29" t="s">
        <v>92</v>
      </c>
      <c r="J12" s="28" t="s">
        <v>3</v>
      </c>
      <c r="K12" s="28" t="s">
        <v>93</v>
      </c>
      <c r="L12" s="29"/>
      <c r="M12" s="29"/>
      <c r="N12" s="29"/>
      <c r="O12" s="29"/>
    </row>
    <row r="13" spans="1:15" x14ac:dyDescent="0.25">
      <c r="A13" s="25"/>
      <c r="B13" s="24"/>
      <c r="C13" s="24"/>
      <c r="D13" s="25"/>
      <c r="E13" s="25"/>
      <c r="F13" s="25"/>
      <c r="G13" s="25"/>
      <c r="I13" s="29"/>
      <c r="J13" s="28"/>
      <c r="K13" s="28"/>
      <c r="L13" s="29"/>
      <c r="M13" s="29"/>
      <c r="N13" s="29"/>
      <c r="O13" s="29"/>
    </row>
    <row r="14" spans="1:15" x14ac:dyDescent="0.25">
      <c r="A14" s="23" t="s">
        <v>141</v>
      </c>
      <c r="B14" s="24"/>
      <c r="C14" s="24"/>
      <c r="D14" s="25"/>
      <c r="E14" s="25"/>
      <c r="F14" s="25"/>
      <c r="G14" s="25"/>
      <c r="I14" s="27" t="s">
        <v>141</v>
      </c>
      <c r="J14" s="28"/>
      <c r="K14" s="28"/>
      <c r="L14" s="29"/>
      <c r="M14" s="29"/>
      <c r="N14" s="29"/>
      <c r="O14" s="29"/>
    </row>
    <row r="15" spans="1:15" x14ac:dyDescent="0.25">
      <c r="A15" s="25" t="str">
        <f>CONCATENATE("Find the power altitude correction factor from Fig. 15-28.  For ",C8," ft altitude, the ")</f>
        <v xml:space="preserve">Find the power altitude correction factor from Fig. 15-28.  For 1000 ft altitude, the </v>
      </c>
      <c r="B15" s="24"/>
      <c r="C15" s="24"/>
      <c r="D15" s="25"/>
      <c r="E15" s="25"/>
      <c r="F15" s="25"/>
      <c r="G15" s="25"/>
      <c r="I15" s="29" t="str">
        <f>CONCATENATE("Find the power altitude correction factor from Fig. 15-28.  For ",K8," ft altitude, the ")</f>
        <v xml:space="preserve">Find the power altitude correction factor from Fig. 15-28.  For 1000 ft altitude, the </v>
      </c>
      <c r="J15" s="28"/>
      <c r="K15" s="28"/>
      <c r="L15" s="29"/>
      <c r="M15" s="29"/>
      <c r="N15" s="29"/>
      <c r="O15" s="29"/>
    </row>
    <row r="16" spans="1:15" x14ac:dyDescent="0.25">
      <c r="A16" s="25" t="s">
        <v>95</v>
      </c>
      <c r="B16" s="24">
        <v>0.96499999999999997</v>
      </c>
      <c r="C16" s="45" t="s">
        <v>137</v>
      </c>
      <c r="D16" s="25"/>
      <c r="E16" s="24"/>
      <c r="F16" s="69"/>
      <c r="G16" s="69"/>
      <c r="I16" s="29" t="s">
        <v>95</v>
      </c>
      <c r="J16" s="57">
        <v>0.96499999999999997</v>
      </c>
      <c r="K16" s="44" t="s">
        <v>142</v>
      </c>
      <c r="L16" s="29"/>
      <c r="M16" s="28"/>
      <c r="N16" s="70"/>
      <c r="O16" s="70"/>
    </row>
    <row r="17" spans="1:15" x14ac:dyDescent="0.25">
      <c r="A17" s="25" t="str">
        <f>CONCATENATE("Find the power inlet loss correction factor from Fig. 15-29.  For ",C9," inches of water, the ")</f>
        <v xml:space="preserve">Find the power inlet loss correction factor from Fig. 15-29.  For 4 inches of water, the </v>
      </c>
      <c r="B17" s="24"/>
      <c r="C17" s="45"/>
      <c r="D17" s="25"/>
      <c r="E17" s="24"/>
      <c r="F17" s="69"/>
      <c r="G17" s="69"/>
      <c r="I17" s="29" t="str">
        <f>CONCATENATE("Find the power inlet loss correction factor from Fig. 15-29.  For ",K9," inches of water, the ")</f>
        <v xml:space="preserve">Find the power inlet loss correction factor from Fig. 15-29.  For 4 inches of water, the </v>
      </c>
      <c r="J17" s="28"/>
      <c r="K17" s="44"/>
      <c r="L17" s="29"/>
      <c r="M17" s="28"/>
      <c r="N17" s="70"/>
      <c r="O17" s="70"/>
    </row>
    <row r="18" spans="1:15" x14ac:dyDescent="0.25">
      <c r="A18" s="25" t="s">
        <v>95</v>
      </c>
      <c r="B18" s="24">
        <v>0.98399999999999999</v>
      </c>
      <c r="C18" s="45" t="s">
        <v>137</v>
      </c>
      <c r="D18" s="25"/>
      <c r="E18" s="24"/>
      <c r="F18" s="69"/>
      <c r="G18" s="69"/>
      <c r="I18" s="29" t="s">
        <v>95</v>
      </c>
      <c r="J18" s="57">
        <v>0.98399999999999999</v>
      </c>
      <c r="K18" s="44" t="s">
        <v>137</v>
      </c>
      <c r="L18" s="29"/>
      <c r="M18" s="28"/>
      <c r="N18" s="70"/>
      <c r="O18" s="70"/>
    </row>
    <row r="19" spans="1:15" x14ac:dyDescent="0.25">
      <c r="A19" s="25" t="str">
        <f>CONCATENATE("Find the power exhaust loss correction factor from Fig. 15-30.  For ",C10," inches of water, the ")</f>
        <v xml:space="preserve">Find the power exhaust loss correction factor from Fig. 15-30.  For 2 inches of water, the </v>
      </c>
      <c r="B19" s="24"/>
      <c r="C19" s="45"/>
      <c r="D19" s="25"/>
      <c r="E19" s="25"/>
      <c r="F19" s="25"/>
      <c r="G19" s="25"/>
      <c r="I19" s="29" t="str">
        <f>CONCATENATE("Find the power exhaust loss correction factor from Fig. 15-30.  For ",K10," inches of water, the ")</f>
        <v xml:space="preserve">Find the power exhaust loss correction factor from Fig. 15-30.  For 2 inches of water, the </v>
      </c>
      <c r="J19" s="28"/>
      <c r="K19" s="44"/>
      <c r="L19" s="29"/>
      <c r="M19" s="29"/>
      <c r="N19" s="29"/>
      <c r="O19" s="29"/>
    </row>
    <row r="20" spans="1:15" x14ac:dyDescent="0.25">
      <c r="A20" s="25" t="s">
        <v>95</v>
      </c>
      <c r="B20" s="24">
        <v>0.99650000000000005</v>
      </c>
      <c r="C20" s="45" t="s">
        <v>137</v>
      </c>
      <c r="D20" s="71"/>
      <c r="E20" s="25"/>
      <c r="F20" s="25"/>
      <c r="G20" s="25"/>
      <c r="I20" s="29" t="s">
        <v>95</v>
      </c>
      <c r="J20" s="57">
        <v>0.99650000000000005</v>
      </c>
      <c r="K20" s="72" t="s">
        <v>137</v>
      </c>
      <c r="L20" s="72"/>
      <c r="M20" s="29"/>
      <c r="N20" s="29"/>
      <c r="O20" s="29"/>
    </row>
    <row r="21" spans="1:15" x14ac:dyDescent="0.25">
      <c r="A21" s="25" t="str">
        <f>CONCATENATE("Find the power ambient temperature correction factor from Fig. 15-31.  For ",C7," °F, the ")</f>
        <v xml:space="preserve">Find the power ambient temperature correction factor from Fig. 15-31.  For 80 °F, the </v>
      </c>
      <c r="B21" s="24"/>
      <c r="C21" s="24"/>
      <c r="D21" s="25"/>
      <c r="E21" s="25"/>
      <c r="F21" s="25"/>
      <c r="G21" s="25"/>
      <c r="I21" s="29" t="str">
        <f>CONCATENATE("Find the power ambient temperature correction factor from Fig. 15-31.  For ",K7," °F, the ")</f>
        <v xml:space="preserve">Find the power ambient temperature correction factor from Fig. 15-31.  For 80 °F, the </v>
      </c>
      <c r="J21" s="57"/>
      <c r="K21" s="28"/>
      <c r="L21" s="29"/>
      <c r="M21" s="29"/>
      <c r="N21" s="29"/>
      <c r="O21" s="29"/>
    </row>
    <row r="22" spans="1:15" x14ac:dyDescent="0.25">
      <c r="A22" s="25" t="s">
        <v>95</v>
      </c>
      <c r="B22" s="24">
        <v>0.91500000000000004</v>
      </c>
      <c r="C22" s="45" t="s">
        <v>137</v>
      </c>
      <c r="D22" s="25"/>
      <c r="E22" s="25"/>
      <c r="F22" s="25"/>
      <c r="G22" s="25"/>
      <c r="I22" s="29" t="s">
        <v>95</v>
      </c>
      <c r="J22" s="57">
        <v>0.91500000000000004</v>
      </c>
      <c r="K22" s="44" t="s">
        <v>137</v>
      </c>
      <c r="L22" s="29"/>
      <c r="M22" s="29"/>
      <c r="N22" s="29"/>
      <c r="O22" s="29"/>
    </row>
    <row r="23" spans="1:15" ht="15" customHeight="1" x14ac:dyDescent="0.25">
      <c r="A23" s="25" t="str">
        <f>CONCATENATE("Since relative humidity is ",C11*100,"% and fuel is ", C12, ", no corrections are required.")</f>
        <v>Since relative humidity is 60% and fuel is Natural Gas, no corrections are required.</v>
      </c>
      <c r="B23" s="24"/>
      <c r="C23" s="24"/>
      <c r="D23" s="25"/>
      <c r="E23" s="25"/>
      <c r="F23" s="25"/>
      <c r="G23" s="25"/>
      <c r="I23" s="29" t="str">
        <f>CONCATENATE("Since relative humidity is ",K11*100,"% and fuel is ", K12, ", no corrections are required.")</f>
        <v>Since relative humidity is 60% and fuel is Natural Gas, no corrections are required.</v>
      </c>
      <c r="J23" s="28"/>
      <c r="K23" s="28"/>
      <c r="L23" s="29"/>
      <c r="M23" s="29"/>
      <c r="N23" s="29"/>
      <c r="O23" s="29"/>
    </row>
    <row r="24" spans="1:15" x14ac:dyDescent="0.25">
      <c r="A24" s="24"/>
      <c r="B24" s="24"/>
      <c r="C24" s="45"/>
      <c r="D24" s="25"/>
      <c r="E24" s="24"/>
      <c r="F24" s="69"/>
      <c r="G24" s="69"/>
      <c r="I24" s="29"/>
      <c r="J24" s="28"/>
      <c r="K24" s="44"/>
      <c r="L24" s="29"/>
      <c r="M24" s="28"/>
      <c r="N24" s="70"/>
      <c r="O24" s="70"/>
    </row>
    <row r="25" spans="1:15" ht="30" customHeight="1" x14ac:dyDescent="0.25">
      <c r="A25" s="30" t="s">
        <v>96</v>
      </c>
      <c r="B25" s="30"/>
      <c r="C25" s="30"/>
      <c r="D25" s="30"/>
      <c r="E25" s="30"/>
      <c r="F25" s="30"/>
      <c r="G25" s="30"/>
      <c r="I25" s="31" t="s">
        <v>96</v>
      </c>
      <c r="J25" s="31"/>
      <c r="K25" s="31"/>
      <c r="L25" s="31"/>
      <c r="M25" s="31"/>
      <c r="N25" s="31"/>
      <c r="O25" s="31"/>
    </row>
    <row r="26" spans="1:15" x14ac:dyDescent="0.25">
      <c r="A26" s="39" t="s">
        <v>97</v>
      </c>
      <c r="B26" s="45" t="str">
        <f>CONCATENATE("power (",B16,") (",B18,") (",B20,") (",B22,")")</f>
        <v>power (0.965) (0.984) (0.9965) (0.915)</v>
      </c>
      <c r="C26" s="45"/>
      <c r="D26" s="25"/>
      <c r="E26" s="24"/>
      <c r="F26" s="69"/>
      <c r="G26" s="69"/>
      <c r="I26" s="47" t="s">
        <v>97</v>
      </c>
      <c r="J26" s="59" t="str">
        <f>CONCATENATE("power (",J16,") (",J18,") (",J20,") (",J22,")")</f>
        <v>power (0.965) (0.984) (0.9965) (0.915)</v>
      </c>
      <c r="K26" s="59"/>
      <c r="L26" s="56"/>
      <c r="M26" s="57"/>
      <c r="N26" s="70"/>
      <c r="O26" s="70"/>
    </row>
    <row r="27" spans="1:15" x14ac:dyDescent="0.25">
      <c r="A27" s="39" t="s">
        <v>97</v>
      </c>
      <c r="B27" s="45" t="str">
        <f>CONCATENATE(C5," (",B16,") (",B18,") (",B20,") (",B22,")")</f>
        <v>27500 (0.965) (0.984) (0.9965) (0.915)</v>
      </c>
      <c r="C27" s="45"/>
      <c r="D27" s="25"/>
      <c r="E27" s="25"/>
      <c r="F27" s="25"/>
      <c r="G27" s="25"/>
      <c r="I27" s="47" t="s">
        <v>97</v>
      </c>
      <c r="J27" s="59" t="str">
        <f>CONCATENATE(K5," (",J16,") (",J18,") (",J20,") (",J22,")")</f>
        <v>27500 (0.965) (0.984) (0.9965) (0.915)</v>
      </c>
      <c r="K27" s="59"/>
      <c r="L27" s="56"/>
      <c r="M27" s="56"/>
      <c r="N27" s="29"/>
      <c r="O27" s="29"/>
    </row>
    <row r="28" spans="1:15" x14ac:dyDescent="0.25">
      <c r="A28" s="39" t="s">
        <v>97</v>
      </c>
      <c r="B28" s="73">
        <f>ROUND((C5*B16*B18*B20*B22),-1)</f>
        <v>23810</v>
      </c>
      <c r="C28" s="71" t="s">
        <v>77</v>
      </c>
      <c r="D28" s="71"/>
      <c r="E28" s="25"/>
      <c r="F28" s="25"/>
      <c r="G28" s="25"/>
      <c r="I28" s="47" t="s">
        <v>97</v>
      </c>
      <c r="J28" s="78">
        <f>(K5*J16*J18*J20*J22)</f>
        <v>23809.676937749999</v>
      </c>
      <c r="K28" s="72" t="s">
        <v>77</v>
      </c>
      <c r="L28" s="72"/>
      <c r="M28" s="29"/>
      <c r="N28" s="29"/>
      <c r="O28" s="29"/>
    </row>
    <row r="29" spans="1:15" x14ac:dyDescent="0.25">
      <c r="A29" s="25"/>
      <c r="B29" s="24"/>
      <c r="C29" s="24"/>
      <c r="D29" s="25"/>
      <c r="E29" s="25"/>
      <c r="F29" s="25"/>
      <c r="G29" s="25"/>
      <c r="I29" s="29"/>
      <c r="J29" s="28"/>
      <c r="K29" s="28"/>
      <c r="L29" s="29"/>
      <c r="M29" s="29"/>
      <c r="N29" s="29"/>
      <c r="O29" s="29"/>
    </row>
    <row r="30" spans="1:15" ht="45" customHeight="1" x14ac:dyDescent="0.25">
      <c r="A30" s="30" t="s">
        <v>147</v>
      </c>
      <c r="B30" s="74"/>
      <c r="C30" s="30"/>
      <c r="D30" s="30"/>
      <c r="E30" s="30"/>
      <c r="F30" s="30"/>
      <c r="G30" s="30"/>
      <c r="I30" s="31" t="s">
        <v>116</v>
      </c>
      <c r="J30" s="75"/>
      <c r="K30" s="31"/>
      <c r="L30" s="31"/>
      <c r="M30" s="31"/>
      <c r="N30" s="31"/>
      <c r="O30" s="31"/>
    </row>
    <row r="31" spans="1:15" ht="15" customHeight="1" x14ac:dyDescent="0.25">
      <c r="A31" s="25" t="s">
        <v>100</v>
      </c>
      <c r="B31" s="24" t="s">
        <v>3</v>
      </c>
      <c r="C31" s="24">
        <v>1.0065</v>
      </c>
      <c r="D31" s="25"/>
      <c r="E31" s="24"/>
      <c r="F31" s="24"/>
      <c r="G31" s="25"/>
      <c r="I31" s="29" t="s">
        <v>100</v>
      </c>
      <c r="J31" s="50" t="s">
        <v>3</v>
      </c>
      <c r="K31" s="57">
        <v>1.0065</v>
      </c>
      <c r="L31" s="29"/>
      <c r="M31" s="28"/>
      <c r="N31" s="28"/>
      <c r="O31" s="29"/>
    </row>
    <row r="32" spans="1:15" x14ac:dyDescent="0.25">
      <c r="A32" s="25" t="s">
        <v>98</v>
      </c>
      <c r="B32" s="24" t="s">
        <v>3</v>
      </c>
      <c r="C32" s="24">
        <v>1.0029999999999999</v>
      </c>
      <c r="D32" s="25"/>
      <c r="E32" s="24"/>
      <c r="F32" s="24"/>
      <c r="G32" s="69"/>
      <c r="I32" s="29" t="s">
        <v>98</v>
      </c>
      <c r="J32" s="28" t="s">
        <v>3</v>
      </c>
      <c r="K32" s="57">
        <v>1.0029999999999999</v>
      </c>
      <c r="L32" s="29"/>
      <c r="M32" s="28"/>
      <c r="N32" s="28"/>
      <c r="O32" s="70"/>
    </row>
    <row r="33" spans="1:15" x14ac:dyDescent="0.25">
      <c r="A33" s="25" t="s">
        <v>99</v>
      </c>
      <c r="B33" s="24" t="s">
        <v>3</v>
      </c>
      <c r="C33" s="24">
        <v>1.03</v>
      </c>
      <c r="D33" s="25"/>
      <c r="E33" s="24"/>
      <c r="F33" s="24"/>
      <c r="G33" s="69"/>
      <c r="I33" s="29" t="s">
        <v>99</v>
      </c>
      <c r="J33" s="28" t="s">
        <v>3</v>
      </c>
      <c r="K33" s="57">
        <v>1.03</v>
      </c>
      <c r="L33" s="29"/>
      <c r="M33" s="28"/>
      <c r="N33" s="28"/>
      <c r="O33" s="70"/>
    </row>
    <row r="34" spans="1:15" x14ac:dyDescent="0.25">
      <c r="A34" s="25"/>
      <c r="B34" s="24"/>
      <c r="C34" s="45"/>
      <c r="D34" s="25"/>
      <c r="E34" s="24"/>
      <c r="F34" s="69"/>
      <c r="G34" s="69"/>
      <c r="I34" s="29"/>
      <c r="J34" s="28"/>
      <c r="K34" s="44"/>
      <c r="L34" s="29"/>
      <c r="M34" s="28"/>
      <c r="N34" s="70"/>
      <c r="O34" s="70"/>
    </row>
    <row r="35" spans="1:15" x14ac:dyDescent="0.25">
      <c r="A35" s="25" t="s">
        <v>101</v>
      </c>
      <c r="B35" s="24"/>
      <c r="C35" s="45"/>
      <c r="D35" s="25"/>
      <c r="E35" s="25"/>
      <c r="F35" s="25"/>
      <c r="G35" s="25"/>
      <c r="I35" s="29" t="s">
        <v>101</v>
      </c>
      <c r="J35" s="28"/>
      <c r="K35" s="44"/>
      <c r="L35" s="29"/>
      <c r="M35" s="29"/>
      <c r="N35" s="29"/>
      <c r="O35" s="29"/>
    </row>
    <row r="36" spans="1:15" x14ac:dyDescent="0.25">
      <c r="A36" s="39" t="s">
        <v>102</v>
      </c>
      <c r="B36" s="45" t="str">
        <f>CONCATENATE("heat rate (",C31,") (",C32,") (",C33,")")</f>
        <v>heat rate (1.0065) (1.003) (1.03)</v>
      </c>
      <c r="C36" s="71"/>
      <c r="D36" s="71"/>
      <c r="E36" s="25"/>
      <c r="F36" s="25"/>
      <c r="G36" s="25"/>
      <c r="I36" s="47" t="s">
        <v>102</v>
      </c>
      <c r="J36" s="59" t="str">
        <f>CONCATENATE("heat rate (",K31,") (",K32,") (",K33,")")</f>
        <v>heat rate (1.0065) (1.003) (1.03)</v>
      </c>
      <c r="K36" s="79"/>
      <c r="L36" s="79"/>
      <c r="M36" s="29"/>
      <c r="N36" s="29"/>
      <c r="O36" s="29"/>
    </row>
    <row r="37" spans="1:15" x14ac:dyDescent="0.25">
      <c r="A37" s="39" t="s">
        <v>102</v>
      </c>
      <c r="B37" s="45" t="str">
        <f>CONCATENATE("[",C6," Btu/(hp • hr)](",C31,") (",C32,") (",C33,")")</f>
        <v>[7090 Btu/(hp • hr)](1.0065) (1.003) (1.03)</v>
      </c>
      <c r="C37" s="24"/>
      <c r="D37" s="25"/>
      <c r="E37" s="25"/>
      <c r="F37" s="25"/>
      <c r="G37" s="25"/>
      <c r="I37" s="47" t="s">
        <v>102</v>
      </c>
      <c r="J37" s="59" t="str">
        <f>CONCATENATE("[",K6," Btu/(hp • hr)](",K31,") (",K32,") (",K33,")")</f>
        <v>[7090 Btu/(hp • hr)](1.0065) (1.003) (1.03)</v>
      </c>
      <c r="K37" s="57"/>
      <c r="L37" s="56"/>
      <c r="M37" s="56"/>
      <c r="N37" s="29"/>
      <c r="O37" s="29"/>
    </row>
    <row r="38" spans="1:15" x14ac:dyDescent="0.25">
      <c r="A38" s="39" t="s">
        <v>102</v>
      </c>
      <c r="B38" s="73">
        <f>ROUND((C6*C31*C32*C33),-1)</f>
        <v>7370</v>
      </c>
      <c r="C38" s="45" t="s">
        <v>85</v>
      </c>
      <c r="D38" s="25"/>
      <c r="E38" s="25"/>
      <c r="F38" s="25"/>
      <c r="G38" s="25"/>
      <c r="I38" s="47" t="s">
        <v>102</v>
      </c>
      <c r="J38" s="78">
        <f>(K6*K31*K32*K33)</f>
        <v>7372.2180526499997</v>
      </c>
      <c r="K38" s="44" t="s">
        <v>85</v>
      </c>
      <c r="L38" s="29"/>
      <c r="M38" s="29"/>
      <c r="N38" s="29"/>
      <c r="O38" s="29"/>
    </row>
    <row r="41" spans="1:15" x14ac:dyDescent="0.25">
      <c r="A41" s="51" t="s">
        <v>220</v>
      </c>
    </row>
    <row r="42" spans="1:15" x14ac:dyDescent="0.25">
      <c r="A42" s="51" t="s">
        <v>221</v>
      </c>
    </row>
    <row r="43" spans="1:15" x14ac:dyDescent="0.25">
      <c r="A43" s="51" t="s">
        <v>222</v>
      </c>
    </row>
    <row r="44" spans="1:15" x14ac:dyDescent="0.25">
      <c r="A44" s="51" t="s">
        <v>223</v>
      </c>
    </row>
    <row r="45" spans="1:15" x14ac:dyDescent="0.25">
      <c r="A45" s="51" t="s">
        <v>224</v>
      </c>
    </row>
    <row r="47" spans="1:15" x14ac:dyDescent="0.25">
      <c r="J47" s="53"/>
    </row>
    <row r="49" spans="2:10" x14ac:dyDescent="0.25">
      <c r="B49" s="54"/>
      <c r="J49" s="54"/>
    </row>
    <row r="55" spans="2:10" x14ac:dyDescent="0.25">
      <c r="J55" s="55"/>
    </row>
  </sheetData>
  <sheetProtection password="F030" sheet="1" objects="1" scenarios="1"/>
  <customSheetViews>
    <customSheetView guid="{4F8C502A-1B49-4129-81FD-D7C5FEE19727}">
      <selection sqref="A1:E1"/>
      <pageMargins left="0.75" right="0.75" top="1" bottom="1" header="0.5" footer="0.5"/>
      <pageSetup orientation="portrait" r:id="rId1"/>
      <headerFooter alignWithMargins="0"/>
    </customSheetView>
  </customSheetViews>
  <mergeCells count="8">
    <mergeCell ref="A30:G30"/>
    <mergeCell ref="I25:O25"/>
    <mergeCell ref="I30:O30"/>
    <mergeCell ref="A1:E1"/>
    <mergeCell ref="I1:M1"/>
    <mergeCell ref="A3:G3"/>
    <mergeCell ref="I3:O3"/>
    <mergeCell ref="A25:G25"/>
  </mergeCells>
  <phoneticPr fontId="3" type="noConversion"/>
  <pageMargins left="0.75" right="0.75" top="1" bottom="1" header="0.5" footer="0.5"/>
  <pageSetup paperSize="17" fitToHeight="0"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zoomScale="80" zoomScaleNormal="80" workbookViewId="0">
      <selection activeCell="K11" sqref="K11"/>
    </sheetView>
  </sheetViews>
  <sheetFormatPr defaultRowHeight="15" x14ac:dyDescent="0.25"/>
  <cols>
    <col min="1" max="1" width="9.85546875" style="26" customWidth="1"/>
    <col min="2" max="2" width="14" style="52" bestFit="1" customWidth="1"/>
    <col min="3" max="3" width="9.140625" style="52"/>
    <col min="4" max="4" width="9.5703125" style="26" bestFit="1" customWidth="1"/>
    <col min="5" max="8" width="9.140625" style="26"/>
    <col min="9" max="9" width="9.85546875" style="26" customWidth="1"/>
    <col min="10" max="10" width="9.140625" style="52"/>
    <col min="11" max="11" width="10.140625" style="52" bestFit="1" customWidth="1"/>
    <col min="12" max="12" width="9.5703125" style="26" bestFit="1" customWidth="1"/>
    <col min="13" max="14" width="9.140625" style="26"/>
    <col min="15" max="15" width="11" style="26" customWidth="1"/>
    <col min="16" max="16384" width="9.140625" style="26"/>
  </cols>
  <sheetData>
    <row r="1" spans="1:15" x14ac:dyDescent="0.25">
      <c r="A1" s="23" t="s">
        <v>103</v>
      </c>
      <c r="B1" s="24"/>
      <c r="C1" s="24"/>
      <c r="D1" s="25"/>
      <c r="E1" s="25"/>
      <c r="F1" s="25"/>
      <c r="G1" s="25"/>
      <c r="I1" s="27" t="s">
        <v>104</v>
      </c>
      <c r="J1" s="28"/>
      <c r="K1" s="28"/>
      <c r="L1" s="29"/>
      <c r="M1" s="29"/>
      <c r="N1" s="29"/>
      <c r="O1" s="29"/>
    </row>
    <row r="2" spans="1:15" x14ac:dyDescent="0.25">
      <c r="A2" s="25"/>
      <c r="B2" s="24"/>
      <c r="C2" s="24"/>
      <c r="D2" s="25"/>
      <c r="E2" s="25"/>
      <c r="F2" s="25"/>
      <c r="G2" s="25"/>
      <c r="I2" s="29"/>
      <c r="J2" s="28"/>
      <c r="K2" s="28"/>
      <c r="L2" s="29"/>
      <c r="M2" s="29"/>
      <c r="N2" s="29"/>
      <c r="O2" s="29"/>
    </row>
    <row r="3" spans="1:15" ht="30" customHeight="1" x14ac:dyDescent="0.25">
      <c r="A3" s="30" t="s">
        <v>143</v>
      </c>
      <c r="B3" s="30"/>
      <c r="C3" s="30"/>
      <c r="D3" s="30"/>
      <c r="E3" s="30"/>
      <c r="F3" s="30"/>
      <c r="G3" s="30"/>
      <c r="I3" s="31" t="s">
        <v>210</v>
      </c>
      <c r="J3" s="31"/>
      <c r="K3" s="31"/>
      <c r="L3" s="31"/>
      <c r="M3" s="31"/>
      <c r="N3" s="31"/>
      <c r="O3" s="31"/>
    </row>
    <row r="4" spans="1:15" ht="30" customHeight="1" x14ac:dyDescent="0.25">
      <c r="A4" s="32"/>
      <c r="B4" s="30" t="s">
        <v>144</v>
      </c>
      <c r="C4" s="30"/>
      <c r="D4" s="30"/>
      <c r="E4" s="32" t="s">
        <v>145</v>
      </c>
      <c r="F4" s="32"/>
      <c r="G4" s="32"/>
      <c r="I4" s="33"/>
      <c r="J4" s="31" t="s">
        <v>144</v>
      </c>
      <c r="K4" s="34"/>
      <c r="L4" s="34"/>
      <c r="M4" s="33" t="s">
        <v>209</v>
      </c>
      <c r="N4" s="33"/>
      <c r="O4" s="33"/>
    </row>
    <row r="5" spans="1:15" x14ac:dyDescent="0.25">
      <c r="A5" s="25" t="s">
        <v>117</v>
      </c>
      <c r="B5" s="25"/>
      <c r="C5" s="25">
        <v>1200</v>
      </c>
      <c r="D5" s="24" t="s">
        <v>105</v>
      </c>
      <c r="E5" s="25"/>
      <c r="F5" s="25"/>
      <c r="G5" s="25"/>
      <c r="I5" s="29" t="s">
        <v>117</v>
      </c>
      <c r="J5" s="29"/>
      <c r="K5" s="56">
        <v>1200</v>
      </c>
      <c r="L5" s="33" t="s">
        <v>105</v>
      </c>
      <c r="M5" s="29"/>
      <c r="N5" s="29"/>
      <c r="O5" s="29"/>
    </row>
    <row r="6" spans="1:15" x14ac:dyDescent="0.25">
      <c r="A6" s="25" t="s">
        <v>118</v>
      </c>
      <c r="B6" s="25"/>
      <c r="C6" s="25">
        <v>77</v>
      </c>
      <c r="D6" s="24" t="s">
        <v>7</v>
      </c>
      <c r="E6" s="25"/>
      <c r="F6" s="25"/>
      <c r="G6" s="25"/>
      <c r="I6" s="29" t="s">
        <v>118</v>
      </c>
      <c r="J6" s="29"/>
      <c r="K6" s="56">
        <v>77</v>
      </c>
      <c r="L6" s="33" t="s">
        <v>7</v>
      </c>
      <c r="M6" s="29"/>
      <c r="N6" s="29"/>
      <c r="O6" s="29"/>
    </row>
    <row r="7" spans="1:15" x14ac:dyDescent="0.25">
      <c r="A7" s="25" t="s">
        <v>119</v>
      </c>
      <c r="B7" s="25"/>
      <c r="C7" s="35" t="s">
        <v>106</v>
      </c>
      <c r="D7" s="35"/>
      <c r="E7" s="25"/>
      <c r="F7" s="25"/>
      <c r="G7" s="25"/>
      <c r="I7" s="29" t="s">
        <v>119</v>
      </c>
      <c r="J7" s="29"/>
      <c r="K7" s="36" t="s">
        <v>106</v>
      </c>
      <c r="L7" s="36"/>
      <c r="M7" s="29"/>
      <c r="N7" s="29"/>
      <c r="O7" s="29"/>
    </row>
    <row r="8" spans="1:15" x14ac:dyDescent="0.25">
      <c r="A8" s="25" t="s">
        <v>120</v>
      </c>
      <c r="B8" s="25"/>
      <c r="C8" s="35" t="s">
        <v>107</v>
      </c>
      <c r="D8" s="35"/>
      <c r="E8" s="25"/>
      <c r="F8" s="25"/>
      <c r="G8" s="25"/>
      <c r="I8" s="29" t="s">
        <v>120</v>
      </c>
      <c r="J8" s="29"/>
      <c r="K8" s="36" t="s">
        <v>107</v>
      </c>
      <c r="L8" s="36"/>
      <c r="M8" s="29"/>
      <c r="N8" s="29"/>
      <c r="O8" s="29"/>
    </row>
    <row r="9" spans="1:15" x14ac:dyDescent="0.25">
      <c r="A9" s="25"/>
      <c r="B9" s="24"/>
      <c r="C9" s="24"/>
      <c r="D9" s="25"/>
      <c r="E9" s="25"/>
      <c r="F9" s="25"/>
      <c r="G9" s="25"/>
      <c r="I9" s="29"/>
      <c r="J9" s="28"/>
      <c r="K9" s="28"/>
      <c r="L9" s="29"/>
      <c r="M9" s="29"/>
      <c r="N9" s="29"/>
      <c r="O9" s="29"/>
    </row>
    <row r="10" spans="1:15" x14ac:dyDescent="0.25">
      <c r="A10" s="25" t="s">
        <v>108</v>
      </c>
      <c r="B10" s="24"/>
      <c r="C10" s="37"/>
      <c r="D10" s="25"/>
      <c r="E10" s="25"/>
      <c r="F10" s="25"/>
      <c r="G10" s="25"/>
      <c r="I10" s="29" t="s">
        <v>108</v>
      </c>
      <c r="J10" s="28"/>
      <c r="K10" s="38"/>
      <c r="L10" s="29"/>
      <c r="M10" s="29"/>
      <c r="N10" s="29"/>
      <c r="O10" s="29"/>
    </row>
    <row r="11" spans="1:15" x14ac:dyDescent="0.25">
      <c r="A11" s="25" t="s">
        <v>109</v>
      </c>
      <c r="B11" s="24" t="s">
        <v>3</v>
      </c>
      <c r="C11" s="24">
        <v>1480</v>
      </c>
      <c r="D11" s="25" t="s">
        <v>110</v>
      </c>
      <c r="E11" s="25"/>
      <c r="F11" s="25"/>
      <c r="G11" s="25" t="s">
        <v>148</v>
      </c>
      <c r="I11" s="29" t="s">
        <v>109</v>
      </c>
      <c r="J11" s="28" t="s">
        <v>3</v>
      </c>
      <c r="K11" s="57">
        <v>1480</v>
      </c>
      <c r="L11" s="29" t="s">
        <v>110</v>
      </c>
      <c r="M11" s="29"/>
      <c r="N11" s="29"/>
      <c r="O11" s="29" t="s">
        <v>148</v>
      </c>
    </row>
    <row r="12" spans="1:15" x14ac:dyDescent="0.25">
      <c r="A12" s="25" t="s">
        <v>111</v>
      </c>
      <c r="B12" s="24" t="s">
        <v>3</v>
      </c>
      <c r="C12" s="24">
        <v>7284</v>
      </c>
      <c r="D12" s="25" t="s">
        <v>112</v>
      </c>
      <c r="E12" s="25"/>
      <c r="F12" s="25"/>
      <c r="G12" s="25" t="s">
        <v>149</v>
      </c>
      <c r="I12" s="29" t="s">
        <v>111</v>
      </c>
      <c r="J12" s="28" t="s">
        <v>3</v>
      </c>
      <c r="K12" s="57">
        <v>7284</v>
      </c>
      <c r="L12" s="29" t="s">
        <v>112</v>
      </c>
      <c r="M12" s="29"/>
      <c r="N12" s="29"/>
      <c r="O12" s="29" t="s">
        <v>149</v>
      </c>
    </row>
    <row r="13" spans="1:15" x14ac:dyDescent="0.25">
      <c r="A13" s="25" t="s">
        <v>125</v>
      </c>
      <c r="B13" s="24"/>
      <c r="C13" s="24"/>
      <c r="D13" s="25"/>
      <c r="E13" s="25"/>
      <c r="F13" s="25"/>
      <c r="G13" s="25"/>
      <c r="I13" s="29" t="s">
        <v>125</v>
      </c>
      <c r="J13" s="28"/>
      <c r="K13" s="29"/>
      <c r="L13" s="28"/>
      <c r="M13" s="29"/>
      <c r="N13" s="29"/>
      <c r="O13" s="29"/>
    </row>
    <row r="14" spans="1:15" x14ac:dyDescent="0.25">
      <c r="A14" s="25"/>
      <c r="B14" s="39" t="s">
        <v>121</v>
      </c>
      <c r="C14" s="24">
        <v>1953</v>
      </c>
      <c r="D14" s="25" t="s">
        <v>113</v>
      </c>
      <c r="E14" s="25"/>
      <c r="F14" s="25"/>
      <c r="G14" s="25" t="s">
        <v>150</v>
      </c>
      <c r="I14" s="29"/>
      <c r="J14" s="28" t="s">
        <v>121</v>
      </c>
      <c r="K14" s="57">
        <v>1953</v>
      </c>
      <c r="L14" s="29" t="s">
        <v>113</v>
      </c>
      <c r="M14" s="29"/>
      <c r="N14" s="29"/>
      <c r="O14" s="29" t="s">
        <v>150</v>
      </c>
    </row>
    <row r="15" spans="1:15" x14ac:dyDescent="0.25">
      <c r="A15" s="25"/>
      <c r="B15" s="24" t="s">
        <v>122</v>
      </c>
      <c r="C15" s="24">
        <v>298</v>
      </c>
      <c r="D15" s="25" t="s">
        <v>113</v>
      </c>
      <c r="E15" s="25"/>
      <c r="F15" s="25"/>
      <c r="G15" s="25" t="s">
        <v>151</v>
      </c>
      <c r="I15" s="29"/>
      <c r="J15" s="28" t="s">
        <v>122</v>
      </c>
      <c r="K15" s="57">
        <v>298</v>
      </c>
      <c r="L15" s="29" t="s">
        <v>113</v>
      </c>
      <c r="M15" s="29"/>
      <c r="N15" s="29"/>
      <c r="O15" s="29" t="s">
        <v>151</v>
      </c>
    </row>
    <row r="16" spans="1:15" x14ac:dyDescent="0.25">
      <c r="A16" s="40" t="s">
        <v>123</v>
      </c>
      <c r="B16" s="41"/>
      <c r="C16" s="24">
        <v>427</v>
      </c>
      <c r="D16" s="25" t="s">
        <v>113</v>
      </c>
      <c r="E16" s="25"/>
      <c r="F16" s="25"/>
      <c r="G16" s="25" t="s">
        <v>152</v>
      </c>
      <c r="I16" s="42" t="s">
        <v>123</v>
      </c>
      <c r="J16" s="43"/>
      <c r="K16" s="57">
        <v>427</v>
      </c>
      <c r="L16" s="29" t="s">
        <v>113</v>
      </c>
      <c r="M16" s="29"/>
      <c r="N16" s="29"/>
      <c r="O16" s="29" t="s">
        <v>152</v>
      </c>
    </row>
    <row r="17" spans="1:15" x14ac:dyDescent="0.25">
      <c r="A17" s="25"/>
      <c r="B17" s="24" t="s">
        <v>124</v>
      </c>
      <c r="C17" s="24">
        <v>189</v>
      </c>
      <c r="D17" s="25" t="s">
        <v>113</v>
      </c>
      <c r="E17" s="25"/>
      <c r="F17" s="25"/>
      <c r="G17" s="25" t="s">
        <v>153</v>
      </c>
      <c r="I17" s="29"/>
      <c r="J17" s="28" t="s">
        <v>124</v>
      </c>
      <c r="K17" s="57">
        <v>189</v>
      </c>
      <c r="L17" s="29" t="s">
        <v>113</v>
      </c>
      <c r="M17" s="29"/>
      <c r="N17" s="29"/>
      <c r="O17" s="29" t="s">
        <v>153</v>
      </c>
    </row>
    <row r="18" spans="1:15" x14ac:dyDescent="0.25">
      <c r="A18" s="25"/>
      <c r="B18" s="24" t="s">
        <v>3</v>
      </c>
      <c r="C18" s="24">
        <f>C14+C15+C16+C17</f>
        <v>2867</v>
      </c>
      <c r="D18" s="25" t="s">
        <v>113</v>
      </c>
      <c r="E18" s="25"/>
      <c r="F18" s="25"/>
      <c r="G18" s="25"/>
      <c r="I18" s="29"/>
      <c r="J18" s="28" t="s">
        <v>3</v>
      </c>
      <c r="K18" s="57">
        <f>SUM(K14:K17)</f>
        <v>2867</v>
      </c>
      <c r="L18" s="44" t="s">
        <v>113</v>
      </c>
      <c r="M18" s="29"/>
      <c r="N18" s="29"/>
      <c r="O18" s="29"/>
    </row>
    <row r="19" spans="1:15" x14ac:dyDescent="0.25">
      <c r="A19" s="25"/>
      <c r="B19" s="24"/>
      <c r="C19" s="45"/>
      <c r="D19" s="25"/>
      <c r="E19" s="25"/>
      <c r="F19" s="25"/>
      <c r="G19" s="25"/>
      <c r="I19" s="29"/>
      <c r="J19" s="28"/>
      <c r="K19" s="44"/>
      <c r="L19" s="29"/>
      <c r="M19" s="29"/>
      <c r="N19" s="29"/>
      <c r="O19" s="29"/>
    </row>
    <row r="20" spans="1:15" x14ac:dyDescent="0.25">
      <c r="A20" s="25" t="s">
        <v>114</v>
      </c>
      <c r="B20" s="24"/>
      <c r="C20" s="24"/>
      <c r="D20" s="25"/>
      <c r="E20" s="25"/>
      <c r="F20" s="25"/>
      <c r="G20" s="25"/>
      <c r="I20" s="29" t="s">
        <v>114</v>
      </c>
      <c r="J20" s="28"/>
      <c r="K20" s="28"/>
      <c r="L20" s="29"/>
      <c r="M20" s="29"/>
      <c r="N20" s="29"/>
      <c r="O20" s="29"/>
    </row>
    <row r="21" spans="1:15" x14ac:dyDescent="0.25">
      <c r="A21" s="25" t="str">
        <f>CONCATENATE("Thermal efficiency = 100 x (2544/",C12,")")</f>
        <v>Thermal efficiency = 100 x (2544/7284)</v>
      </c>
      <c r="B21" s="24"/>
      <c r="C21" s="24"/>
      <c r="D21" s="25"/>
      <c r="E21" s="25"/>
      <c r="F21" s="25"/>
      <c r="G21" s="25"/>
      <c r="I21" s="29" t="str">
        <f>CONCATENATE("Thermal efficiency = 100 x (2544/",K12,")")</f>
        <v>Thermal efficiency = 100 x (2544/7284)</v>
      </c>
      <c r="J21" s="57"/>
      <c r="K21" s="57"/>
      <c r="L21" s="56"/>
      <c r="M21" s="29"/>
      <c r="N21" s="29"/>
      <c r="O21" s="29"/>
    </row>
    <row r="22" spans="1:15" x14ac:dyDescent="0.25">
      <c r="A22" s="39" t="s">
        <v>3</v>
      </c>
      <c r="B22" s="46">
        <f>(2544/C12)</f>
        <v>0.34925864909390447</v>
      </c>
      <c r="C22" s="24"/>
      <c r="D22" s="25"/>
      <c r="E22" s="25"/>
      <c r="F22" s="25"/>
      <c r="G22" s="25"/>
      <c r="I22" s="47" t="s">
        <v>3</v>
      </c>
      <c r="J22" s="58">
        <f>(2544/K12)</f>
        <v>0.34925864909390447</v>
      </c>
      <c r="K22" s="28"/>
      <c r="L22" s="29"/>
      <c r="M22" s="29"/>
      <c r="N22" s="29"/>
      <c r="O22" s="29"/>
    </row>
    <row r="23" spans="1:15" x14ac:dyDescent="0.25">
      <c r="A23" s="25" t="str">
        <f>CONCATENATE("Heat rejected per bhp = ",C12," - 2544")</f>
        <v>Heat rejected per bhp = 7284 - 2544</v>
      </c>
      <c r="B23" s="24"/>
      <c r="C23" s="45"/>
      <c r="D23" s="25"/>
      <c r="E23" s="25"/>
      <c r="F23" s="25"/>
      <c r="G23" s="25"/>
      <c r="I23" s="29" t="str">
        <f>CONCATENATE("Heat rejected per bhp = ",K12," - 2544")</f>
        <v>Heat rejected per bhp = 7284 - 2544</v>
      </c>
      <c r="J23" s="28"/>
      <c r="K23" s="59"/>
      <c r="L23" s="29"/>
      <c r="M23" s="29"/>
      <c r="N23" s="29"/>
      <c r="O23" s="29"/>
    </row>
    <row r="24" spans="1:15" x14ac:dyDescent="0.25">
      <c r="A24" s="39" t="s">
        <v>3</v>
      </c>
      <c r="B24" s="39">
        <f>C12-2544</f>
        <v>4740</v>
      </c>
      <c r="C24" s="45" t="s">
        <v>113</v>
      </c>
      <c r="D24" s="25"/>
      <c r="E24" s="25"/>
      <c r="F24" s="25"/>
      <c r="G24" s="25"/>
      <c r="I24" s="47" t="s">
        <v>3</v>
      </c>
      <c r="J24" s="60">
        <f>K12-2544</f>
        <v>4740</v>
      </c>
      <c r="K24" s="44" t="s">
        <v>113</v>
      </c>
      <c r="L24" s="29"/>
      <c r="M24" s="29"/>
      <c r="N24" s="29"/>
      <c r="O24" s="29"/>
    </row>
    <row r="25" spans="1:15" x14ac:dyDescent="0.25">
      <c r="A25" s="25" t="str">
        <f>CONCATENATE("Total heat rejected = ",B24," [Btu/(bhp • hr)] ",C11," bhp")</f>
        <v>Total heat rejected = 4740 [Btu/(bhp • hr)] 1480 bhp</v>
      </c>
      <c r="B25" s="24"/>
      <c r="C25" s="24"/>
      <c r="D25" s="25"/>
      <c r="E25" s="25"/>
      <c r="F25" s="25"/>
      <c r="G25" s="25"/>
      <c r="I25" s="29" t="str">
        <f>CONCATENATE("Total heat rejected = ",J24," [Btu/(bhp • hr)] ",K11," bhp")</f>
        <v>Total heat rejected = 4740 [Btu/(bhp • hr)] 1480 bhp</v>
      </c>
      <c r="J25" s="28"/>
      <c r="K25" s="57"/>
      <c r="L25" s="29"/>
      <c r="M25" s="29"/>
      <c r="N25" s="29"/>
      <c r="O25" s="29"/>
    </row>
    <row r="26" spans="1:15" x14ac:dyDescent="0.25">
      <c r="A26" s="39" t="s">
        <v>3</v>
      </c>
      <c r="B26" s="48">
        <f>(B24*C11/1000000)</f>
        <v>7.0152000000000001</v>
      </c>
      <c r="C26" s="45" t="s">
        <v>115</v>
      </c>
      <c r="D26" s="25"/>
      <c r="E26" s="25"/>
      <c r="F26" s="25"/>
      <c r="G26" s="25"/>
      <c r="I26" s="47" t="s">
        <v>3</v>
      </c>
      <c r="J26" s="61">
        <f>(J24*K11/1000000)</f>
        <v>7.0152000000000001</v>
      </c>
      <c r="K26" s="44" t="s">
        <v>115</v>
      </c>
      <c r="L26" s="29"/>
      <c r="M26" s="29"/>
      <c r="N26" s="29"/>
      <c r="O26" s="29"/>
    </row>
    <row r="27" spans="1:15" x14ac:dyDescent="0.25">
      <c r="A27" s="25" t="str">
        <f>CONCATENATE("Exhaust heat per bhp = ",B24," - ",C18)</f>
        <v>Exhaust heat per bhp = 4740 - 2867</v>
      </c>
      <c r="B27" s="24"/>
      <c r="C27" s="45"/>
      <c r="D27" s="25"/>
      <c r="E27" s="25"/>
      <c r="F27" s="25"/>
      <c r="G27" s="25"/>
      <c r="I27" s="29" t="str">
        <f>CONCATENATE("Exhaust heat per bhp = ",J24," - ",K18)</f>
        <v>Exhaust heat per bhp = 4740 - 2867</v>
      </c>
      <c r="J27" s="28"/>
      <c r="K27" s="59"/>
      <c r="L27" s="29"/>
      <c r="M27" s="29"/>
      <c r="N27" s="29"/>
      <c r="O27" s="29"/>
    </row>
    <row r="28" spans="1:15" x14ac:dyDescent="0.25">
      <c r="A28" s="39" t="s">
        <v>3</v>
      </c>
      <c r="B28" s="39">
        <f>B24-C18</f>
        <v>1873</v>
      </c>
      <c r="C28" s="45" t="s">
        <v>113</v>
      </c>
      <c r="D28" s="25"/>
      <c r="E28" s="25"/>
      <c r="F28" s="25"/>
      <c r="G28" s="25"/>
      <c r="I28" s="47" t="s">
        <v>3</v>
      </c>
      <c r="J28" s="60">
        <f>J24-K18</f>
        <v>1873</v>
      </c>
      <c r="K28" s="44" t="s">
        <v>113</v>
      </c>
      <c r="L28" s="29"/>
      <c r="M28" s="29"/>
      <c r="N28" s="29"/>
      <c r="O28" s="29"/>
    </row>
    <row r="29" spans="1:15" x14ac:dyDescent="0.25">
      <c r="A29" s="25" t="str">
        <f>CONCATENATE("Total exhaust heat = ",B28," [Btu/(bhp • hr)] ",C11," bhp")</f>
        <v>Total exhaust heat = 1873 [Btu/(bhp • hr)] 1480 bhp</v>
      </c>
      <c r="B29" s="24"/>
      <c r="C29" s="24"/>
      <c r="D29" s="25"/>
      <c r="E29" s="25"/>
      <c r="F29" s="25"/>
      <c r="G29" s="25"/>
      <c r="I29" s="29" t="str">
        <f>CONCATENATE("Total exhaust heat = ",J28," [Btu/(bhp • hr)] ",K11," bhp")</f>
        <v>Total exhaust heat = 1873 [Btu/(bhp • hr)] 1480 bhp</v>
      </c>
      <c r="J29" s="28"/>
      <c r="K29" s="28"/>
      <c r="L29" s="29"/>
      <c r="M29" s="29"/>
      <c r="N29" s="29"/>
      <c r="O29" s="29"/>
    </row>
    <row r="30" spans="1:15" x14ac:dyDescent="0.25">
      <c r="A30" s="39" t="s">
        <v>3</v>
      </c>
      <c r="B30" s="49">
        <f>+B28*C11/1000000</f>
        <v>2.7720400000000001</v>
      </c>
      <c r="C30" s="45" t="s">
        <v>115</v>
      </c>
      <c r="D30" s="25"/>
      <c r="E30" s="25"/>
      <c r="F30" s="25"/>
      <c r="G30" s="25"/>
      <c r="I30" s="47" t="s">
        <v>3</v>
      </c>
      <c r="J30" s="62">
        <f>+J28*K11/1000000</f>
        <v>2.7720400000000001</v>
      </c>
      <c r="K30" s="44" t="s">
        <v>115</v>
      </c>
      <c r="L30" s="29"/>
      <c r="M30" s="29"/>
      <c r="N30" s="29"/>
      <c r="O30" s="29"/>
    </row>
    <row r="31" spans="1:15" x14ac:dyDescent="0.25">
      <c r="A31" s="25"/>
      <c r="B31" s="24"/>
      <c r="C31" s="45"/>
      <c r="D31" s="25"/>
      <c r="E31" s="25"/>
      <c r="F31" s="25"/>
      <c r="G31" s="25"/>
      <c r="I31" s="29"/>
      <c r="J31" s="50"/>
      <c r="K31" s="44"/>
      <c r="L31" s="29"/>
      <c r="M31" s="29"/>
      <c r="N31" s="29"/>
      <c r="O31" s="29"/>
    </row>
    <row r="34" spans="1:10" x14ac:dyDescent="0.25">
      <c r="A34" s="51" t="s">
        <v>220</v>
      </c>
    </row>
    <row r="35" spans="1:10" x14ac:dyDescent="0.25">
      <c r="A35" s="51" t="s">
        <v>221</v>
      </c>
    </row>
    <row r="36" spans="1:10" x14ac:dyDescent="0.25">
      <c r="A36" s="51" t="s">
        <v>222</v>
      </c>
    </row>
    <row r="37" spans="1:10" x14ac:dyDescent="0.25">
      <c r="A37" s="51" t="s">
        <v>223</v>
      </c>
    </row>
    <row r="38" spans="1:10" x14ac:dyDescent="0.25">
      <c r="A38" s="51" t="s">
        <v>224</v>
      </c>
    </row>
    <row r="47" spans="1:10" x14ac:dyDescent="0.25">
      <c r="J47" s="53"/>
    </row>
    <row r="49" spans="2:10" x14ac:dyDescent="0.25">
      <c r="B49" s="54"/>
      <c r="J49" s="54"/>
    </row>
    <row r="55" spans="2:10" x14ac:dyDescent="0.25">
      <c r="J55" s="55"/>
    </row>
  </sheetData>
  <sheetProtection password="F030" sheet="1" objects="1" scenarios="1"/>
  <customSheetViews>
    <customSheetView guid="{4F8C502A-1B49-4129-81FD-D7C5FEE19727}">
      <selection activeCell="K34" sqref="K34"/>
      <pageMargins left="0.75" right="0.75" top="1" bottom="1" header="0.5" footer="0.5"/>
      <pageSetup orientation="portrait" r:id="rId1"/>
      <headerFooter alignWithMargins="0"/>
    </customSheetView>
  </customSheetViews>
  <mergeCells count="10">
    <mergeCell ref="A16:B16"/>
    <mergeCell ref="I16:J16"/>
    <mergeCell ref="A3:G3"/>
    <mergeCell ref="C7:D7"/>
    <mergeCell ref="C8:D8"/>
    <mergeCell ref="I3:O3"/>
    <mergeCell ref="K7:L7"/>
    <mergeCell ref="K8:L8"/>
    <mergeCell ref="B4:D4"/>
    <mergeCell ref="J4:L4"/>
  </mergeCells>
  <phoneticPr fontId="3" type="noConversion"/>
  <pageMargins left="0.75" right="0.75" top="1" bottom="1" header="0.5" footer="0.5"/>
  <pageSetup paperSize="17" fitToHeight="0"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6"/>
  <sheetViews>
    <sheetView workbookViewId="0">
      <selection activeCell="A10" sqref="A10"/>
    </sheetView>
  </sheetViews>
  <sheetFormatPr defaultRowHeight="12.75" x14ac:dyDescent="0.2"/>
  <cols>
    <col min="2" max="2" width="20.42578125" bestFit="1" customWidth="1"/>
    <col min="3" max="3" width="14.5703125" bestFit="1" customWidth="1"/>
  </cols>
  <sheetData>
    <row r="2" spans="1:3" x14ac:dyDescent="0.2">
      <c r="A2" s="18" t="s">
        <v>211</v>
      </c>
    </row>
    <row r="3" spans="1:3" x14ac:dyDescent="0.2">
      <c r="B3" s="18" t="s">
        <v>212</v>
      </c>
      <c r="C3" s="18" t="s">
        <v>213</v>
      </c>
    </row>
    <row r="4" spans="1:3" x14ac:dyDescent="0.2">
      <c r="B4" s="18" t="s">
        <v>219</v>
      </c>
      <c r="C4" s="18" t="s">
        <v>214</v>
      </c>
    </row>
    <row r="5" spans="1:3" x14ac:dyDescent="0.2">
      <c r="B5" s="18" t="s">
        <v>215</v>
      </c>
      <c r="C5" s="18" t="s">
        <v>216</v>
      </c>
    </row>
    <row r="6" spans="1:3" x14ac:dyDescent="0.2">
      <c r="B6" s="18" t="s">
        <v>217</v>
      </c>
      <c r="C6" s="18"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Fig 15-1 - Nomenclature</vt:lpstr>
      <vt:lpstr>Example 15-1</vt:lpstr>
      <vt:lpstr>Example 15-2</vt:lpstr>
      <vt:lpstr>Example 15-3</vt:lpstr>
      <vt:lpstr>Example 15-4</vt:lpstr>
      <vt:lpstr>Limits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2012-07-16T17:29:10Z</cp:lastPrinted>
  <dcterms:created xsi:type="dcterms:W3CDTF">2008-08-21T19:06:00Z</dcterms:created>
  <dcterms:modified xsi:type="dcterms:W3CDTF">2014-10-01T14:23:24Z</dcterms:modified>
</cp:coreProperties>
</file>