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9035" windowHeight="11760" activeTab="2"/>
  </bookViews>
  <sheets>
    <sheet name="Nomenclature" sheetId="4" r:id="rId1"/>
    <sheet name="Example 19-1" sheetId="1" r:id="rId2"/>
    <sheet name="Example 19-2" sheetId="2" r:id="rId3"/>
    <sheet name="Example 19-3" sheetId="3" r:id="rId4"/>
    <sheet name="Example 19-4" sheetId="5" r:id="rId5"/>
    <sheet name="Example 19-5" sheetId="6" r:id="rId6"/>
    <sheet name="Example 19-6" sheetId="9" r:id="rId7"/>
    <sheet name="Example 19-7" sheetId="10" r:id="rId8"/>
    <sheet name="Example 19-8" sheetId="7" r:id="rId9"/>
    <sheet name="LIMITS" sheetId="11" r:id="rId10"/>
  </sheets>
  <calcPr calcId="145621"/>
</workbook>
</file>

<file path=xl/calcChain.xml><?xml version="1.0" encoding="utf-8"?>
<calcChain xmlns="http://schemas.openxmlformats.org/spreadsheetml/2006/main">
  <c r="N94" i="2" l="1"/>
  <c r="S7" i="7" l="1"/>
  <c r="S19" i="7" s="1"/>
  <c r="S20" i="7" s="1"/>
  <c r="S18" i="7" s="1"/>
  <c r="S13" i="7"/>
  <c r="T19" i="7" s="1"/>
  <c r="O42" i="2"/>
  <c r="U53" i="7"/>
  <c r="W34" i="7"/>
  <c r="U76" i="10"/>
  <c r="U77" i="10"/>
  <c r="U78" i="10"/>
  <c r="U79" i="10"/>
  <c r="U80" i="10"/>
  <c r="U75" i="10"/>
  <c r="S76" i="10"/>
  <c r="S77" i="10"/>
  <c r="S78" i="10"/>
  <c r="S79" i="10"/>
  <c r="S80" i="10"/>
  <c r="S75" i="10"/>
  <c r="R76" i="10"/>
  <c r="R77" i="10"/>
  <c r="R78" i="10"/>
  <c r="R79" i="10"/>
  <c r="R80" i="10"/>
  <c r="R75" i="10"/>
  <c r="Q133" i="9"/>
  <c r="O133" i="9"/>
  <c r="P135" i="9"/>
  <c r="O139" i="9" s="1"/>
  <c r="O117" i="9"/>
  <c r="T135" i="9"/>
  <c r="R135" i="9"/>
  <c r="R99" i="9"/>
  <c r="S107" i="9"/>
  <c r="P61" i="9"/>
  <c r="C23" i="9"/>
  <c r="C38" i="9" s="1"/>
  <c r="P103" i="9"/>
  <c r="O107" i="9" s="1"/>
  <c r="O93" i="9"/>
  <c r="Q87" i="9"/>
  <c r="Q76" i="9"/>
  <c r="P57" i="9"/>
  <c r="P67" i="9"/>
  <c r="P53" i="9"/>
  <c r="P71" i="9" s="1"/>
  <c r="Q117" i="9"/>
  <c r="T61" i="9"/>
  <c r="T57" i="9"/>
  <c r="T53" i="9"/>
  <c r="T119" i="9"/>
  <c r="R61" i="9"/>
  <c r="R57" i="9"/>
  <c r="R53" i="9"/>
  <c r="R71" i="9" s="1"/>
  <c r="R119" i="9"/>
  <c r="Q69" i="9"/>
  <c r="O69" i="9"/>
  <c r="Q65" i="9"/>
  <c r="O65" i="9"/>
  <c r="P55" i="9"/>
  <c r="P51" i="9"/>
  <c r="P23" i="9"/>
  <c r="P36" i="9" s="1"/>
  <c r="P32" i="9"/>
  <c r="R29" i="9"/>
  <c r="P29" i="9"/>
  <c r="R22" i="9"/>
  <c r="P22" i="9"/>
  <c r="P41" i="6"/>
  <c r="R46" i="6" s="1"/>
  <c r="P29" i="6"/>
  <c r="P46" i="6" s="1"/>
  <c r="R27" i="6"/>
  <c r="P27" i="6"/>
  <c r="P23" i="6"/>
  <c r="O33" i="5"/>
  <c r="Q31" i="5"/>
  <c r="O31" i="5"/>
  <c r="Q18" i="5"/>
  <c r="O18" i="5"/>
  <c r="Q7" i="5"/>
  <c r="O7" i="5"/>
  <c r="M64" i="3"/>
  <c r="M63" i="3"/>
  <c r="N43" i="3"/>
  <c r="M57" i="3"/>
  <c r="M50" i="3"/>
  <c r="C30" i="2"/>
  <c r="O30" i="2"/>
  <c r="Q51" i="2"/>
  <c r="O51" i="2"/>
  <c r="O52" i="2"/>
  <c r="O53" i="2"/>
  <c r="O54" i="2"/>
  <c r="S54" i="2" s="1"/>
  <c r="O55" i="2"/>
  <c r="O56" i="2"/>
  <c r="S56" i="2" s="1"/>
  <c r="O50" i="2"/>
  <c r="O160" i="2"/>
  <c r="N119" i="2"/>
  <c r="N117" i="2"/>
  <c r="N123" i="2"/>
  <c r="N124" i="2" s="1"/>
  <c r="O34" i="2"/>
  <c r="Q50" i="2" s="1"/>
  <c r="C34" i="2"/>
  <c r="E51" i="2"/>
  <c r="G51" i="2" s="1"/>
  <c r="G53" i="2"/>
  <c r="G54" i="2"/>
  <c r="G55" i="2"/>
  <c r="G56" i="2"/>
  <c r="Q93" i="2"/>
  <c r="O93" i="2"/>
  <c r="N77" i="2"/>
  <c r="Q76" i="2"/>
  <c r="O76" i="2"/>
  <c r="S38" i="2"/>
  <c r="O38" i="2"/>
  <c r="O28" i="2"/>
  <c r="Q28" i="2"/>
  <c r="K63" i="1"/>
  <c r="K64" i="1"/>
  <c r="K65" i="1"/>
  <c r="K66" i="1"/>
  <c r="K62" i="1"/>
  <c r="L53" i="1"/>
  <c r="P35" i="1"/>
  <c r="K18" i="1"/>
  <c r="L22" i="1"/>
  <c r="L47" i="1"/>
  <c r="L16" i="1"/>
  <c r="N16" i="1"/>
  <c r="O143" i="2"/>
  <c r="P143" i="2"/>
  <c r="P16" i="2"/>
  <c r="O10" i="2" s="1"/>
  <c r="N141" i="2" s="1"/>
  <c r="O140" i="2"/>
  <c r="P140" i="2"/>
  <c r="O141" i="2"/>
  <c r="P141" i="2"/>
  <c r="O142" i="2"/>
  <c r="P142" i="2"/>
  <c r="O144" i="2"/>
  <c r="P144" i="2"/>
  <c r="O145" i="2"/>
  <c r="P145" i="2"/>
  <c r="P146" i="2"/>
  <c r="Q146" i="2" s="1"/>
  <c r="E130" i="2"/>
  <c r="E131" i="2"/>
  <c r="E132" i="2"/>
  <c r="B131" i="2"/>
  <c r="B132" i="2"/>
  <c r="E133" i="2"/>
  <c r="B133" i="2"/>
  <c r="G133" i="2" s="1"/>
  <c r="E134" i="2"/>
  <c r="B134" i="2"/>
  <c r="E135" i="2"/>
  <c r="B135" i="2"/>
  <c r="G135" i="2" s="1"/>
  <c r="E136" i="2"/>
  <c r="B136" i="2"/>
  <c r="B130" i="2"/>
  <c r="C9" i="7"/>
  <c r="C19" i="7" s="1"/>
  <c r="C20" i="7" s="1"/>
  <c r="C18" i="7" s="1"/>
  <c r="C13" i="7"/>
  <c r="D19" i="7"/>
  <c r="E19" i="7"/>
  <c r="E20" i="7" s="1"/>
  <c r="E18" i="7" s="1"/>
  <c r="C58" i="7" s="1"/>
  <c r="C44" i="7"/>
  <c r="S47" i="7"/>
  <c r="S48" i="7"/>
  <c r="S49" i="7"/>
  <c r="C45" i="7"/>
  <c r="C46" i="7"/>
  <c r="C50" i="7"/>
  <c r="C30" i="10"/>
  <c r="C38" i="10" s="1"/>
  <c r="R30" i="10"/>
  <c r="R36" i="10" s="1"/>
  <c r="T76" i="10" s="1"/>
  <c r="C37" i="10"/>
  <c r="C55" i="10"/>
  <c r="C65" i="10" s="1"/>
  <c r="R55" i="10"/>
  <c r="R65" i="10" s="1"/>
  <c r="V75" i="10"/>
  <c r="C56" i="10"/>
  <c r="R56" i="10"/>
  <c r="R66" i="10" s="1"/>
  <c r="W76" i="10" s="1"/>
  <c r="C57" i="10"/>
  <c r="R57" i="10"/>
  <c r="V77" i="10" s="1"/>
  <c r="C58" i="10"/>
  <c r="C68" i="10" s="1"/>
  <c r="R58" i="10"/>
  <c r="V78" i="10" s="1"/>
  <c r="C59" i="10"/>
  <c r="C69" i="10" s="1"/>
  <c r="R59" i="10"/>
  <c r="C60" i="10"/>
  <c r="C70" i="10" s="1"/>
  <c r="R60" i="10"/>
  <c r="V80" i="10"/>
  <c r="W75" i="10"/>
  <c r="C66" i="10"/>
  <c r="C67" i="10"/>
  <c r="R67" i="10"/>
  <c r="W77" i="10"/>
  <c r="R68" i="10"/>
  <c r="W78" i="10"/>
  <c r="R70" i="10"/>
  <c r="W80" i="10" s="1"/>
  <c r="G75" i="10"/>
  <c r="H75" i="10" s="1"/>
  <c r="G76" i="10"/>
  <c r="H76" i="10" s="1"/>
  <c r="E77" i="10"/>
  <c r="G77" i="10"/>
  <c r="H77" i="10"/>
  <c r="G78" i="10"/>
  <c r="H78" i="10" s="1"/>
  <c r="E79" i="10"/>
  <c r="G79" i="10"/>
  <c r="H79" i="10"/>
  <c r="G80" i="10"/>
  <c r="H80" i="10" s="1"/>
  <c r="C30" i="9"/>
  <c r="C32" i="9"/>
  <c r="P38" i="9"/>
  <c r="C53" i="9"/>
  <c r="E53" i="9"/>
  <c r="G53" i="9"/>
  <c r="C57" i="9"/>
  <c r="E57" i="9"/>
  <c r="G57" i="9"/>
  <c r="C61" i="9"/>
  <c r="E61" i="9"/>
  <c r="E67" i="9" s="1"/>
  <c r="G61" i="9"/>
  <c r="C95" i="9"/>
  <c r="E95" i="9"/>
  <c r="G95" i="9"/>
  <c r="P99" i="9"/>
  <c r="T99" i="9"/>
  <c r="C99" i="9"/>
  <c r="E99" i="9"/>
  <c r="G99" i="9"/>
  <c r="R103" i="9"/>
  <c r="T103" i="9"/>
  <c r="C123" i="9"/>
  <c r="E123" i="9"/>
  <c r="G123" i="9"/>
  <c r="D5" i="6"/>
  <c r="Q5" i="6"/>
  <c r="C25" i="6"/>
  <c r="C32" i="6"/>
  <c r="P25" i="6"/>
  <c r="C29" i="6"/>
  <c r="C41" i="6"/>
  <c r="C46" i="6"/>
  <c r="C50" i="6" s="1"/>
  <c r="C9" i="5"/>
  <c r="O9" i="5"/>
  <c r="C18" i="5"/>
  <c r="O20" i="5"/>
  <c r="C25" i="5"/>
  <c r="D4" i="3"/>
  <c r="O4" i="3"/>
  <c r="N30" i="3" s="1"/>
  <c r="C19" i="3"/>
  <c r="C23" i="3" s="1"/>
  <c r="C24" i="3" s="1"/>
  <c r="E102" i="3" s="1"/>
  <c r="N19" i="3"/>
  <c r="N23" i="3" s="1"/>
  <c r="N24" i="3" s="1"/>
  <c r="P102" i="3" s="1"/>
  <c r="C30" i="3"/>
  <c r="C35" i="3"/>
  <c r="E103" i="3" s="1"/>
  <c r="N35" i="3"/>
  <c r="P103" i="3" s="1"/>
  <c r="C37" i="3"/>
  <c r="E104" i="3" s="1"/>
  <c r="N37" i="3"/>
  <c r="P104" i="3" s="1"/>
  <c r="C43" i="3"/>
  <c r="C52" i="3" s="1"/>
  <c r="C77" i="3" s="1"/>
  <c r="N47" i="3"/>
  <c r="C66" i="3"/>
  <c r="N66" i="3"/>
  <c r="C67" i="3"/>
  <c r="N67" i="3"/>
  <c r="C16" i="2"/>
  <c r="D16" i="2"/>
  <c r="B57" i="2"/>
  <c r="C57" i="2"/>
  <c r="B73" i="2"/>
  <c r="B90" i="2"/>
  <c r="B94" i="2" s="1"/>
  <c r="N98" i="2"/>
  <c r="R111" i="2" s="1"/>
  <c r="C12" i="1"/>
  <c r="L12" i="1"/>
  <c r="B18" i="1"/>
  <c r="B24" i="1"/>
  <c r="B31" i="1"/>
  <c r="C37" i="1" s="1"/>
  <c r="D62" i="1"/>
  <c r="F62" i="1" s="1"/>
  <c r="K31" i="1"/>
  <c r="C38" i="1"/>
  <c r="B67" i="1"/>
  <c r="C63" i="1" s="1"/>
  <c r="D63" i="1"/>
  <c r="F63" i="1" s="1"/>
  <c r="F65" i="1"/>
  <c r="F66" i="1"/>
  <c r="U30" i="7"/>
  <c r="T71" i="9"/>
  <c r="R35" i="10"/>
  <c r="T75" i="10"/>
  <c r="R39" i="10"/>
  <c r="T79" i="10"/>
  <c r="R37" i="10"/>
  <c r="T77" i="10"/>
  <c r="Q38" i="2"/>
  <c r="O50" i="3"/>
  <c r="P119" i="9"/>
  <c r="R40" i="10"/>
  <c r="T80" i="10" s="1"/>
  <c r="R38" i="10"/>
  <c r="T78" i="10" s="1"/>
  <c r="H136" i="2" l="1"/>
  <c r="F133" i="2"/>
  <c r="F132" i="2"/>
  <c r="G136" i="2"/>
  <c r="H132" i="2"/>
  <c r="H131" i="2"/>
  <c r="O14" i="2"/>
  <c r="N145" i="2" s="1"/>
  <c r="O11" i="2"/>
  <c r="N142" i="2" s="1"/>
  <c r="F136" i="2"/>
  <c r="G132" i="2"/>
  <c r="F131" i="2"/>
  <c r="O15" i="2"/>
  <c r="N146" i="2" s="1"/>
  <c r="R146" i="2" s="1"/>
  <c r="O9" i="2"/>
  <c r="N140" i="2" s="1"/>
  <c r="O12" i="2"/>
  <c r="N143" i="2" s="1"/>
  <c r="T143" i="2" s="1"/>
  <c r="O13" i="2"/>
  <c r="N144" i="2" s="1"/>
  <c r="Q143" i="2"/>
  <c r="Q145" i="2"/>
  <c r="Q142" i="2"/>
  <c r="Q141" i="2"/>
  <c r="S141" i="2" s="1"/>
  <c r="T47" i="9"/>
  <c r="T89" i="9" s="1"/>
  <c r="T95" i="9" s="1"/>
  <c r="E47" i="9"/>
  <c r="E87" i="9" s="1"/>
  <c r="E91" i="9" s="1"/>
  <c r="R47" i="9"/>
  <c r="R89" i="9" s="1"/>
  <c r="C47" i="9"/>
  <c r="C87" i="9" s="1"/>
  <c r="G47" i="9"/>
  <c r="G87" i="9" s="1"/>
  <c r="G91" i="9" s="1"/>
  <c r="G103" i="9" s="1"/>
  <c r="G107" i="9" s="1"/>
  <c r="P47" i="9"/>
  <c r="N71" i="3"/>
  <c r="L37" i="1"/>
  <c r="M62" i="1"/>
  <c r="C59" i="3"/>
  <c r="C91" i="3" s="1"/>
  <c r="G67" i="9"/>
  <c r="P30" i="9"/>
  <c r="E80" i="10"/>
  <c r="E76" i="10"/>
  <c r="C40" i="10"/>
  <c r="C36" i="10"/>
  <c r="Q144" i="2"/>
  <c r="Q140" i="2"/>
  <c r="O57" i="2"/>
  <c r="N50" i="2" s="1"/>
  <c r="C39" i="10"/>
  <c r="C35" i="10"/>
  <c r="F130" i="2"/>
  <c r="C72" i="3"/>
  <c r="C87" i="3" s="1"/>
  <c r="C97" i="3" s="1"/>
  <c r="E106" i="3" s="1"/>
  <c r="C39" i="1"/>
  <c r="C43" i="1" s="1"/>
  <c r="C49" i="1" s="1"/>
  <c r="E78" i="10"/>
  <c r="E75" i="10"/>
  <c r="V76" i="10"/>
  <c r="H133" i="2"/>
  <c r="P72" i="9"/>
  <c r="C71" i="3"/>
  <c r="W47" i="7"/>
  <c r="S55" i="7" s="1"/>
  <c r="N22" i="1"/>
  <c r="M63" i="1"/>
  <c r="O40" i="2"/>
  <c r="Q42" i="2" s="1"/>
  <c r="O57" i="3"/>
  <c r="N52" i="3"/>
  <c r="N77" i="3" s="1"/>
  <c r="N59" i="3"/>
  <c r="N72" i="3" s="1"/>
  <c r="P48" i="6"/>
  <c r="P52" i="6" s="1"/>
  <c r="E103" i="9"/>
  <c r="C55" i="1"/>
  <c r="D64" i="1"/>
  <c r="N91" i="3"/>
  <c r="C64" i="1"/>
  <c r="C40" i="2"/>
  <c r="C44" i="2" s="1"/>
  <c r="E52" i="2" s="1"/>
  <c r="E50" i="2"/>
  <c r="D18" i="7"/>
  <c r="G131" i="2"/>
  <c r="W48" i="7"/>
  <c r="S50" i="2"/>
  <c r="T67" i="9"/>
  <c r="T72" i="9" s="1"/>
  <c r="T78" i="9" s="1"/>
  <c r="T82" i="9" s="1"/>
  <c r="C66" i="1"/>
  <c r="E111" i="9"/>
  <c r="E115" i="9" s="1"/>
  <c r="E119" i="9" s="1"/>
  <c r="E127" i="9" s="1"/>
  <c r="E71" i="9"/>
  <c r="E72" i="9" s="1"/>
  <c r="E78" i="9" s="1"/>
  <c r="E82" i="9" s="1"/>
  <c r="O76" i="9"/>
  <c r="P78" i="9"/>
  <c r="P82" i="9" s="1"/>
  <c r="Q127" i="9" s="1"/>
  <c r="C65" i="1"/>
  <c r="C67" i="9"/>
  <c r="C91" i="9"/>
  <c r="H135" i="2"/>
  <c r="F135" i="2"/>
  <c r="O63" i="1"/>
  <c r="V79" i="10"/>
  <c r="R69" i="10"/>
  <c r="W79" i="10" s="1"/>
  <c r="H134" i="2"/>
  <c r="F134" i="2"/>
  <c r="G134" i="2"/>
  <c r="S55" i="2"/>
  <c r="O66" i="1"/>
  <c r="C62" i="1"/>
  <c r="C67" i="1" s="1"/>
  <c r="C80" i="3"/>
  <c r="T109" i="9"/>
  <c r="T113" i="9" s="1"/>
  <c r="T123" i="9" s="1"/>
  <c r="G111" i="9"/>
  <c r="G115" i="9" s="1"/>
  <c r="G71" i="9"/>
  <c r="G72" i="9" s="1"/>
  <c r="G78" i="9" s="1"/>
  <c r="G82" i="9" s="1"/>
  <c r="H130" i="2"/>
  <c r="G130" i="2"/>
  <c r="K67" i="1"/>
  <c r="L63" i="1" s="1"/>
  <c r="O62" i="1"/>
  <c r="S53" i="2"/>
  <c r="C111" i="9"/>
  <c r="C71" i="9"/>
  <c r="O65" i="1"/>
  <c r="S51" i="2"/>
  <c r="R67" i="9"/>
  <c r="R72" i="9" s="1"/>
  <c r="R78" i="9" s="1"/>
  <c r="R82" i="9" s="1"/>
  <c r="U19" i="7"/>
  <c r="L38" i="1"/>
  <c r="L39" i="1" s="1"/>
  <c r="K24" i="1"/>
  <c r="P32" i="6"/>
  <c r="R95" i="9"/>
  <c r="R123" i="9" s="1"/>
  <c r="N86" i="3" l="1"/>
  <c r="S143" i="2"/>
  <c r="R145" i="2"/>
  <c r="R143" i="2"/>
  <c r="N53" i="2"/>
  <c r="N55" i="2"/>
  <c r="N56" i="2"/>
  <c r="S146" i="2"/>
  <c r="N52" i="2"/>
  <c r="N51" i="2"/>
  <c r="T146" i="2"/>
  <c r="R141" i="2"/>
  <c r="T142" i="2"/>
  <c r="F137" i="2"/>
  <c r="N54" i="2"/>
  <c r="N57" i="2" s="1"/>
  <c r="O44" i="2"/>
  <c r="Q52" i="2" s="1"/>
  <c r="Q57" i="2" s="1"/>
  <c r="P52" i="2" s="1"/>
  <c r="P105" i="2" s="1"/>
  <c r="T145" i="2"/>
  <c r="H137" i="2"/>
  <c r="O16" i="2"/>
  <c r="T141" i="2"/>
  <c r="S142" i="2"/>
  <c r="R142" i="2"/>
  <c r="S145" i="2"/>
  <c r="U20" i="7"/>
  <c r="U18" i="7" s="1"/>
  <c r="T18" i="7" s="1"/>
  <c r="W49" i="7"/>
  <c r="S53" i="7" s="1"/>
  <c r="T129" i="9"/>
  <c r="T141" i="9" s="1"/>
  <c r="C115" i="9"/>
  <c r="C79" i="3"/>
  <c r="C86" i="3"/>
  <c r="C96" i="3" s="1"/>
  <c r="E105" i="3" s="1"/>
  <c r="T140" i="2"/>
  <c r="S140" i="2"/>
  <c r="R140" i="2"/>
  <c r="N79" i="3"/>
  <c r="T144" i="2"/>
  <c r="R144" i="2"/>
  <c r="S144" i="2"/>
  <c r="O87" i="9"/>
  <c r="P89" i="9"/>
  <c r="M41" i="1"/>
  <c r="L43" i="1"/>
  <c r="L62" i="1"/>
  <c r="W24" i="7"/>
  <c r="L65" i="1"/>
  <c r="G137" i="2"/>
  <c r="C72" i="9"/>
  <c r="C78" i="9" s="1"/>
  <c r="C82" i="9" s="1"/>
  <c r="R129" i="9"/>
  <c r="R141" i="9" s="1"/>
  <c r="E57" i="2"/>
  <c r="G50" i="2"/>
  <c r="L66" i="1"/>
  <c r="F64" i="1"/>
  <c r="C119" i="9"/>
  <c r="C127" i="9" s="1"/>
  <c r="G52" i="2"/>
  <c r="C103" i="9"/>
  <c r="L64" i="1"/>
  <c r="S67" i="7"/>
  <c r="D67" i="1"/>
  <c r="E64" i="1" s="1"/>
  <c r="N96" i="3"/>
  <c r="P105" i="3" s="1"/>
  <c r="C25" i="7"/>
  <c r="D20" i="7"/>
  <c r="C31" i="7" s="1"/>
  <c r="C35" i="7" s="1"/>
  <c r="C54" i="7"/>
  <c r="C62" i="7" s="1"/>
  <c r="N87" i="3"/>
  <c r="N97" i="3" s="1"/>
  <c r="P106" i="3" s="1"/>
  <c r="N80" i="3"/>
  <c r="R109" i="9"/>
  <c r="G119" i="9"/>
  <c r="G127" i="9" s="1"/>
  <c r="S52" i="2" l="1"/>
  <c r="S57" i="2" s="1"/>
  <c r="R55" i="2" s="1"/>
  <c r="S147" i="2"/>
  <c r="T147" i="2"/>
  <c r="R147" i="2"/>
  <c r="P95" i="9"/>
  <c r="Q93" i="9"/>
  <c r="S63" i="7"/>
  <c r="W67" i="7" s="1"/>
  <c r="D54" i="2"/>
  <c r="D55" i="2"/>
  <c r="D56" i="2"/>
  <c r="D53" i="2"/>
  <c r="D51" i="2"/>
  <c r="S59" i="7"/>
  <c r="T20" i="7"/>
  <c r="S25" i="7"/>
  <c r="U24" i="7"/>
  <c r="V75" i="7"/>
  <c r="R53" i="2"/>
  <c r="L67" i="1"/>
  <c r="E65" i="1"/>
  <c r="E66" i="1"/>
  <c r="E63" i="1"/>
  <c r="E62" i="1"/>
  <c r="F67" i="1"/>
  <c r="T75" i="7"/>
  <c r="D67" i="7"/>
  <c r="D68" i="7"/>
  <c r="T76" i="7"/>
  <c r="T74" i="7"/>
  <c r="D69" i="7"/>
  <c r="T77" i="7"/>
  <c r="T78" i="7"/>
  <c r="N47" i="1"/>
  <c r="L49" i="1"/>
  <c r="P56" i="2"/>
  <c r="P54" i="2"/>
  <c r="P55" i="2"/>
  <c r="P53" i="2"/>
  <c r="P50" i="2"/>
  <c r="P51" i="2"/>
  <c r="D50" i="2"/>
  <c r="D52" i="2"/>
  <c r="R50" i="2"/>
  <c r="G57" i="2"/>
  <c r="F52" i="2" s="1"/>
  <c r="R51" i="2" l="1"/>
  <c r="N105" i="2" s="1"/>
  <c r="R52" i="2"/>
  <c r="P104" i="2" s="1"/>
  <c r="N128" i="2"/>
  <c r="R56" i="2"/>
  <c r="O151" i="2"/>
  <c r="N156" i="2" s="1"/>
  <c r="R54" i="2"/>
  <c r="E67" i="1"/>
  <c r="B142" i="2"/>
  <c r="P109" i="9"/>
  <c r="Q107" i="9"/>
  <c r="P123" i="9"/>
  <c r="G65" i="1"/>
  <c r="G66" i="1"/>
  <c r="G62" i="1"/>
  <c r="G63" i="1"/>
  <c r="F50" i="2"/>
  <c r="P57" i="2"/>
  <c r="G64" i="1"/>
  <c r="S32" i="7"/>
  <c r="W30" i="7"/>
  <c r="N104" i="2"/>
  <c r="U67" i="7"/>
  <c r="S69" i="7"/>
  <c r="N53" i="1"/>
  <c r="L55" i="1"/>
  <c r="M64" i="1"/>
  <c r="M67" i="1" s="1"/>
  <c r="F55" i="2"/>
  <c r="F53" i="2"/>
  <c r="F56" i="2"/>
  <c r="F51" i="2"/>
  <c r="B100" i="2" s="1"/>
  <c r="B106" i="2" s="1"/>
  <c r="B156" i="2" s="1"/>
  <c r="F54" i="2"/>
  <c r="B121" i="2"/>
  <c r="D57" i="2"/>
  <c r="R57" i="2" l="1"/>
  <c r="G67" i="1"/>
  <c r="P129" i="9"/>
  <c r="O127" i="9"/>
  <c r="P164" i="2"/>
  <c r="O161" i="2"/>
  <c r="P163" i="2" s="1"/>
  <c r="Q160" i="2"/>
  <c r="F57" i="2"/>
  <c r="D150" i="2"/>
  <c r="C147" i="2"/>
  <c r="D149" i="2" s="1"/>
  <c r="O64" i="1"/>
  <c r="N64" i="1"/>
  <c r="P111" i="2"/>
  <c r="N113" i="2"/>
  <c r="S36" i="7"/>
  <c r="U34" i="7"/>
  <c r="Q139" i="9" l="1"/>
  <c r="P141" i="9"/>
  <c r="N65" i="1"/>
  <c r="N66" i="1"/>
  <c r="N62" i="1"/>
  <c r="N63" i="1"/>
  <c r="O67" i="1"/>
  <c r="N170" i="2"/>
  <c r="N129" i="2"/>
  <c r="N67" i="1" l="1"/>
  <c r="P62" i="1"/>
  <c r="P63" i="1"/>
  <c r="P65" i="1"/>
  <c r="P66" i="1"/>
  <c r="P64" i="1"/>
  <c r="P67" i="1" l="1"/>
</calcChain>
</file>

<file path=xl/sharedStrings.xml><?xml version="1.0" encoding="utf-8"?>
<sst xmlns="http://schemas.openxmlformats.org/spreadsheetml/2006/main" count="1567" uniqueCount="723">
  <si>
    <t>Using the surface tension and tray spacing entered above, use Figure 19.13 and input C.</t>
  </si>
  <si>
    <t>ft/h</t>
  </si>
  <si>
    <r>
      <t>v</t>
    </r>
    <r>
      <rPr>
        <vertAlign val="subscript"/>
        <sz val="11"/>
        <rFont val="Times New Roman"/>
        <family val="1"/>
      </rPr>
      <t>max</t>
    </r>
  </si>
  <si>
    <t>Using Vload (above) and a liquid rate of 1190 gpm, read Figure 19.14 and input the tower diameter below</t>
  </si>
  <si>
    <r>
      <t>ρ</t>
    </r>
    <r>
      <rPr>
        <vertAlign val="subscript"/>
        <sz val="11"/>
        <rFont val="Times New Roman"/>
        <family val="1"/>
      </rPr>
      <t>V</t>
    </r>
    <r>
      <rPr>
        <sz val="11"/>
        <rFont val="Times New Roman"/>
        <family val="1"/>
      </rPr>
      <t>-</t>
    </r>
    <r>
      <rPr>
        <sz val="11"/>
        <rFont val="Arial"/>
        <family val="2"/>
      </rPr>
      <t>ρ</t>
    </r>
    <r>
      <rPr>
        <vertAlign val="subscript"/>
        <sz val="11"/>
        <rFont val="Times New Roman"/>
        <family val="1"/>
      </rPr>
      <t>L</t>
    </r>
  </si>
  <si>
    <r>
      <t>CAF</t>
    </r>
    <r>
      <rPr>
        <vertAlign val="subscript"/>
        <sz val="11"/>
        <rFont val="Times New Roman"/>
        <family val="1"/>
      </rPr>
      <t>0</t>
    </r>
  </si>
  <si>
    <t>For the given feed stream, estimate the product stream compositions for 98% propane recovery in the overhead and with a maximum iso-butane content of 1%.</t>
  </si>
  <si>
    <t>C2</t>
  </si>
  <si>
    <t>C3</t>
  </si>
  <si>
    <t>Component</t>
  </si>
  <si>
    <t>Moles</t>
  </si>
  <si>
    <t>Feed</t>
  </si>
  <si>
    <t>moles</t>
  </si>
  <si>
    <t>To find the propane in the overhead with 98% recovery:</t>
  </si>
  <si>
    <t>C3 in overhead = .98 * 162.8</t>
  </si>
  <si>
    <t>C3 in bottoms = C3,feed - C3 overhead</t>
  </si>
  <si>
    <t>By steady state material balance, the moles of propane in the bottoms:</t>
  </si>
  <si>
    <t>C2 in overhead= C2 in feed</t>
  </si>
  <si>
    <t>To find the amount of iso-butane in the overhead with maximum 1%:</t>
  </si>
  <si>
    <t>The remainder of the materials in the overhead will be 99% of the total.</t>
  </si>
  <si>
    <t>Total moles in overhead = 161.9 moles / .99</t>
  </si>
  <si>
    <t>Therefore, the number of moles of iso-butane can be found by:</t>
  </si>
  <si>
    <t>iC4 in overhead= .01 * total moles in overhead</t>
  </si>
  <si>
    <t>The rest of the iso-butane will be in the bottoms.</t>
  </si>
  <si>
    <t>iC4 in bottoms = iC4, feed - iC4, overhead</t>
  </si>
  <si>
    <t>The remainder of the components (nC4, C5) will all be in the bottoms. A material balance table is shown below.</t>
  </si>
  <si>
    <t>Overhead</t>
  </si>
  <si>
    <t>Bottoms</t>
  </si>
  <si>
    <t>mole %</t>
  </si>
  <si>
    <t>total</t>
  </si>
  <si>
    <t>Find the minimum number of trays, the minimum reflux ratio, and the actual number of trays at 1.3 times the minimum reflux ratio given the following:</t>
  </si>
  <si>
    <t>gal/day</t>
  </si>
  <si>
    <t>component</t>
  </si>
  <si>
    <t>moles/h</t>
  </si>
  <si>
    <t>mol %</t>
  </si>
  <si>
    <t>Specifications:</t>
  </si>
  <si>
    <t>Air cooling available (120 F condensing temperature)</t>
  </si>
  <si>
    <t>Solution</t>
  </si>
  <si>
    <t>First, the product streams will be estimated using the given specifications similar to Example 19.1</t>
  </si>
  <si>
    <t>The light key, C3, and the heavy key, iC4, will be used to determine the compositions.</t>
  </si>
  <si>
    <t>The moles in the overhead can be found by the following (see Ex 19-1).</t>
  </si>
  <si>
    <t>mol/h</t>
  </si>
  <si>
    <t>The bottoms stream can be found by steady state material balance. A material balance table is shown below.</t>
  </si>
  <si>
    <t xml:space="preserve">Component </t>
  </si>
  <si>
    <t>K- Value</t>
  </si>
  <si>
    <t>α =</t>
  </si>
  <si>
    <t>To find the bubble point temperature of the bottoms, K values from the bubble point pressure are used (280 psia). This assumes negligible pressure drop across the column.</t>
  </si>
  <si>
    <t>The pressure of the tower needs to be found. This is set by the cooling medium used. For air, the temperature is 120 F.</t>
  </si>
  <si>
    <t>K-Value</t>
  </si>
  <si>
    <t xml:space="preserve">The K Values below are obtained from section 25. </t>
  </si>
  <si>
    <t>A bubble point calculation can be performed, and it is found that the pressure is 280 psia.</t>
  </si>
  <si>
    <t>The relative volatility can be found.</t>
  </si>
  <si>
    <t>The arithmetic average of the relative volatilities is as follows.</t>
  </si>
  <si>
    <t>From this and the average relative volatility, the minimum number of stages can be found using Equation 19-3</t>
  </si>
  <si>
    <t>Sm</t>
  </si>
  <si>
    <t xml:space="preserve">trays </t>
  </si>
  <si>
    <t xml:space="preserve">Check whether a relative volatility correction is needed. </t>
  </si>
  <si>
    <t>b</t>
  </si>
  <si>
    <t>β</t>
  </si>
  <si>
    <t>These two systems of equations can be solved for b and β.</t>
  </si>
  <si>
    <t>(condenser)</t>
  </si>
  <si>
    <t>(reboiler)</t>
  </si>
  <si>
    <t>Now, Equation 19-6 can be used to calculate the minimum number of stages.</t>
  </si>
  <si>
    <t>trays</t>
  </si>
  <si>
    <t>Taking the relative volatility correction into account changed the minimum number of trays by a negligible amount.</t>
  </si>
  <si>
    <t xml:space="preserve">To find the minimum reflux, Equations 19-7 and 19-8 can be used. </t>
  </si>
  <si>
    <t>Ktop</t>
  </si>
  <si>
    <t>Kbottom</t>
  </si>
  <si>
    <t>α average, relative to C6</t>
  </si>
  <si>
    <t>Rm</t>
  </si>
  <si>
    <t>R</t>
  </si>
  <si>
    <t>Using Figure 19.7 and the above values:</t>
  </si>
  <si>
    <t>S</t>
  </si>
  <si>
    <t xml:space="preserve"> trays</t>
  </si>
  <si>
    <t>Rounding up, this is 21 trays.</t>
  </si>
  <si>
    <t>Find the diameter of a depropanizer given the following:</t>
  </si>
  <si>
    <t>Vapor rate</t>
  </si>
  <si>
    <t>Vapor density</t>
  </si>
  <si>
    <t>Liquid rate</t>
  </si>
  <si>
    <t>gpm</t>
  </si>
  <si>
    <t>Liquid density</t>
  </si>
  <si>
    <t>Liquid surface tension</t>
  </si>
  <si>
    <t>dyne/cm</t>
  </si>
  <si>
    <t>tray spacing</t>
  </si>
  <si>
    <t>inches</t>
  </si>
  <si>
    <t>There are three methods of finding tower diameter. All three will be explored.</t>
  </si>
  <si>
    <t>C Factor Method</t>
  </si>
  <si>
    <t>From Figure 19.13, C was found to be approximately 425 ft/h.</t>
  </si>
  <si>
    <t>ft/hr</t>
  </si>
  <si>
    <t>This can be used in Equation 19.12 to find D.</t>
  </si>
  <si>
    <t>D</t>
  </si>
  <si>
    <t>feet</t>
  </si>
  <si>
    <t>Nomograph Method</t>
  </si>
  <si>
    <t>Using Vload and the liquid rate of 1190 gpm on Figure 19.14, tower diameters were read for one and two pass trays.</t>
  </si>
  <si>
    <t xml:space="preserve">One pass tray </t>
  </si>
  <si>
    <t>Two pass tray</t>
  </si>
  <si>
    <t>ft</t>
  </si>
  <si>
    <t>in</t>
  </si>
  <si>
    <t>Detailed Method</t>
  </si>
  <si>
    <t>B</t>
  </si>
  <si>
    <t>From the equation in the bottom of Figure 19.15, the system factor for the tower was found.</t>
  </si>
  <si>
    <t>System factor</t>
  </si>
  <si>
    <t>Using Figure 19.16 and the given specifications, VD*dsg was found.</t>
  </si>
  <si>
    <t>VDdsg = VD*dsg * System factor</t>
  </si>
  <si>
    <t>CAF</t>
  </si>
  <si>
    <t>ft/s</t>
  </si>
  <si>
    <t>FPL</t>
  </si>
  <si>
    <t>one pass tray</t>
  </si>
  <si>
    <t>two pass tray</t>
  </si>
  <si>
    <t>Using Equation 19.17, the active area can be found.</t>
  </si>
  <si>
    <t>AAM</t>
  </si>
  <si>
    <t>The area of the downcomer can be found using Equation 19.18. If it is less than 11% of AAM, use either 11% of AAM or double ADM, whichever is smaller.</t>
  </si>
  <si>
    <t>ADM</t>
  </si>
  <si>
    <t>ADM / AAM</t>
  </si>
  <si>
    <t>one pass</t>
  </si>
  <si>
    <t>two pass</t>
  </si>
  <si>
    <t>In both cases, the downcomer areas are sufficiently large.</t>
  </si>
  <si>
    <t>ATM</t>
  </si>
  <si>
    <t>Another method to find the cross sectional area of the tower is Equation 19.20.</t>
  </si>
  <si>
    <t>The larger of the two ATM values is used. In this case, it will be the ones calculated from Equation 19.19.</t>
  </si>
  <si>
    <t>Now the cross sectional area of the tower can be found using Equation 19.19</t>
  </si>
  <si>
    <t>The diameter of the column can be calculated by Equation 19.21.</t>
  </si>
  <si>
    <t>A comparison of the different calculated diameters follows.</t>
  </si>
  <si>
    <t>Method</t>
  </si>
  <si>
    <t>Estimated Diameter (in)</t>
  </si>
  <si>
    <t>C Factor</t>
  </si>
  <si>
    <t>Number of Passes</t>
  </si>
  <si>
    <t>-</t>
  </si>
  <si>
    <t xml:space="preserve">Nomograph </t>
  </si>
  <si>
    <t xml:space="preserve">Detailed </t>
  </si>
  <si>
    <t>Detailed</t>
  </si>
  <si>
    <t>A</t>
  </si>
  <si>
    <t>absorption factor for Eq. 19.28</t>
  </si>
  <si>
    <t>C</t>
  </si>
  <si>
    <t>CFS</t>
  </si>
  <si>
    <t>exponent used in Eqs. 19.5 and 19.6</t>
  </si>
  <si>
    <t>bottoms product flowrate, mol/time</t>
  </si>
  <si>
    <t>coefficient for Eq. 19.11, ft/h</t>
  </si>
  <si>
    <t>vapor capacity factor, uncorrected, ft/s</t>
  </si>
  <si>
    <t>vapor capacity factor, corrected, ft/s</t>
  </si>
  <si>
    <t>D'</t>
  </si>
  <si>
    <t>f</t>
  </si>
  <si>
    <t>F</t>
  </si>
  <si>
    <t>diameter, ft</t>
  </si>
  <si>
    <t>distillate product flowrate, mol/time</t>
  </si>
  <si>
    <t>tower diameter, ft</t>
  </si>
  <si>
    <t>stripping efficiency, Eq. 19.32</t>
  </si>
  <si>
    <t>absorption efficiency, Eq. 19.30</t>
  </si>
  <si>
    <t>feed rate, mol/time</t>
  </si>
  <si>
    <t>packing factor</t>
  </si>
  <si>
    <t>FF</t>
  </si>
  <si>
    <t>FFL</t>
  </si>
  <si>
    <t>GPM</t>
  </si>
  <si>
    <t>H</t>
  </si>
  <si>
    <t>HETP</t>
  </si>
  <si>
    <t>HTU</t>
  </si>
  <si>
    <t>K</t>
  </si>
  <si>
    <t>floodig factor for Eq. 19.17, usually 0.82</t>
  </si>
  <si>
    <t>flow path length, ft</t>
  </si>
  <si>
    <t>tower liquid loading, gal/min</t>
  </si>
  <si>
    <t>enthalpy, Btu/lb</t>
  </si>
  <si>
    <t>height of packing equivalent to a theoretical plate</t>
  </si>
  <si>
    <t>height of a transfer unit</t>
  </si>
  <si>
    <t>equilibrium K value, y/x</t>
  </si>
  <si>
    <t>L</t>
  </si>
  <si>
    <t>m</t>
  </si>
  <si>
    <t>M</t>
  </si>
  <si>
    <t>n</t>
  </si>
  <si>
    <t>liquid reflux rate, mol/time</t>
  </si>
  <si>
    <t>liquid rate, mol/time</t>
  </si>
  <si>
    <t>tube length, ft</t>
  </si>
  <si>
    <t>rich oil entering stripper, mol/time</t>
  </si>
  <si>
    <t>number of stripping stages</t>
  </si>
  <si>
    <t>mass flowrate, lb/h</t>
  </si>
  <si>
    <t>numbe of absorber stages</t>
  </si>
  <si>
    <t>minimum number of theoretical stages</t>
  </si>
  <si>
    <t>NP</t>
  </si>
  <si>
    <t>N</t>
  </si>
  <si>
    <t>Q</t>
  </si>
  <si>
    <t>Re</t>
  </si>
  <si>
    <t>s</t>
  </si>
  <si>
    <t>TS</t>
  </si>
  <si>
    <t>ΔP</t>
  </si>
  <si>
    <t>q</t>
  </si>
  <si>
    <t>number of passes in a tray</t>
  </si>
  <si>
    <t>number of tubes</t>
  </si>
  <si>
    <t>pressure drop, psi</t>
  </si>
  <si>
    <t>moles of saturated liquid in the feed per mole of feed</t>
  </si>
  <si>
    <t>heat transfer duty, Btu/h</t>
  </si>
  <si>
    <t>condenser duty, Btu/h</t>
  </si>
  <si>
    <t>reflux ratio, moles of reflux divided by moles of net overhead product</t>
  </si>
  <si>
    <t>specific gravity</t>
  </si>
  <si>
    <t>number of stages</t>
  </si>
  <si>
    <t>stripping factor, Eq. 19.31</t>
  </si>
  <si>
    <t>separation factor, Eq. 19.1</t>
  </si>
  <si>
    <t>tray spacing, in</t>
  </si>
  <si>
    <t>Reynold's number, dimensionless</t>
  </si>
  <si>
    <t>v</t>
  </si>
  <si>
    <t>V</t>
  </si>
  <si>
    <t>maximum velocity, ft/hr</t>
  </si>
  <si>
    <t>vapor rate leaving top tray, mol/time</t>
  </si>
  <si>
    <t>vapor rate, mol/time</t>
  </si>
  <si>
    <t>w</t>
  </si>
  <si>
    <t>x</t>
  </si>
  <si>
    <t>X</t>
  </si>
  <si>
    <t>y</t>
  </si>
  <si>
    <t>stripping medium rate, mol/time</t>
  </si>
  <si>
    <t>weight flow, lb/h</t>
  </si>
  <si>
    <t>liquid mole fraction</t>
  </si>
  <si>
    <t>moles of a component in the lean oil per mole of rich oil</t>
  </si>
  <si>
    <t>moles of a component in the rich oil entering stripper per mole of rich oil entering stripper</t>
  </si>
  <si>
    <t>moles of a component in the liquid in equilibrium with the stripping medium per mole of entering rich oil</t>
  </si>
  <si>
    <t>vapor mole fraction</t>
  </si>
  <si>
    <t>moles of any component in the lean gas leaving the absorber per mole of rich gas</t>
  </si>
  <si>
    <t>Z</t>
  </si>
  <si>
    <t>α</t>
  </si>
  <si>
    <t>θ</t>
  </si>
  <si>
    <t>σ</t>
  </si>
  <si>
    <t>ρ</t>
  </si>
  <si>
    <t>ε</t>
  </si>
  <si>
    <t>μ</t>
  </si>
  <si>
    <t>moles of any component in the entering rich gas per mole of rich gas</t>
  </si>
  <si>
    <t>moles of any component in the gas n equilibrium with the entering lean oil, per mole of rich gas</t>
  </si>
  <si>
    <t>static head, ft</t>
  </si>
  <si>
    <t>relative volatility</t>
  </si>
  <si>
    <t>volatility factor define din Eq. 19.5</t>
  </si>
  <si>
    <t>correlating parameter in Eq. 19.7, 19.8</t>
  </si>
  <si>
    <t>surface tension, dyne/cm</t>
  </si>
  <si>
    <t>efficiency</t>
  </si>
  <si>
    <t>viscocity, cp</t>
  </si>
  <si>
    <t>Subscripts</t>
  </si>
  <si>
    <t>avg</t>
  </si>
  <si>
    <t>BP</t>
  </si>
  <si>
    <t>bottom</t>
  </si>
  <si>
    <t>calc</t>
  </si>
  <si>
    <t>corr</t>
  </si>
  <si>
    <t>G</t>
  </si>
  <si>
    <t>HK</t>
  </si>
  <si>
    <t>I</t>
  </si>
  <si>
    <t>LK</t>
  </si>
  <si>
    <t>top</t>
  </si>
  <si>
    <t>average</t>
  </si>
  <si>
    <t>bottoms</t>
  </si>
  <si>
    <t>bubble point feed stream</t>
  </si>
  <si>
    <t>bottom of the column</t>
  </si>
  <si>
    <t>calculated value</t>
  </si>
  <si>
    <t>corrected value</t>
  </si>
  <si>
    <t>distillate (overhead)</t>
  </si>
  <si>
    <t>feed</t>
  </si>
  <si>
    <t xml:space="preserve">gas </t>
  </si>
  <si>
    <t>heavy key</t>
  </si>
  <si>
    <t>any component</t>
  </si>
  <si>
    <t>liquid</t>
  </si>
  <si>
    <t>light key</t>
  </si>
  <si>
    <t>tray number</t>
  </si>
  <si>
    <t>top of the column</t>
  </si>
  <si>
    <t>minimum</t>
  </si>
  <si>
    <t>Nomenclature used in the following examples, from GPSA Chapter 19</t>
  </si>
  <si>
    <t>Find the tray efficiency of the column in Example 19-2.</t>
  </si>
  <si>
    <t>Figure 19.18 will be used to estimate a plate efficiency. This needs the relative volatility and the viscosity of the key component at average column conditions.</t>
  </si>
  <si>
    <t>Tavg = (Ttop + Tbottom) / 2</t>
  </si>
  <si>
    <t>Tavg</t>
  </si>
  <si>
    <t>cp</t>
  </si>
  <si>
    <t>To use Figure 19.18, the product of these two is needed.</t>
  </si>
  <si>
    <t>product</t>
  </si>
  <si>
    <t>From the figure, the efficiency was estimated to be 80%. The number of actual trays can be found with this number as follows. The method below counts the reboiler as a stage.</t>
  </si>
  <si>
    <t>Find the diameter for a packed tower using 2" plastic Pall rings for the column in Example 19-3. The given data for that problem are copied below.</t>
  </si>
  <si>
    <t>Also given:</t>
  </si>
  <si>
    <t>lb/h</t>
  </si>
  <si>
    <t>bottom axis of Figure 19.26</t>
  </si>
  <si>
    <t xml:space="preserve">Using 0.420 on the bottom axis, following the graph up to the specified pressure drop, the left axis can be found. The left axis is equal to a large equation that includes Gp, which can be solved for. </t>
  </si>
  <si>
    <t>left axis</t>
  </si>
  <si>
    <t>Gp</t>
  </si>
  <si>
    <t>The cross sectional area of the column can be found by taking the mass of the gas flowrate and dividing by Gp and the conversion between seconds and hours.</t>
  </si>
  <si>
    <t>Ac</t>
  </si>
  <si>
    <t>The diameter of the tower can be found using the equation for area of a circle.</t>
  </si>
  <si>
    <t>This would likely be rounded to 7 ft</t>
  </si>
  <si>
    <t>Tube Data</t>
  </si>
  <si>
    <t>Surface Area</t>
  </si>
  <si>
    <t>Internal Tube Area</t>
  </si>
  <si>
    <t>Vapor Density</t>
  </si>
  <si>
    <t>Liquid Viscosity</t>
  </si>
  <si>
    <t>Liquid Specific Gravity</t>
  </si>
  <si>
    <t>Inner Diameter</t>
  </si>
  <si>
    <t>An energy balance should be calculated. Using thermodynamic data:</t>
  </si>
  <si>
    <t>Enthalpy of liquid butane (228 F, 290 psia)</t>
  </si>
  <si>
    <t>Enthalpy of vapor butane (228 F, 290 psia)</t>
  </si>
  <si>
    <t>Btu/lb</t>
  </si>
  <si>
    <t>The energy needed to make 40,800 lb/ vapor:</t>
  </si>
  <si>
    <t>Q = m * ΔH</t>
  </si>
  <si>
    <t>To find how much steam is needed:</t>
  </si>
  <si>
    <t>Enthalpy of steam at given conditions</t>
  </si>
  <si>
    <t>m= Q/ H</t>
  </si>
  <si>
    <t>lb/h steam</t>
  </si>
  <si>
    <t>Btu/h</t>
  </si>
  <si>
    <t>ΔT</t>
  </si>
  <si>
    <t>A = Q / flux</t>
  </si>
  <si>
    <t>N = required surface area / (length of tube * surface area of tube )</t>
  </si>
  <si>
    <t>Length of Tube</t>
  </si>
  <si>
    <t>tubes</t>
  </si>
  <si>
    <t>Using Equation 19.27, the static pressure of the reboiler leg can be found.</t>
  </si>
  <si>
    <t>Find the optimum heat exchanger for a vertical thermosyphon application given it must produce 40,800 lb/h vapor (assume pure butane). The pressure of the column is 275 psig, has an isothermal boiling point of 228 F. The energy for the reboiler will be supplied by saturated steam at 125 psig. The recirculation ratio should be at least 4:1.</t>
  </si>
  <si>
    <t>The weight of the recirculated liquid can be found by multiplying the vapor mass by 4 (the minimum recirculation ratio).</t>
  </si>
  <si>
    <t>lb liquid/hr</t>
  </si>
  <si>
    <t>With this, the total volume of the reboiler outlet can be found.</t>
  </si>
  <si>
    <t>Vv</t>
  </si>
  <si>
    <t>Total volume</t>
  </si>
  <si>
    <t>The specific volume of the outlet can now be found using the total volume and the total mass.</t>
  </si>
  <si>
    <t>P</t>
  </si>
  <si>
    <t>psi</t>
  </si>
  <si>
    <t>The mass velocity, Gt, can be found by dividing the mass flowrate by the area of the tube.</t>
  </si>
  <si>
    <t>C2 + C3</t>
  </si>
  <si>
    <t>ft*h/lb</t>
  </si>
  <si>
    <t>Converting the diameter of the pipe:</t>
  </si>
  <si>
    <t>Converting the viscosity units:</t>
  </si>
  <si>
    <t>Using a Moody plot, the friction factor can be found.</t>
  </si>
  <si>
    <t>The total resistance to flow can be calculated by adding the frictional resistance and static resistance.</t>
  </si>
  <si>
    <t>Total ΔP</t>
  </si>
  <si>
    <t>The driving force can be calculated:</t>
  </si>
  <si>
    <t>The difference in the driving force and resistance to flow determines whether or not the flow will go into the reboiler.</t>
  </si>
  <si>
    <t>NOTE: The example solution has that a 12 ft long tube will have a positive difference. I think this is due to the rounding done in the solution, while I did not round in Excel, rather I referenced the cells that I needed. To determine what tube length provided a positive difference, I created a rough Moody plot using the other two Reynold's numbers and friction factors. I fit them to a log plot because I know that is what the Moody plot looks like. I then extrapolated a friction factor based on the trendline, and finished the calculations. I got a positive driving force with 10 ft long tubes. However, note that this has uncertainty associated with the generation of the Moody plot and resulting friction factor.</t>
  </si>
  <si>
    <t xml:space="preserve">Find the oil circulation rate and the composition of the residue gas given the following information. 75 percent of the propane needs to be removed from 100  mol of the rich gas stream. The absorber will have six theoretical plates, the average temperature and pressure of the absorber are 104 F and 1000 psig. Assume the lean oil is completely stripped of rich gas components. The feed composition is given below. </t>
  </si>
  <si>
    <t>Mol %</t>
  </si>
  <si>
    <t xml:space="preserve">K values can be found from the equilibrium data in Chapter 25, using the average absorber conditions. </t>
  </si>
  <si>
    <t>Equation 19.29 can now be used.</t>
  </si>
  <si>
    <t>Now, A can be calculated for the remaining components.</t>
  </si>
  <si>
    <t>From Figure 19.51, A can be found using Ea as .75 (specified efficiency for propane absorption) and n=6 (specified trays).</t>
  </si>
  <si>
    <t>Now the absorption efficiencies can be determined for each component, using Figure 19.51.</t>
  </si>
  <si>
    <t>Ea</t>
  </si>
  <si>
    <t>Now, the Ea value can be used to solve Eq 19.30 for the outlet composition of the lean gas.</t>
  </si>
  <si>
    <t>Now the moles of each component in the rich oil, I, can be calculated by steady state material balance.</t>
  </si>
  <si>
    <t>All the calculated properties are summarized in a table below.</t>
  </si>
  <si>
    <t>Y1</t>
  </si>
  <si>
    <t>Determine the number of theoretical stages given the following information. Sour water containing 2500 ppmw needs to be stripped to 1.5 ppmw. Enough energy is provided by the reboiler to produce .75 lb steam per gallon feed. The feed rate is 10 gpm and the top of the tower operates at 21 psia. First, an overall material balance will be performed using the given specifications.</t>
  </si>
  <si>
    <t>The feed will be converted to mass flowrate.</t>
  </si>
  <si>
    <t>Now the mass of overhead steam can be calculted using the given specification.</t>
  </si>
  <si>
    <t>Now the overall steady state material balance can be done, using the specifications given.</t>
  </si>
  <si>
    <t>Feed (lb/h)</t>
  </si>
  <si>
    <t>Overhead (lb/h)</t>
  </si>
  <si>
    <t>Bottoms (lb/h)</t>
  </si>
  <si>
    <t>In order to estimate the top temperature, the fraction of water in the overhead and the partial pressure of water in the overhead need to be found.</t>
  </si>
  <si>
    <t>From Figure 19.52:</t>
  </si>
  <si>
    <t>Now the moles of vapor leaving the top tray can be found using the masses from the material balance and the molecular weights of each component.</t>
  </si>
  <si>
    <t>mol</t>
  </si>
  <si>
    <t>The same can be done for the moles of liquid leaving the bottom tray.</t>
  </si>
  <si>
    <t>Es</t>
  </si>
  <si>
    <t>Using the steam tables from Chapter 24, the temperature of the top was estimated to be 229 °F.</t>
  </si>
  <si>
    <t>T (°F)</t>
  </si>
  <si>
    <t>tube flow area, ft2</t>
  </si>
  <si>
    <t>at</t>
  </si>
  <si>
    <t>total tube flow area, ft2</t>
  </si>
  <si>
    <t>cross sectional area, ft2</t>
  </si>
  <si>
    <t>heat transfer area, ft2</t>
  </si>
  <si>
    <t>tray active area, ft2</t>
  </si>
  <si>
    <t>tray downcomer area, ft2</t>
  </si>
  <si>
    <t>tower cross sectional area, ft2</t>
  </si>
  <si>
    <t>vapor loading, ft3/s</t>
  </si>
  <si>
    <t>friction factor, ft2/in2</t>
  </si>
  <si>
    <t>conversion factor, 32.174 ft lbm / lbf sec2</t>
  </si>
  <si>
    <t>mass velocity, lb/h ft2</t>
  </si>
  <si>
    <t>tower vapor loading, lb/ ft2 s</t>
  </si>
  <si>
    <t>liquid loading, lb/ ft2 s</t>
  </si>
  <si>
    <t>ST</t>
  </si>
  <si>
    <t>UD</t>
  </si>
  <si>
    <t>overall heat transfer coefficient, Btu/ hr ft2 °F</t>
  </si>
  <si>
    <t>specific volume, ft3/lb</t>
  </si>
  <si>
    <t>specific volume of inlet, ft3/lb</t>
  </si>
  <si>
    <t>specific volume of outlet, ft3/lb</t>
  </si>
  <si>
    <t>volumetric vapor flow rate, ft3/h</t>
  </si>
  <si>
    <t>downcomer velocity, uncorrected, gpm/ft2</t>
  </si>
  <si>
    <t>downcomer velocity, corrected, gpm/ft2</t>
  </si>
  <si>
    <t>vapor loading defined by Eq. 19.13, ft3/s</t>
  </si>
  <si>
    <t>density, lb/ft3</t>
  </si>
  <si>
    <r>
      <t>C</t>
    </r>
    <r>
      <rPr>
        <vertAlign val="subscript"/>
        <sz val="11"/>
        <rFont val="Times New Roman"/>
        <family val="1"/>
      </rPr>
      <t>2</t>
    </r>
  </si>
  <si>
    <r>
      <t>C</t>
    </r>
    <r>
      <rPr>
        <vertAlign val="subscript"/>
        <sz val="11"/>
        <rFont val="Times New Roman"/>
        <family val="1"/>
      </rPr>
      <t>3</t>
    </r>
  </si>
  <si>
    <r>
      <t>iC</t>
    </r>
    <r>
      <rPr>
        <vertAlign val="subscript"/>
        <sz val="11"/>
        <rFont val="Times New Roman"/>
        <family val="1"/>
      </rPr>
      <t>4</t>
    </r>
  </si>
  <si>
    <r>
      <t>nC</t>
    </r>
    <r>
      <rPr>
        <vertAlign val="subscript"/>
        <sz val="11"/>
        <rFont val="Times New Roman"/>
        <family val="1"/>
      </rPr>
      <t>4</t>
    </r>
  </si>
  <si>
    <r>
      <t>C</t>
    </r>
    <r>
      <rPr>
        <vertAlign val="subscript"/>
        <sz val="11"/>
        <rFont val="Times New Roman"/>
        <family val="1"/>
      </rPr>
      <t>5</t>
    </r>
  </si>
  <si>
    <r>
      <t>C</t>
    </r>
    <r>
      <rPr>
        <b/>
        <vertAlign val="subscript"/>
        <sz val="11"/>
        <rFont val="Times New Roman"/>
        <family val="1"/>
      </rPr>
      <t>2</t>
    </r>
  </si>
  <si>
    <r>
      <t>C</t>
    </r>
    <r>
      <rPr>
        <b/>
        <vertAlign val="subscript"/>
        <sz val="11"/>
        <rFont val="Times New Roman"/>
        <family val="1"/>
      </rPr>
      <t>3</t>
    </r>
  </si>
  <si>
    <r>
      <t>iC</t>
    </r>
    <r>
      <rPr>
        <b/>
        <vertAlign val="subscript"/>
        <sz val="11"/>
        <rFont val="Times New Roman"/>
        <family val="1"/>
      </rPr>
      <t>4</t>
    </r>
  </si>
  <si>
    <r>
      <t>nC</t>
    </r>
    <r>
      <rPr>
        <b/>
        <vertAlign val="subscript"/>
        <sz val="11"/>
        <rFont val="Times New Roman"/>
        <family val="1"/>
      </rPr>
      <t>4</t>
    </r>
  </si>
  <si>
    <r>
      <t>C</t>
    </r>
    <r>
      <rPr>
        <b/>
        <vertAlign val="subscript"/>
        <sz val="11"/>
        <rFont val="Times New Roman"/>
        <family val="1"/>
      </rPr>
      <t>5</t>
    </r>
  </si>
  <si>
    <t xml:space="preserve">First, θ needs to be found. This is done in the following table. </t>
  </si>
  <si>
    <t>α*XF/(α-θ)</t>
  </si>
  <si>
    <t>θ=16</t>
  </si>
  <si>
    <t>θ=15</t>
  </si>
  <si>
    <r>
      <t>iC</t>
    </r>
    <r>
      <rPr>
        <vertAlign val="subscript"/>
        <sz val="11"/>
        <rFont val="Times New Roman"/>
        <family val="1"/>
      </rPr>
      <t>5</t>
    </r>
  </si>
  <si>
    <r>
      <t>nC</t>
    </r>
    <r>
      <rPr>
        <vertAlign val="subscript"/>
        <sz val="11"/>
        <rFont val="Times New Roman"/>
        <family val="1"/>
      </rPr>
      <t>5</t>
    </r>
  </si>
  <si>
    <r>
      <t>C</t>
    </r>
    <r>
      <rPr>
        <vertAlign val="subscript"/>
        <sz val="11"/>
        <rFont val="Times New Roman"/>
        <family val="1"/>
      </rPr>
      <t>6</t>
    </r>
  </si>
  <si>
    <r>
      <t>iC</t>
    </r>
    <r>
      <rPr>
        <b/>
        <vertAlign val="subscript"/>
        <sz val="11"/>
        <rFont val="Times New Roman"/>
        <family val="1"/>
      </rPr>
      <t>5</t>
    </r>
  </si>
  <si>
    <r>
      <t>nC</t>
    </r>
    <r>
      <rPr>
        <b/>
        <vertAlign val="subscript"/>
        <sz val="11"/>
        <rFont val="Times New Roman"/>
        <family val="1"/>
      </rPr>
      <t>5</t>
    </r>
  </si>
  <si>
    <r>
      <t>C</t>
    </r>
    <r>
      <rPr>
        <b/>
        <vertAlign val="subscript"/>
        <sz val="11"/>
        <rFont val="Times New Roman"/>
        <family val="1"/>
      </rPr>
      <t>6</t>
    </r>
  </si>
  <si>
    <r>
      <t>α</t>
    </r>
    <r>
      <rPr>
        <vertAlign val="subscript"/>
        <sz val="11"/>
        <rFont val="Times New Roman"/>
        <family val="1"/>
      </rPr>
      <t>AVG</t>
    </r>
  </si>
  <si>
    <r>
      <t>To calculate S</t>
    </r>
    <r>
      <rPr>
        <vertAlign val="subscript"/>
        <sz val="11"/>
        <rFont val="Times New Roman"/>
        <family val="1"/>
      </rPr>
      <t>F</t>
    </r>
    <r>
      <rPr>
        <sz val="11"/>
        <rFont val="Times New Roman"/>
        <family val="1"/>
      </rPr>
      <t>, Equation 19-1 is used.</t>
    </r>
  </si>
  <si>
    <r>
      <t>S</t>
    </r>
    <r>
      <rPr>
        <vertAlign val="subscript"/>
        <sz val="11"/>
        <rFont val="Times New Roman"/>
        <family val="1"/>
      </rPr>
      <t>F</t>
    </r>
  </si>
  <si>
    <r>
      <t>x</t>
    </r>
    <r>
      <rPr>
        <vertAlign val="subscript"/>
        <sz val="11"/>
        <rFont val="Times New Roman"/>
        <family val="1"/>
      </rPr>
      <t>F</t>
    </r>
  </si>
  <si>
    <r>
      <t>L</t>
    </r>
    <r>
      <rPr>
        <vertAlign val="subscript"/>
        <sz val="11"/>
        <rFont val="Times New Roman"/>
        <family val="1"/>
      </rPr>
      <t>0</t>
    </r>
    <r>
      <rPr>
        <sz val="11"/>
        <rFont val="Times New Roman"/>
        <family val="1"/>
      </rPr>
      <t xml:space="preserve"> / V</t>
    </r>
    <r>
      <rPr>
        <vertAlign val="subscript"/>
        <sz val="11"/>
        <rFont val="Times New Roman"/>
        <family val="1"/>
      </rPr>
      <t>1</t>
    </r>
    <r>
      <rPr>
        <sz val="11"/>
        <rFont val="Times New Roman"/>
        <family val="1"/>
      </rPr>
      <t xml:space="preserve"> = R / ( R + 1 )</t>
    </r>
  </si>
  <si>
    <r>
      <t>( L</t>
    </r>
    <r>
      <rPr>
        <vertAlign val="subscript"/>
        <sz val="11"/>
        <rFont val="Times New Roman"/>
        <family val="1"/>
      </rPr>
      <t>0</t>
    </r>
    <r>
      <rPr>
        <sz val="11"/>
        <rFont val="Times New Roman"/>
        <family val="1"/>
      </rPr>
      <t xml:space="preserve"> / V</t>
    </r>
    <r>
      <rPr>
        <vertAlign val="subscript"/>
        <sz val="11"/>
        <rFont val="Times New Roman"/>
        <family val="1"/>
      </rPr>
      <t>1</t>
    </r>
    <r>
      <rPr>
        <sz val="11"/>
        <rFont val="Times New Roman"/>
        <family val="1"/>
      </rPr>
      <t xml:space="preserve"> )</t>
    </r>
    <r>
      <rPr>
        <vertAlign val="subscript"/>
        <sz val="11"/>
        <rFont val="Times New Roman"/>
        <family val="1"/>
      </rPr>
      <t>m</t>
    </r>
    <r>
      <rPr>
        <sz val="11"/>
        <rFont val="Times New Roman"/>
        <family val="1"/>
      </rPr>
      <t xml:space="preserve"> = R</t>
    </r>
    <r>
      <rPr>
        <vertAlign val="subscript"/>
        <sz val="11"/>
        <rFont val="Times New Roman"/>
        <family val="1"/>
      </rPr>
      <t>m</t>
    </r>
    <r>
      <rPr>
        <sz val="11"/>
        <rFont val="Times New Roman"/>
        <family val="1"/>
      </rPr>
      <t xml:space="preserve"> / ( R</t>
    </r>
    <r>
      <rPr>
        <vertAlign val="subscript"/>
        <sz val="11"/>
        <rFont val="Times New Roman"/>
        <family val="1"/>
      </rPr>
      <t>m</t>
    </r>
    <r>
      <rPr>
        <sz val="11"/>
        <rFont val="Times New Roman"/>
        <family val="1"/>
      </rPr>
      <t xml:space="preserve"> + 1 )</t>
    </r>
  </si>
  <si>
    <r>
      <t>ft</t>
    </r>
    <r>
      <rPr>
        <vertAlign val="superscript"/>
        <sz val="11"/>
        <rFont val="Times New Roman"/>
        <family val="1"/>
      </rPr>
      <t>3</t>
    </r>
    <r>
      <rPr>
        <sz val="11"/>
        <rFont val="Times New Roman"/>
        <family val="1"/>
      </rPr>
      <t>/h</t>
    </r>
  </si>
  <si>
    <r>
      <t>ft</t>
    </r>
    <r>
      <rPr>
        <vertAlign val="superscript"/>
        <sz val="11"/>
        <rFont val="Times New Roman"/>
        <family val="1"/>
      </rPr>
      <t>3</t>
    </r>
    <r>
      <rPr>
        <sz val="11"/>
        <rFont val="Times New Roman"/>
        <family val="1"/>
      </rPr>
      <t>/s</t>
    </r>
  </si>
  <si>
    <r>
      <t>lb/ft</t>
    </r>
    <r>
      <rPr>
        <vertAlign val="superscript"/>
        <sz val="11"/>
        <rFont val="Times New Roman"/>
        <family val="1"/>
      </rPr>
      <t>3</t>
    </r>
  </si>
  <si>
    <r>
      <t>Using Equation 19.11, v</t>
    </r>
    <r>
      <rPr>
        <vertAlign val="subscript"/>
        <sz val="11"/>
        <rFont val="Times New Roman"/>
        <family val="1"/>
      </rPr>
      <t>max</t>
    </r>
    <r>
      <rPr>
        <sz val="11"/>
        <rFont val="Times New Roman"/>
        <family val="1"/>
      </rPr>
      <t xml:space="preserve"> can be found.</t>
    </r>
  </si>
  <si>
    <r>
      <t>V</t>
    </r>
    <r>
      <rPr>
        <vertAlign val="subscript"/>
        <sz val="11"/>
        <rFont val="Times New Roman"/>
        <family val="1"/>
      </rPr>
      <t>load</t>
    </r>
    <r>
      <rPr>
        <sz val="11"/>
        <rFont val="Times New Roman"/>
        <family val="1"/>
      </rPr>
      <t xml:space="preserve"> needs to be found in order to use Figure 19.14. V</t>
    </r>
    <r>
      <rPr>
        <vertAlign val="subscript"/>
        <sz val="11"/>
        <rFont val="Times New Roman"/>
        <family val="1"/>
      </rPr>
      <t>load</t>
    </r>
    <r>
      <rPr>
        <sz val="11"/>
        <rFont val="Times New Roman"/>
        <family val="1"/>
      </rPr>
      <t xml:space="preserve"> is found from Equation 19.13.</t>
    </r>
  </si>
  <si>
    <r>
      <t>VD</t>
    </r>
    <r>
      <rPr>
        <vertAlign val="superscript"/>
        <sz val="11"/>
        <rFont val="Times New Roman"/>
        <family val="1"/>
      </rPr>
      <t>*</t>
    </r>
    <r>
      <rPr>
        <vertAlign val="subscript"/>
        <sz val="11"/>
        <rFont val="Times New Roman"/>
        <family val="1"/>
      </rPr>
      <t>dsg</t>
    </r>
  </si>
  <si>
    <r>
      <t>gpm/ft</t>
    </r>
    <r>
      <rPr>
        <vertAlign val="superscript"/>
        <sz val="11"/>
        <rFont val="Times New Roman"/>
        <family val="1"/>
      </rPr>
      <t>2</t>
    </r>
  </si>
  <si>
    <r>
      <t>From Figure 19.17, CAF</t>
    </r>
    <r>
      <rPr>
        <vertAlign val="subscript"/>
        <sz val="11"/>
        <rFont val="Times New Roman"/>
        <family val="1"/>
      </rPr>
      <t>0</t>
    </r>
    <r>
      <rPr>
        <sz val="11"/>
        <rFont val="Times New Roman"/>
        <family val="1"/>
      </rPr>
      <t xml:space="preserve"> is 0.41.</t>
    </r>
  </si>
  <si>
    <r>
      <t>CAF = CAF</t>
    </r>
    <r>
      <rPr>
        <vertAlign val="subscript"/>
        <sz val="11"/>
        <rFont val="Times New Roman"/>
        <family val="1"/>
      </rPr>
      <t>0</t>
    </r>
    <r>
      <rPr>
        <sz val="11"/>
        <rFont val="Times New Roman"/>
        <family val="1"/>
      </rPr>
      <t xml:space="preserve"> * System factor</t>
    </r>
  </si>
  <si>
    <r>
      <t>FPL = 9 * D</t>
    </r>
    <r>
      <rPr>
        <vertAlign val="subscript"/>
        <sz val="11"/>
        <rFont val="Times New Roman"/>
        <family val="1"/>
      </rPr>
      <t>T</t>
    </r>
    <r>
      <rPr>
        <sz val="11"/>
        <rFont val="Times New Roman"/>
        <family val="1"/>
      </rPr>
      <t xml:space="preserve"> / NP</t>
    </r>
  </si>
  <si>
    <r>
      <t>ft</t>
    </r>
    <r>
      <rPr>
        <vertAlign val="superscript"/>
        <sz val="11"/>
        <rFont val="Times New Roman"/>
        <family val="1"/>
      </rPr>
      <t>2</t>
    </r>
  </si>
  <si>
    <t>°F</t>
  </si>
  <si>
    <t>It is given that at 185 F, the viscosity of the feed is 0.076 cp and the average α is 1.854.</t>
  </si>
  <si>
    <r>
      <t>in H</t>
    </r>
    <r>
      <rPr>
        <vertAlign val="subscript"/>
        <sz val="11"/>
        <rFont val="Times New Roman"/>
        <family val="1"/>
      </rPr>
      <t>2</t>
    </r>
    <r>
      <rPr>
        <sz val="11"/>
        <rFont val="Times New Roman"/>
        <family val="1"/>
      </rPr>
      <t>O/ft packing</t>
    </r>
  </si>
  <si>
    <r>
      <t>From Figure 19.25, the packing factor (F</t>
    </r>
    <r>
      <rPr>
        <vertAlign val="subscript"/>
        <sz val="11"/>
        <rFont val="Times New Roman"/>
        <family val="1"/>
      </rPr>
      <t>p</t>
    </r>
    <r>
      <rPr>
        <sz val="11"/>
        <rFont val="Times New Roman"/>
        <family val="1"/>
      </rPr>
      <t>) for the specified packing is 26.</t>
    </r>
  </si>
  <si>
    <r>
      <t>F</t>
    </r>
    <r>
      <rPr>
        <vertAlign val="subscript"/>
        <sz val="11"/>
        <rFont val="Times New Roman"/>
        <family val="1"/>
      </rPr>
      <t>p</t>
    </r>
  </si>
  <si>
    <r>
      <t>Figure 19.26 can now be used. The bottom axis is defined by ( L</t>
    </r>
    <r>
      <rPr>
        <vertAlign val="subscript"/>
        <sz val="11"/>
        <rFont val="Times New Roman"/>
        <family val="1"/>
      </rPr>
      <t>p</t>
    </r>
    <r>
      <rPr>
        <sz val="11"/>
        <rFont val="Times New Roman"/>
        <family val="1"/>
      </rPr>
      <t xml:space="preserve"> / G</t>
    </r>
    <r>
      <rPr>
        <vertAlign val="subscript"/>
        <sz val="11"/>
        <rFont val="Times New Roman"/>
        <family val="1"/>
      </rPr>
      <t>p</t>
    </r>
    <r>
      <rPr>
        <sz val="11"/>
        <rFont val="Times New Roman"/>
        <family val="1"/>
      </rPr>
      <t xml:space="preserve"> ) * sqrt ( ρ</t>
    </r>
    <r>
      <rPr>
        <vertAlign val="subscript"/>
        <sz val="11"/>
        <rFont val="Times New Roman"/>
        <family val="1"/>
      </rPr>
      <t>v</t>
    </r>
    <r>
      <rPr>
        <sz val="11"/>
        <rFont val="Times New Roman"/>
        <family val="1"/>
      </rPr>
      <t xml:space="preserve"> /  ρ</t>
    </r>
    <r>
      <rPr>
        <vertAlign val="subscript"/>
        <sz val="11"/>
        <rFont val="Times New Roman"/>
        <family val="1"/>
      </rPr>
      <t>L</t>
    </r>
    <r>
      <rPr>
        <sz val="11"/>
        <rFont val="Times New Roman"/>
        <family val="1"/>
      </rPr>
      <t>). L</t>
    </r>
    <r>
      <rPr>
        <vertAlign val="subscript"/>
        <sz val="11"/>
        <rFont val="Times New Roman"/>
        <family val="1"/>
      </rPr>
      <t>p</t>
    </r>
    <r>
      <rPr>
        <sz val="11"/>
        <rFont val="Times New Roman"/>
        <family val="1"/>
      </rPr>
      <t>/ G</t>
    </r>
    <r>
      <rPr>
        <vertAlign val="subscript"/>
        <sz val="11"/>
        <rFont val="Times New Roman"/>
        <family val="1"/>
      </rPr>
      <t>p</t>
    </r>
    <r>
      <rPr>
        <sz val="11"/>
        <rFont val="Times New Roman"/>
        <family val="1"/>
      </rPr>
      <t xml:space="preserve"> can be substituted with M</t>
    </r>
    <r>
      <rPr>
        <vertAlign val="subscript"/>
        <sz val="11"/>
        <rFont val="Times New Roman"/>
        <family val="1"/>
      </rPr>
      <t>L</t>
    </r>
    <r>
      <rPr>
        <sz val="11"/>
        <rFont val="Times New Roman"/>
        <family val="1"/>
      </rPr>
      <t xml:space="preserve"> / M</t>
    </r>
    <r>
      <rPr>
        <vertAlign val="subscript"/>
        <sz val="11"/>
        <rFont val="Times New Roman"/>
        <family val="1"/>
      </rPr>
      <t>G</t>
    </r>
    <r>
      <rPr>
        <sz val="11"/>
        <rFont val="Times New Roman"/>
        <family val="1"/>
      </rPr>
      <t xml:space="preserve">. </t>
    </r>
  </si>
  <si>
    <r>
      <t>M</t>
    </r>
    <r>
      <rPr>
        <vertAlign val="subscript"/>
        <sz val="11"/>
        <rFont val="Times New Roman"/>
        <family val="1"/>
      </rPr>
      <t>L</t>
    </r>
    <r>
      <rPr>
        <sz val="11"/>
        <rFont val="Times New Roman"/>
        <family val="1"/>
      </rPr>
      <t xml:space="preserve"> =( 1190 gpm * 18.8 lb/ft</t>
    </r>
    <r>
      <rPr>
        <vertAlign val="superscript"/>
        <sz val="11"/>
        <rFont val="Times New Roman"/>
        <family val="1"/>
      </rPr>
      <t>3</t>
    </r>
    <r>
      <rPr>
        <sz val="11"/>
        <rFont val="Times New Roman"/>
        <family val="1"/>
      </rPr>
      <t xml:space="preserve"> * 60 min/h )/ (7.48 gal/ft</t>
    </r>
    <r>
      <rPr>
        <vertAlign val="superscript"/>
        <sz val="11"/>
        <rFont val="Times New Roman"/>
        <family val="1"/>
      </rPr>
      <t>3</t>
    </r>
    <r>
      <rPr>
        <sz val="11"/>
        <rFont val="Times New Roman"/>
        <family val="1"/>
      </rPr>
      <t>)</t>
    </r>
  </si>
  <si>
    <r>
      <t>M</t>
    </r>
    <r>
      <rPr>
        <vertAlign val="subscript"/>
        <sz val="11"/>
        <rFont val="Times New Roman"/>
        <family val="1"/>
      </rPr>
      <t>L</t>
    </r>
  </si>
  <si>
    <r>
      <t>M</t>
    </r>
    <r>
      <rPr>
        <vertAlign val="subscript"/>
        <sz val="11"/>
        <rFont val="Times New Roman"/>
        <family val="1"/>
      </rPr>
      <t>G</t>
    </r>
    <r>
      <rPr>
        <sz val="11"/>
        <rFont val="Times New Roman"/>
        <family val="1"/>
      </rPr>
      <t xml:space="preserve"> = 70418 ft</t>
    </r>
    <r>
      <rPr>
        <vertAlign val="superscript"/>
        <sz val="11"/>
        <rFont val="Times New Roman"/>
        <family val="1"/>
      </rPr>
      <t>3</t>
    </r>
    <r>
      <rPr>
        <sz val="11"/>
        <rFont val="Times New Roman"/>
        <family val="1"/>
      </rPr>
      <t>/h * 3 lb/ft</t>
    </r>
    <r>
      <rPr>
        <vertAlign val="superscript"/>
        <sz val="11"/>
        <rFont val="Times New Roman"/>
        <family val="1"/>
      </rPr>
      <t>3</t>
    </r>
  </si>
  <si>
    <r>
      <t>M</t>
    </r>
    <r>
      <rPr>
        <vertAlign val="subscript"/>
        <sz val="11"/>
        <rFont val="Times New Roman"/>
        <family val="1"/>
      </rPr>
      <t>G</t>
    </r>
  </si>
  <si>
    <r>
      <t>lb/ft</t>
    </r>
    <r>
      <rPr>
        <vertAlign val="superscript"/>
        <sz val="11"/>
        <rFont val="Times New Roman"/>
        <family val="1"/>
      </rPr>
      <t>2</t>
    </r>
    <r>
      <rPr>
        <sz val="11"/>
        <rFont val="Times New Roman"/>
        <family val="1"/>
      </rPr>
      <t>*s</t>
    </r>
  </si>
  <si>
    <r>
      <t>D</t>
    </r>
    <r>
      <rPr>
        <vertAlign val="subscript"/>
        <sz val="11"/>
        <rFont val="Times New Roman"/>
        <family val="1"/>
      </rPr>
      <t>T</t>
    </r>
  </si>
  <si>
    <r>
      <t>ft</t>
    </r>
    <r>
      <rPr>
        <vertAlign val="superscript"/>
        <sz val="11"/>
        <rFont val="Times New Roman"/>
        <family val="1"/>
      </rPr>
      <t>2</t>
    </r>
    <r>
      <rPr>
        <sz val="11"/>
        <rFont val="Times New Roman"/>
        <family val="1"/>
      </rPr>
      <t>/ft</t>
    </r>
  </si>
  <si>
    <r>
      <t>in</t>
    </r>
    <r>
      <rPr>
        <vertAlign val="superscript"/>
        <sz val="11"/>
        <rFont val="Times New Roman"/>
        <family val="1"/>
      </rPr>
      <t>2</t>
    </r>
  </si>
  <si>
    <r>
      <t>The maximum energy flux is 12000 Btu/ft</t>
    </r>
    <r>
      <rPr>
        <vertAlign val="superscript"/>
        <sz val="11"/>
        <rFont val="Times New Roman"/>
        <family val="1"/>
      </rPr>
      <t>2</t>
    </r>
  </si>
  <si>
    <r>
      <t>v</t>
    </r>
    <r>
      <rPr>
        <vertAlign val="subscript"/>
        <sz val="11"/>
        <rFont val="Times New Roman"/>
        <family val="1"/>
      </rPr>
      <t>v</t>
    </r>
    <r>
      <rPr>
        <sz val="11"/>
        <rFont val="Times New Roman"/>
        <family val="1"/>
      </rPr>
      <t xml:space="preserve"> = 1 / ρ</t>
    </r>
    <r>
      <rPr>
        <vertAlign val="subscript"/>
        <sz val="11"/>
        <rFont val="Times New Roman"/>
        <family val="1"/>
      </rPr>
      <t>v</t>
    </r>
  </si>
  <si>
    <r>
      <t>v</t>
    </r>
    <r>
      <rPr>
        <vertAlign val="subscript"/>
        <sz val="11"/>
        <rFont val="Times New Roman"/>
        <family val="1"/>
      </rPr>
      <t>v</t>
    </r>
  </si>
  <si>
    <r>
      <t>ft</t>
    </r>
    <r>
      <rPr>
        <vertAlign val="superscript"/>
        <sz val="11"/>
        <rFont val="Times New Roman"/>
        <family val="1"/>
      </rPr>
      <t>3</t>
    </r>
    <r>
      <rPr>
        <sz val="11"/>
        <rFont val="Times New Roman"/>
        <family val="1"/>
      </rPr>
      <t>/lb</t>
    </r>
  </si>
  <si>
    <r>
      <t>v</t>
    </r>
    <r>
      <rPr>
        <vertAlign val="subscript"/>
        <sz val="11"/>
        <rFont val="Times New Roman"/>
        <family val="1"/>
      </rPr>
      <t>L</t>
    </r>
    <r>
      <rPr>
        <sz val="11"/>
        <rFont val="Times New Roman"/>
        <family val="1"/>
      </rPr>
      <t xml:space="preserve"> = 1 / ρ</t>
    </r>
    <r>
      <rPr>
        <vertAlign val="subscript"/>
        <sz val="11"/>
        <rFont val="Times New Roman"/>
        <family val="1"/>
      </rPr>
      <t>L</t>
    </r>
    <r>
      <rPr>
        <sz val="11"/>
        <rFont val="Times New Roman"/>
        <family val="1"/>
      </rPr>
      <t xml:space="preserve"> </t>
    </r>
  </si>
  <si>
    <r>
      <t>v</t>
    </r>
    <r>
      <rPr>
        <vertAlign val="subscript"/>
        <sz val="11"/>
        <rFont val="Times New Roman"/>
        <family val="1"/>
      </rPr>
      <t>L</t>
    </r>
  </si>
  <si>
    <r>
      <t>V</t>
    </r>
    <r>
      <rPr>
        <vertAlign val="subscript"/>
        <sz val="11"/>
        <rFont val="Times New Roman"/>
        <family val="1"/>
      </rPr>
      <t>L</t>
    </r>
    <r>
      <rPr>
        <sz val="11"/>
        <rFont val="Times New Roman"/>
        <family val="1"/>
      </rPr>
      <t xml:space="preserve"> = M</t>
    </r>
    <r>
      <rPr>
        <vertAlign val="subscript"/>
        <sz val="11"/>
        <rFont val="Times New Roman"/>
        <family val="1"/>
      </rPr>
      <t>L</t>
    </r>
    <r>
      <rPr>
        <sz val="11"/>
        <rFont val="Times New Roman"/>
        <family val="1"/>
      </rPr>
      <t xml:space="preserve"> * v</t>
    </r>
    <r>
      <rPr>
        <vertAlign val="subscript"/>
        <sz val="11"/>
        <rFont val="Times New Roman"/>
        <family val="1"/>
      </rPr>
      <t>L</t>
    </r>
  </si>
  <si>
    <r>
      <t>V</t>
    </r>
    <r>
      <rPr>
        <vertAlign val="subscript"/>
        <sz val="11"/>
        <rFont val="Times New Roman"/>
        <family val="1"/>
      </rPr>
      <t>L</t>
    </r>
  </si>
  <si>
    <r>
      <t>ft</t>
    </r>
    <r>
      <rPr>
        <vertAlign val="superscript"/>
        <sz val="11"/>
        <rFont val="Times New Roman"/>
        <family val="1"/>
      </rPr>
      <t>3</t>
    </r>
  </si>
  <si>
    <r>
      <t>V</t>
    </r>
    <r>
      <rPr>
        <vertAlign val="subscript"/>
        <sz val="11"/>
        <rFont val="Times New Roman"/>
        <family val="1"/>
      </rPr>
      <t>v</t>
    </r>
    <r>
      <rPr>
        <sz val="11"/>
        <rFont val="Times New Roman"/>
        <family val="1"/>
      </rPr>
      <t xml:space="preserve"> = M</t>
    </r>
    <r>
      <rPr>
        <vertAlign val="subscript"/>
        <sz val="11"/>
        <rFont val="Times New Roman"/>
        <family val="1"/>
      </rPr>
      <t>v</t>
    </r>
    <r>
      <rPr>
        <sz val="11"/>
        <rFont val="Times New Roman"/>
        <family val="1"/>
      </rPr>
      <t xml:space="preserve"> * v</t>
    </r>
    <r>
      <rPr>
        <vertAlign val="subscript"/>
        <sz val="11"/>
        <rFont val="Times New Roman"/>
        <family val="1"/>
      </rPr>
      <t>v</t>
    </r>
  </si>
  <si>
    <r>
      <t>v</t>
    </r>
    <r>
      <rPr>
        <vertAlign val="subscript"/>
        <sz val="11"/>
        <rFont val="Times New Roman"/>
        <family val="1"/>
      </rPr>
      <t>o</t>
    </r>
    <r>
      <rPr>
        <sz val="11"/>
        <rFont val="Times New Roman"/>
        <family val="1"/>
      </rPr>
      <t xml:space="preserve"> = V</t>
    </r>
    <r>
      <rPr>
        <vertAlign val="subscript"/>
        <sz val="11"/>
        <rFont val="Times New Roman"/>
        <family val="1"/>
      </rPr>
      <t>o</t>
    </r>
    <r>
      <rPr>
        <sz val="11"/>
        <rFont val="Times New Roman"/>
        <family val="1"/>
      </rPr>
      <t xml:space="preserve"> / M</t>
    </r>
    <r>
      <rPr>
        <vertAlign val="subscript"/>
        <sz val="11"/>
        <rFont val="Times New Roman"/>
        <family val="1"/>
      </rPr>
      <t>o</t>
    </r>
  </si>
  <si>
    <r>
      <t>v</t>
    </r>
    <r>
      <rPr>
        <vertAlign val="subscript"/>
        <sz val="11"/>
        <rFont val="Times New Roman"/>
        <family val="1"/>
      </rPr>
      <t>o</t>
    </r>
  </si>
  <si>
    <r>
      <t>Now that v</t>
    </r>
    <r>
      <rPr>
        <vertAlign val="subscript"/>
        <sz val="11"/>
        <rFont val="Times New Roman"/>
        <family val="1"/>
      </rPr>
      <t>o</t>
    </r>
    <r>
      <rPr>
        <sz val="11"/>
        <rFont val="Times New Roman"/>
        <family val="1"/>
      </rPr>
      <t xml:space="preserve"> has been obtained, the static pressure of the reboiler leg can be found using Eq. 19.27.</t>
    </r>
  </si>
  <si>
    <r>
      <t>Now the frictional resistance can be found. When added to the static pressure, this will give the total resistance to flow. To find the frictional resistance to flow, the area of  flow must be found. This is a</t>
    </r>
    <r>
      <rPr>
        <vertAlign val="subscript"/>
        <sz val="11"/>
        <rFont val="Times New Roman"/>
        <family val="1"/>
      </rPr>
      <t>t</t>
    </r>
    <r>
      <rPr>
        <sz val="11"/>
        <rFont val="Times New Roman"/>
        <family val="1"/>
      </rPr>
      <t xml:space="preserve"> = N</t>
    </r>
    <r>
      <rPr>
        <vertAlign val="subscript"/>
        <sz val="11"/>
        <rFont val="Times New Roman"/>
        <family val="1"/>
      </rPr>
      <t>t</t>
    </r>
    <r>
      <rPr>
        <sz val="11"/>
        <rFont val="Times New Roman"/>
        <family val="1"/>
      </rPr>
      <t xml:space="preserve"> * a'</t>
    </r>
    <r>
      <rPr>
        <vertAlign val="subscript"/>
        <sz val="11"/>
        <rFont val="Times New Roman"/>
        <family val="1"/>
      </rPr>
      <t>t</t>
    </r>
    <r>
      <rPr>
        <sz val="11"/>
        <rFont val="Times New Roman"/>
        <family val="1"/>
      </rPr>
      <t xml:space="preserve"> / 144</t>
    </r>
  </si>
  <si>
    <r>
      <t>a</t>
    </r>
    <r>
      <rPr>
        <vertAlign val="subscript"/>
        <sz val="11"/>
        <rFont val="Times New Roman"/>
        <family val="1"/>
      </rPr>
      <t>t</t>
    </r>
  </si>
  <si>
    <r>
      <t>G</t>
    </r>
    <r>
      <rPr>
        <vertAlign val="subscript"/>
        <sz val="11"/>
        <rFont val="Times New Roman"/>
        <family val="1"/>
      </rPr>
      <t>t</t>
    </r>
  </si>
  <si>
    <r>
      <t>lb/hr * ft</t>
    </r>
    <r>
      <rPr>
        <vertAlign val="superscript"/>
        <sz val="11"/>
        <rFont val="Times New Roman"/>
        <family val="1"/>
      </rPr>
      <t>2</t>
    </r>
  </si>
  <si>
    <r>
      <t>Now the Reynold's number can be found. Re = D * G</t>
    </r>
    <r>
      <rPr>
        <vertAlign val="subscript"/>
        <sz val="11"/>
        <rFont val="Times New Roman"/>
        <family val="1"/>
      </rPr>
      <t>t</t>
    </r>
    <r>
      <rPr>
        <sz val="11"/>
        <rFont val="Times New Roman"/>
        <family val="1"/>
      </rPr>
      <t xml:space="preserve"> / μ</t>
    </r>
  </si>
  <si>
    <r>
      <t>ft</t>
    </r>
    <r>
      <rPr>
        <vertAlign val="superscript"/>
        <sz val="11"/>
        <rFont val="Times New Roman"/>
        <family val="1"/>
      </rPr>
      <t>2</t>
    </r>
    <r>
      <rPr>
        <sz val="11"/>
        <rFont val="Times New Roman"/>
        <family val="1"/>
      </rPr>
      <t>/in</t>
    </r>
    <r>
      <rPr>
        <vertAlign val="superscript"/>
        <sz val="11"/>
        <rFont val="Times New Roman"/>
        <family val="1"/>
      </rPr>
      <t>2</t>
    </r>
  </si>
  <si>
    <r>
      <t>s</t>
    </r>
    <r>
      <rPr>
        <vertAlign val="subscript"/>
        <sz val="11"/>
        <rFont val="Times New Roman"/>
        <family val="1"/>
      </rPr>
      <t>avg</t>
    </r>
  </si>
  <si>
    <r>
      <t>C</t>
    </r>
    <r>
      <rPr>
        <vertAlign val="subscript"/>
        <sz val="11"/>
        <rFont val="Times New Roman"/>
        <family val="1"/>
      </rPr>
      <t>1</t>
    </r>
  </si>
  <si>
    <r>
      <t>L</t>
    </r>
    <r>
      <rPr>
        <vertAlign val="subscript"/>
        <sz val="11"/>
        <rFont val="Times New Roman"/>
        <family val="1"/>
      </rPr>
      <t>0</t>
    </r>
  </si>
  <si>
    <r>
      <t>Y</t>
    </r>
    <r>
      <rPr>
        <vertAlign val="subscript"/>
        <sz val="11"/>
        <rFont val="Times New Roman"/>
        <family val="1"/>
      </rPr>
      <t>1</t>
    </r>
  </si>
  <si>
    <t>Now the stripping factor can be found. ST = K * V / L</t>
  </si>
  <si>
    <t>Now various values of Es, the efficiency, can be calculated assuming multiple values of m.</t>
  </si>
  <si>
    <t>Example 19-1</t>
  </si>
  <si>
    <t>Application of 19-1</t>
  </si>
  <si>
    <t>Maximum iso-butane content</t>
  </si>
  <si>
    <t>To find the amount of iso-butane in the overhead with the above specified maximum percentage.</t>
  </si>
  <si>
    <t>To find the propane in the overhead with the above specified recovery:</t>
  </si>
  <si>
    <t>Example 19-2</t>
  </si>
  <si>
    <t>This will calculate a material balance for the following components, given the information below.</t>
  </si>
  <si>
    <t>times Rmin</t>
  </si>
  <si>
    <r>
      <t xml:space="preserve">Values of </t>
    </r>
    <r>
      <rPr>
        <sz val="11"/>
        <rFont val="Arial"/>
        <family val="2"/>
      </rPr>
      <t>θ</t>
    </r>
  </si>
  <si>
    <t xml:space="preserve">This will find the number of theoretical trays, the minimum reflux ratio, and the actual number of trays for the below specified reflux ratio. This is only applicable with this system of components, with the feed at its bubble point, and with air cooling. </t>
  </si>
  <si>
    <r>
      <t>K</t>
    </r>
    <r>
      <rPr>
        <vertAlign val="subscript"/>
        <sz val="11"/>
        <rFont val="Times New Roman"/>
        <family val="1"/>
      </rPr>
      <t>LK</t>
    </r>
    <r>
      <rPr>
        <sz val="11"/>
        <rFont val="Times New Roman"/>
        <family val="1"/>
      </rPr>
      <t xml:space="preserve"> = .93 = β * .45</t>
    </r>
    <r>
      <rPr>
        <vertAlign val="superscript"/>
        <sz val="11"/>
        <rFont val="Times New Roman"/>
        <family val="1"/>
      </rPr>
      <t>b</t>
    </r>
  </si>
  <si>
    <r>
      <t>K</t>
    </r>
    <r>
      <rPr>
        <vertAlign val="subscript"/>
        <sz val="11"/>
        <rFont val="Times New Roman"/>
        <family val="1"/>
      </rPr>
      <t>LK</t>
    </r>
    <r>
      <rPr>
        <sz val="11"/>
        <rFont val="Times New Roman"/>
        <family val="1"/>
      </rPr>
      <t xml:space="preserve"> = 2.3 = β * 1.4</t>
    </r>
    <r>
      <rPr>
        <vertAlign val="superscript"/>
        <sz val="11"/>
        <rFont val="Times New Roman"/>
        <family val="1"/>
      </rPr>
      <t>b</t>
    </r>
  </si>
  <si>
    <t>This finds the diameter of a depropanizer with the following specifications using three methods.</t>
  </si>
  <si>
    <r>
      <t>Using D</t>
    </r>
    <r>
      <rPr>
        <vertAlign val="subscript"/>
        <sz val="11"/>
        <rFont val="Times New Roman"/>
        <family val="1"/>
      </rPr>
      <t>t</t>
    </r>
    <r>
      <rPr>
        <sz val="11"/>
        <rFont val="Times New Roman"/>
        <family val="1"/>
      </rPr>
      <t xml:space="preserve"> from the nomograph method for a one pass tray (9.25 ft) and a two pass tray (7.1 ft)</t>
    </r>
  </si>
  <si>
    <r>
      <t>V</t>
    </r>
    <r>
      <rPr>
        <vertAlign val="subscript"/>
        <sz val="11"/>
        <rFont val="Times New Roman"/>
        <family val="1"/>
      </rPr>
      <t xml:space="preserve">load </t>
    </r>
  </si>
  <si>
    <r>
      <t>V</t>
    </r>
    <r>
      <rPr>
        <vertAlign val="subscript"/>
        <sz val="11"/>
        <rFont val="Times New Roman"/>
        <family val="1"/>
      </rPr>
      <t>load</t>
    </r>
    <r>
      <rPr>
        <sz val="11"/>
        <rFont val="Times New Roman"/>
        <family val="1"/>
      </rPr>
      <t xml:space="preserve"> </t>
    </r>
  </si>
  <si>
    <r>
      <t>VD</t>
    </r>
    <r>
      <rPr>
        <vertAlign val="subscript"/>
        <sz val="11"/>
        <rFont val="Times New Roman"/>
        <family val="1"/>
      </rPr>
      <t>dsg</t>
    </r>
  </si>
  <si>
    <r>
      <t>H</t>
    </r>
    <r>
      <rPr>
        <vertAlign val="subscript"/>
        <sz val="11"/>
        <rFont val="Times New Roman"/>
        <family val="1"/>
      </rPr>
      <t>2</t>
    </r>
    <r>
      <rPr>
        <sz val="11"/>
        <rFont val="Times New Roman"/>
        <family val="1"/>
      </rPr>
      <t>S</t>
    </r>
  </si>
  <si>
    <r>
      <t>H</t>
    </r>
    <r>
      <rPr>
        <vertAlign val="subscript"/>
        <sz val="11"/>
        <rFont val="Times New Roman"/>
        <family val="1"/>
      </rPr>
      <t>2</t>
    </r>
    <r>
      <rPr>
        <sz val="11"/>
        <rFont val="Times New Roman"/>
        <family val="1"/>
      </rPr>
      <t>O</t>
    </r>
  </si>
  <si>
    <r>
      <t>The fraction of H</t>
    </r>
    <r>
      <rPr>
        <vertAlign val="subscript"/>
        <sz val="11"/>
        <rFont val="Times New Roman"/>
        <family val="1"/>
      </rPr>
      <t>2</t>
    </r>
    <r>
      <rPr>
        <sz val="11"/>
        <rFont val="Times New Roman"/>
        <family val="1"/>
      </rPr>
      <t>S stripped can be found by dividing the H</t>
    </r>
    <r>
      <rPr>
        <vertAlign val="subscript"/>
        <sz val="11"/>
        <rFont val="Times New Roman"/>
        <family val="1"/>
      </rPr>
      <t>2</t>
    </r>
    <r>
      <rPr>
        <sz val="11"/>
        <rFont val="Times New Roman"/>
        <family val="1"/>
      </rPr>
      <t>S in the overhead by the H</t>
    </r>
    <r>
      <rPr>
        <vertAlign val="subscript"/>
        <sz val="11"/>
        <rFont val="Times New Roman"/>
        <family val="1"/>
      </rPr>
      <t>2</t>
    </r>
    <r>
      <rPr>
        <sz val="11"/>
        <rFont val="Times New Roman"/>
        <family val="1"/>
      </rPr>
      <t>S in the feed.</t>
    </r>
  </si>
  <si>
    <r>
      <t>Fraction H</t>
    </r>
    <r>
      <rPr>
        <vertAlign val="subscript"/>
        <sz val="11"/>
        <rFont val="Times New Roman"/>
        <family val="1"/>
      </rPr>
      <t>2</t>
    </r>
    <r>
      <rPr>
        <sz val="11"/>
        <rFont val="Times New Roman"/>
        <family val="1"/>
      </rPr>
      <t>S Stripped</t>
    </r>
  </si>
  <si>
    <r>
      <t>Fraction of H</t>
    </r>
    <r>
      <rPr>
        <vertAlign val="subscript"/>
        <sz val="11"/>
        <rFont val="Times New Roman"/>
        <family val="1"/>
      </rPr>
      <t>2</t>
    </r>
    <r>
      <rPr>
        <sz val="11"/>
        <rFont val="Times New Roman"/>
        <family val="1"/>
      </rPr>
      <t>O in overhead</t>
    </r>
  </si>
  <si>
    <r>
      <t>Partial pressure of H</t>
    </r>
    <r>
      <rPr>
        <vertAlign val="subscript"/>
        <sz val="11"/>
        <rFont val="Times New Roman"/>
        <family val="1"/>
      </rPr>
      <t>2</t>
    </r>
    <r>
      <rPr>
        <sz val="11"/>
        <rFont val="Times New Roman"/>
        <family val="1"/>
      </rPr>
      <t>O = fraction of H</t>
    </r>
    <r>
      <rPr>
        <vertAlign val="subscript"/>
        <sz val="11"/>
        <rFont val="Times New Roman"/>
        <family val="1"/>
      </rPr>
      <t>2</t>
    </r>
    <r>
      <rPr>
        <sz val="11"/>
        <rFont val="Times New Roman"/>
        <family val="1"/>
      </rPr>
      <t>O * pressure</t>
    </r>
  </si>
  <si>
    <r>
      <t>Now that the temperature is known, the K value for H</t>
    </r>
    <r>
      <rPr>
        <vertAlign val="subscript"/>
        <sz val="11"/>
        <rFont val="Times New Roman"/>
        <family val="1"/>
      </rPr>
      <t>2</t>
    </r>
    <r>
      <rPr>
        <sz val="11"/>
        <rFont val="Times New Roman"/>
        <family val="1"/>
      </rPr>
      <t>S can be obtained.  K = H / P where H is Henry's Law Constant and P is the pressure.</t>
    </r>
  </si>
  <si>
    <r>
      <t>At 229 °F, the Henry's constant was interpolated and found to be 2.05 10</t>
    </r>
    <r>
      <rPr>
        <vertAlign val="superscript"/>
        <sz val="11"/>
        <rFont val="Times New Roman"/>
        <family val="1"/>
      </rPr>
      <t>4</t>
    </r>
    <r>
      <rPr>
        <sz val="11"/>
        <rFont val="Times New Roman"/>
        <family val="1"/>
      </rPr>
      <t>.</t>
    </r>
  </si>
  <si>
    <r>
      <t>In order to get the required H</t>
    </r>
    <r>
      <rPr>
        <vertAlign val="subscript"/>
        <sz val="11"/>
        <rFont val="Times New Roman"/>
        <family val="1"/>
      </rPr>
      <t>2</t>
    </r>
    <r>
      <rPr>
        <sz val="11"/>
        <rFont val="Times New Roman"/>
        <family val="1"/>
      </rPr>
      <t>S removal fraction, 2 theoretical trays are needed.</t>
    </r>
  </si>
  <si>
    <t>User-entered data is in BOLD RED.</t>
  </si>
  <si>
    <t>Linearly interpolating:</t>
  </si>
  <si>
    <t>intercept</t>
  </si>
  <si>
    <r>
      <t xml:space="preserve">This is the value of </t>
    </r>
    <r>
      <rPr>
        <sz val="11"/>
        <rFont val="Arial"/>
        <family val="2"/>
      </rPr>
      <t>θ</t>
    </r>
    <r>
      <rPr>
        <sz val="11"/>
        <rFont val="Times New Roman"/>
        <family val="1"/>
      </rPr>
      <t>.</t>
    </r>
  </si>
  <si>
    <t>This will find the tray efficiency of a column.</t>
  </si>
  <si>
    <t>User-entered data is in BOLD RED</t>
  </si>
  <si>
    <t>An average temperature of the column is needed.</t>
  </si>
  <si>
    <r>
      <t>T</t>
    </r>
    <r>
      <rPr>
        <vertAlign val="subscript"/>
        <sz val="11"/>
        <rFont val="Times New Roman"/>
        <family val="1"/>
      </rPr>
      <t>top</t>
    </r>
  </si>
  <si>
    <r>
      <t>T</t>
    </r>
    <r>
      <rPr>
        <vertAlign val="subscript"/>
        <sz val="11"/>
        <rFont val="Times New Roman"/>
        <family val="1"/>
      </rPr>
      <t>bottom</t>
    </r>
  </si>
  <si>
    <r>
      <t>T</t>
    </r>
    <r>
      <rPr>
        <vertAlign val="subscript"/>
        <sz val="11"/>
        <rFont val="Times New Roman"/>
        <family val="1"/>
      </rPr>
      <t>avg</t>
    </r>
  </si>
  <si>
    <r>
      <t>Use the specified tower spacing and (p</t>
    </r>
    <r>
      <rPr>
        <b/>
        <vertAlign val="subscript"/>
        <sz val="11"/>
        <color indexed="16"/>
        <rFont val="Times New Roman"/>
        <family val="1"/>
      </rPr>
      <t>V</t>
    </r>
    <r>
      <rPr>
        <b/>
        <sz val="11"/>
        <color indexed="16"/>
        <rFont val="Times New Roman"/>
        <family val="1"/>
      </rPr>
      <t xml:space="preserve"> - p</t>
    </r>
    <r>
      <rPr>
        <b/>
        <vertAlign val="subscript"/>
        <sz val="11"/>
        <color indexed="16"/>
        <rFont val="Times New Roman"/>
        <family val="1"/>
      </rPr>
      <t>L</t>
    </r>
    <r>
      <rPr>
        <b/>
        <sz val="11"/>
        <color indexed="16"/>
        <rFont val="Times New Roman"/>
        <family val="1"/>
      </rPr>
      <t>) to find VD</t>
    </r>
    <r>
      <rPr>
        <b/>
        <vertAlign val="superscript"/>
        <sz val="11"/>
        <color indexed="16"/>
        <rFont val="Times New Roman"/>
        <family val="1"/>
      </rPr>
      <t>*</t>
    </r>
    <r>
      <rPr>
        <b/>
        <vertAlign val="subscript"/>
        <sz val="11"/>
        <color indexed="16"/>
        <rFont val="Times New Roman"/>
        <family val="1"/>
      </rPr>
      <t>dsg</t>
    </r>
    <r>
      <rPr>
        <b/>
        <sz val="11"/>
        <color indexed="16"/>
        <rFont val="Times New Roman"/>
        <family val="1"/>
      </rPr>
      <t xml:space="preserve"> from Figure 19.16 and input it below.</t>
    </r>
  </si>
  <si>
    <r>
      <t xml:space="preserve">Using </t>
    </r>
    <r>
      <rPr>
        <b/>
        <sz val="11"/>
        <color indexed="16"/>
        <rFont val="Arial"/>
        <family val="2"/>
      </rPr>
      <t>ρ</t>
    </r>
    <r>
      <rPr>
        <b/>
        <vertAlign val="subscript"/>
        <sz val="11"/>
        <color indexed="16"/>
        <rFont val="Times New Roman"/>
        <family val="1"/>
      </rPr>
      <t>V</t>
    </r>
    <r>
      <rPr>
        <b/>
        <sz val="11"/>
        <color indexed="16"/>
        <rFont val="Times New Roman"/>
        <family val="1"/>
      </rPr>
      <t xml:space="preserve"> and the specified tower spacing, input CAF</t>
    </r>
    <r>
      <rPr>
        <b/>
        <vertAlign val="subscript"/>
        <sz val="11"/>
        <color indexed="16"/>
        <rFont val="Times New Roman"/>
        <family val="1"/>
      </rPr>
      <t>0</t>
    </r>
    <r>
      <rPr>
        <b/>
        <sz val="11"/>
        <color indexed="16"/>
        <rFont val="Times New Roman"/>
        <family val="1"/>
      </rPr>
      <t xml:space="preserve"> below from Figure 19.17.</t>
    </r>
  </si>
  <si>
    <t>At the average temperature, find the viscosity and the relative volatilityof the key component and enter them below.</t>
  </si>
  <si>
    <t>Use Figure 19.18 with the above product and find the tray efficiency. Enter it below.</t>
  </si>
  <si>
    <t>Now enter the number of theoretical trays in the column below. The number of actual trays will be calculated.</t>
  </si>
  <si>
    <r>
      <t>N</t>
    </r>
    <r>
      <rPr>
        <vertAlign val="subscript"/>
        <sz val="10"/>
        <rFont val="Arial"/>
        <family val="2"/>
      </rPr>
      <t>theoretical trays</t>
    </r>
  </si>
  <si>
    <r>
      <t>N</t>
    </r>
    <r>
      <rPr>
        <vertAlign val="subscript"/>
        <sz val="11"/>
        <rFont val="Times New Roman"/>
        <family val="1"/>
      </rPr>
      <t>trays</t>
    </r>
  </si>
  <si>
    <r>
      <t>N</t>
    </r>
    <r>
      <rPr>
        <vertAlign val="subscript"/>
        <sz val="11"/>
        <rFont val="Times New Roman"/>
        <family val="1"/>
      </rPr>
      <t>trays</t>
    </r>
    <r>
      <rPr>
        <sz val="11"/>
        <rFont val="Times New Roman"/>
        <family val="1"/>
      </rPr>
      <t xml:space="preserve"> = (theoretical trays - 1) / efficiency</t>
    </r>
  </si>
  <si>
    <t>Example 19-3</t>
  </si>
  <si>
    <t>Example 19-4</t>
  </si>
  <si>
    <t>Example 19-5</t>
  </si>
  <si>
    <t>This will find the diameter of a packed tower.</t>
  </si>
  <si>
    <r>
      <t>Using Figure 19.25, find the packing factor (F</t>
    </r>
    <r>
      <rPr>
        <b/>
        <vertAlign val="subscript"/>
        <sz val="11"/>
        <color indexed="16"/>
        <rFont val="Times New Roman"/>
        <family val="1"/>
      </rPr>
      <t>p</t>
    </r>
    <r>
      <rPr>
        <b/>
        <sz val="11"/>
        <color indexed="16"/>
        <rFont val="Times New Roman"/>
        <family val="1"/>
      </rPr>
      <t>) for the type of packing in the column.</t>
    </r>
  </si>
  <si>
    <r>
      <t>Using the above value on the horizontal axis, go to Figure 19.26 and enter the vertical axis value below.</t>
    </r>
    <r>
      <rPr>
        <sz val="11"/>
        <rFont val="Times New Roman"/>
        <family val="1"/>
      </rPr>
      <t xml:space="preserve"> The left axis is equal to a large equation that includes Gp, which can be solved for. </t>
    </r>
  </si>
  <si>
    <t>horizontal axis of Figure 19.26</t>
  </si>
  <si>
    <t>Round this up to the nearest foot.</t>
  </si>
  <si>
    <t>lb vapor produced/h</t>
  </si>
  <si>
    <t>:1 recirculation ratio</t>
  </si>
  <si>
    <r>
      <t xml:space="preserve">An energy balance should be calculated. </t>
    </r>
    <r>
      <rPr>
        <b/>
        <sz val="11"/>
        <color indexed="16"/>
        <rFont val="Times New Roman"/>
        <family val="1"/>
      </rPr>
      <t>Using thermodynamic data, enter the values below.</t>
    </r>
  </si>
  <si>
    <t>This will find the optimum heat exchanger tube length for a vertical thermosyphon that uses saturated steam at 125 psi as an energy source.</t>
  </si>
  <si>
    <t xml:space="preserve">Enthalpy of bottoms vapor at specified T, P </t>
  </si>
  <si>
    <t>Isothermal Boiling Point:</t>
  </si>
  <si>
    <t>Column Pressure:</t>
  </si>
  <si>
    <r>
      <t>°</t>
    </r>
    <r>
      <rPr>
        <sz val="11"/>
        <rFont val="Times New Roman"/>
        <family val="1"/>
      </rPr>
      <t>F</t>
    </r>
  </si>
  <si>
    <t>The energy needed to make specified mass flowrate of vapor:</t>
  </si>
  <si>
    <t>Enter a length of tube such that the pressure difference is positive.</t>
  </si>
  <si>
    <t>Example 19.17</t>
  </si>
  <si>
    <t>K values can be found from the equilibrium data in Chapter 25, using the average absorber conditions. Enter them below.</t>
  </si>
  <si>
    <t>% of propane removed</t>
  </si>
  <si>
    <t>theoretical plates</t>
  </si>
  <si>
    <t>F, average temperature</t>
  </si>
  <si>
    <t>psig, average pressure</t>
  </si>
  <si>
    <t>This will find the oil recirculation rate and the composition of the residue gas for an absorber, assuming the lean oil comes in completely stripped.</t>
  </si>
  <si>
    <t>Using Figure 19.51, A can be found using the specified efficiency for propane absorption and the specified trays.Enter A below.</t>
  </si>
  <si>
    <t xml:space="preserve"> Using Figure 19.51 amd the above A values, the absorption efficiencies can be determined for each component. Enter them below.</t>
  </si>
  <si>
    <t>Example 19-8</t>
  </si>
  <si>
    <r>
      <t>This will calculate the number of theoretical stages needed to strip H</t>
    </r>
    <r>
      <rPr>
        <vertAlign val="subscript"/>
        <sz val="11"/>
        <rFont val="Times New Roman"/>
        <family val="1"/>
      </rPr>
      <t>2</t>
    </r>
    <r>
      <rPr>
        <sz val="11"/>
        <rFont val="Times New Roman"/>
        <family val="1"/>
      </rPr>
      <t>S from sour water.</t>
    </r>
  </si>
  <si>
    <t>inlet</t>
  </si>
  <si>
    <t>outlet</t>
  </si>
  <si>
    <t>ppmw</t>
  </si>
  <si>
    <t>lb steam produced per gallon feed</t>
  </si>
  <si>
    <t>Using the steam tables from Chapter 24, estimate the temperature of the top and enter it below.</t>
  </si>
  <si>
    <t>slope</t>
  </si>
  <si>
    <t>psia</t>
  </si>
  <si>
    <t>operating pressure</t>
  </si>
  <si>
    <r>
      <t>Check to make sure that T</t>
    </r>
    <r>
      <rPr>
        <b/>
        <vertAlign val="subscript"/>
        <sz val="11"/>
        <color indexed="16"/>
        <rFont val="Times New Roman"/>
        <family val="1"/>
      </rPr>
      <t>top</t>
    </r>
    <r>
      <rPr>
        <b/>
        <sz val="11"/>
        <color indexed="16"/>
        <rFont val="Times New Roman"/>
        <family val="1"/>
      </rPr>
      <t xml:space="preserve"> is within the range of the above table. If it is not, the K value is extrapolated and may not be accurate.</t>
    </r>
  </si>
  <si>
    <r>
      <t>S</t>
    </r>
    <r>
      <rPr>
        <vertAlign val="subscript"/>
        <sz val="11"/>
        <rFont val="Times New Roman"/>
        <family val="1"/>
      </rPr>
      <t>T</t>
    </r>
  </si>
  <si>
    <r>
      <t>E</t>
    </r>
    <r>
      <rPr>
        <vertAlign val="subscript"/>
        <sz val="11"/>
        <rFont val="Times New Roman"/>
        <family val="1"/>
      </rPr>
      <t>s</t>
    </r>
  </si>
  <si>
    <t>Required fraction</t>
  </si>
  <si>
    <t>Compare the required fraction of H2S stripped to the Es in the above table to find how many theoretical trays are needed.</t>
  </si>
  <si>
    <t>Example 19-6</t>
  </si>
  <si>
    <r>
      <t>S</t>
    </r>
    <r>
      <rPr>
        <vertAlign val="subscript"/>
        <sz val="11"/>
        <rFont val="Times New Roman"/>
        <family val="1"/>
      </rPr>
      <t>F</t>
    </r>
    <r>
      <rPr>
        <sz val="11"/>
        <rFont val="Times New Roman"/>
        <family val="1"/>
      </rPr>
      <t xml:space="preserve"> = (X</t>
    </r>
    <r>
      <rPr>
        <vertAlign val="subscript"/>
        <sz val="11"/>
        <rFont val="Times New Roman"/>
        <family val="1"/>
      </rPr>
      <t>D</t>
    </r>
    <r>
      <rPr>
        <sz val="11"/>
        <rFont val="Times New Roman"/>
        <family val="1"/>
      </rPr>
      <t xml:space="preserve"> / X</t>
    </r>
    <r>
      <rPr>
        <vertAlign val="subscript"/>
        <sz val="11"/>
        <rFont val="Times New Roman"/>
        <family val="1"/>
      </rPr>
      <t>B</t>
    </r>
    <r>
      <rPr>
        <sz val="11"/>
        <rFont val="Times New Roman"/>
        <family val="1"/>
      </rPr>
      <t>)</t>
    </r>
    <r>
      <rPr>
        <vertAlign val="subscript"/>
        <sz val="11"/>
        <rFont val="Times New Roman"/>
        <family val="1"/>
      </rPr>
      <t>LK</t>
    </r>
    <r>
      <rPr>
        <sz val="11"/>
        <rFont val="Times New Roman"/>
        <family val="1"/>
      </rPr>
      <t xml:space="preserve"> * (X</t>
    </r>
    <r>
      <rPr>
        <vertAlign val="subscript"/>
        <sz val="11"/>
        <rFont val="Times New Roman"/>
        <family val="1"/>
      </rPr>
      <t>B</t>
    </r>
    <r>
      <rPr>
        <sz val="11"/>
        <rFont val="Times New Roman"/>
        <family val="1"/>
      </rPr>
      <t xml:space="preserve"> / X</t>
    </r>
    <r>
      <rPr>
        <vertAlign val="subscript"/>
        <sz val="11"/>
        <rFont val="Times New Roman"/>
        <family val="1"/>
      </rPr>
      <t>D</t>
    </r>
    <r>
      <rPr>
        <sz val="11"/>
        <rFont val="Times New Roman"/>
        <family val="1"/>
      </rPr>
      <t>)</t>
    </r>
    <r>
      <rPr>
        <vertAlign val="subscript"/>
        <sz val="11"/>
        <rFont val="Times New Roman"/>
        <family val="1"/>
      </rPr>
      <t>HK</t>
    </r>
  </si>
  <si>
    <t>Using the pressure found from the bubble point calculation, find the bubble point temperature. With this temperature and pressue, find K values from Section 25 and enter them below.</t>
  </si>
  <si>
    <t>T</t>
  </si>
  <si>
    <t>Perform a bubble point calculation using 120 F to find the pressure. With this temperature and pressure, find K values from Section 25 and enter them below.</t>
  </si>
  <si>
    <r>
      <t>S</t>
    </r>
    <r>
      <rPr>
        <vertAlign val="subscript"/>
        <sz val="11"/>
        <rFont val="Times New Roman"/>
        <family val="1"/>
      </rPr>
      <t>m</t>
    </r>
    <r>
      <rPr>
        <sz val="11"/>
        <rFont val="Times New Roman"/>
        <family val="1"/>
      </rPr>
      <t>/S</t>
    </r>
  </si>
  <si>
    <r>
      <t>Use the above values in Figure 19.7 to find S</t>
    </r>
    <r>
      <rPr>
        <b/>
        <vertAlign val="subscript"/>
        <sz val="11"/>
        <color indexed="16"/>
        <rFont val="Times New Roman"/>
        <family val="1"/>
      </rPr>
      <t>m</t>
    </r>
    <r>
      <rPr>
        <b/>
        <sz val="11"/>
        <color indexed="16"/>
        <rFont val="Times New Roman"/>
        <family val="1"/>
      </rPr>
      <t>/S and enter it below.</t>
    </r>
  </si>
  <si>
    <t>θ=15.8</t>
  </si>
  <si>
    <t>From the table, θ is between 11 and 10. Using linear interpolation,θ was found to be 15.9.</t>
  </si>
  <si>
    <r>
      <t xml:space="preserve">Enter values of </t>
    </r>
    <r>
      <rPr>
        <b/>
        <sz val="11"/>
        <color indexed="16"/>
        <rFont val="Arial"/>
        <family val="2"/>
      </rPr>
      <t>θ</t>
    </r>
    <r>
      <rPr>
        <sz val="11"/>
        <color indexed="16"/>
        <rFont val="Times New Roman"/>
        <family val="1"/>
      </rPr>
      <t xml:space="preserve"> such that they are </t>
    </r>
    <r>
      <rPr>
        <b/>
        <sz val="11"/>
        <color indexed="16"/>
        <rFont val="Times New Roman"/>
        <family val="1"/>
      </rPr>
      <t>consecutive</t>
    </r>
    <r>
      <rPr>
        <sz val="11"/>
        <color indexed="16"/>
        <rFont val="Times New Roman"/>
        <family val="1"/>
      </rPr>
      <t xml:space="preserve"> and there is a negative number in </t>
    </r>
    <r>
      <rPr>
        <b/>
        <sz val="11"/>
        <color indexed="17"/>
        <rFont val="Times New Roman"/>
        <family val="1"/>
      </rPr>
      <t>green</t>
    </r>
    <r>
      <rPr>
        <sz val="11"/>
        <color indexed="16"/>
        <rFont val="Times New Roman"/>
        <family val="1"/>
      </rPr>
      <t xml:space="preserve"> and a positive number in </t>
    </r>
    <r>
      <rPr>
        <b/>
        <sz val="11"/>
        <color indexed="18"/>
        <rFont val="Times New Roman"/>
        <family val="1"/>
      </rPr>
      <t>blue</t>
    </r>
    <r>
      <rPr>
        <sz val="11"/>
        <color indexed="16"/>
        <rFont val="Times New Roman"/>
        <family val="1"/>
      </rPr>
      <t>.</t>
    </r>
  </si>
  <si>
    <t>This number needs to be rounded up to the nearest tray.</t>
  </si>
  <si>
    <r>
      <t>v</t>
    </r>
    <r>
      <rPr>
        <vertAlign val="subscript"/>
        <sz val="11"/>
        <rFont val="Times New Roman"/>
        <family val="1"/>
      </rPr>
      <t>i</t>
    </r>
  </si>
  <si>
    <r>
      <t>V</t>
    </r>
    <r>
      <rPr>
        <vertAlign val="subscript"/>
        <sz val="11"/>
        <rFont val="Times New Roman"/>
        <family val="1"/>
      </rPr>
      <t>1</t>
    </r>
  </si>
  <si>
    <r>
      <t>V</t>
    </r>
    <r>
      <rPr>
        <vertAlign val="subscript"/>
        <sz val="11"/>
        <rFont val="Times New Roman"/>
        <family val="1"/>
      </rPr>
      <t>max</t>
    </r>
  </si>
  <si>
    <r>
      <t>V</t>
    </r>
    <r>
      <rPr>
        <vertAlign val="subscript"/>
        <sz val="11"/>
        <rFont val="Times New Roman"/>
        <family val="1"/>
      </rPr>
      <t>load</t>
    </r>
  </si>
  <si>
    <r>
      <t>V</t>
    </r>
    <r>
      <rPr>
        <vertAlign val="subscript"/>
        <sz val="11"/>
        <rFont val="Times New Roman"/>
        <family val="1"/>
      </rPr>
      <t>0</t>
    </r>
  </si>
  <si>
    <r>
      <t>X</t>
    </r>
    <r>
      <rPr>
        <vertAlign val="subscript"/>
        <sz val="11"/>
        <rFont val="Times New Roman"/>
        <family val="1"/>
      </rPr>
      <t>m+1</t>
    </r>
  </si>
  <si>
    <r>
      <t>x</t>
    </r>
    <r>
      <rPr>
        <vertAlign val="subscript"/>
        <sz val="11"/>
        <rFont val="Times New Roman"/>
        <family val="1"/>
      </rPr>
      <t>1</t>
    </r>
  </si>
  <si>
    <r>
      <t>X</t>
    </r>
    <r>
      <rPr>
        <vertAlign val="subscript"/>
        <sz val="11"/>
        <rFont val="Times New Roman"/>
        <family val="1"/>
      </rPr>
      <t>0</t>
    </r>
  </si>
  <si>
    <r>
      <t>Y</t>
    </r>
    <r>
      <rPr>
        <vertAlign val="subscript"/>
        <sz val="11"/>
        <rFont val="Times New Roman"/>
        <family val="1"/>
      </rPr>
      <t>n+1</t>
    </r>
  </si>
  <si>
    <r>
      <t>Y</t>
    </r>
    <r>
      <rPr>
        <vertAlign val="subscript"/>
        <sz val="11"/>
        <rFont val="Times New Roman"/>
        <family val="1"/>
      </rPr>
      <t>0</t>
    </r>
  </si>
  <si>
    <r>
      <t>a'</t>
    </r>
    <r>
      <rPr>
        <vertAlign val="subscript"/>
        <sz val="11"/>
        <rFont val="Times New Roman"/>
        <family val="1"/>
      </rPr>
      <t>t</t>
    </r>
  </si>
  <si>
    <r>
      <t>A</t>
    </r>
    <r>
      <rPr>
        <vertAlign val="subscript"/>
        <sz val="11"/>
        <rFont val="Times New Roman"/>
        <family val="1"/>
      </rPr>
      <t>c</t>
    </r>
  </si>
  <si>
    <r>
      <t>A</t>
    </r>
    <r>
      <rPr>
        <vertAlign val="subscript"/>
        <sz val="11"/>
        <rFont val="Times New Roman"/>
        <family val="1"/>
      </rPr>
      <t>t</t>
    </r>
  </si>
  <si>
    <r>
      <t>E</t>
    </r>
    <r>
      <rPr>
        <vertAlign val="subscript"/>
        <sz val="11"/>
        <rFont val="Times New Roman"/>
        <family val="1"/>
      </rPr>
      <t>a</t>
    </r>
  </si>
  <si>
    <r>
      <t>g</t>
    </r>
    <r>
      <rPr>
        <vertAlign val="subscript"/>
        <sz val="11"/>
        <rFont val="Times New Roman"/>
        <family val="1"/>
      </rPr>
      <t>c</t>
    </r>
  </si>
  <si>
    <r>
      <t>G</t>
    </r>
    <r>
      <rPr>
        <vertAlign val="subscript"/>
        <sz val="11"/>
        <rFont val="Times New Roman"/>
        <family val="1"/>
      </rPr>
      <t>p</t>
    </r>
  </si>
  <si>
    <r>
      <t>L</t>
    </r>
    <r>
      <rPr>
        <vertAlign val="subscript"/>
        <sz val="11"/>
        <rFont val="Times New Roman"/>
        <family val="1"/>
      </rPr>
      <t>p</t>
    </r>
  </si>
  <si>
    <r>
      <t>L</t>
    </r>
    <r>
      <rPr>
        <vertAlign val="subscript"/>
        <sz val="11"/>
        <rFont val="Times New Roman"/>
        <family val="1"/>
      </rPr>
      <t>t</t>
    </r>
  </si>
  <si>
    <r>
      <t>L</t>
    </r>
    <r>
      <rPr>
        <vertAlign val="subscript"/>
        <sz val="11"/>
        <rFont val="Times New Roman"/>
        <family val="1"/>
      </rPr>
      <t>m+1</t>
    </r>
  </si>
  <si>
    <r>
      <t>N</t>
    </r>
    <r>
      <rPr>
        <vertAlign val="subscript"/>
        <sz val="11"/>
        <rFont val="Times New Roman"/>
        <family val="1"/>
      </rPr>
      <t>m</t>
    </r>
  </si>
  <si>
    <r>
      <t>Q</t>
    </r>
    <r>
      <rPr>
        <vertAlign val="subscript"/>
        <sz val="11"/>
        <rFont val="Times New Roman"/>
        <family val="1"/>
      </rPr>
      <t>c</t>
    </r>
  </si>
  <si>
    <r>
      <t xml:space="preserve">IMPORTANT: Do not enter values of </t>
    </r>
    <r>
      <rPr>
        <b/>
        <sz val="11"/>
        <color indexed="16"/>
        <rFont val="Arial"/>
        <family val="2"/>
      </rPr>
      <t>θ</t>
    </r>
    <r>
      <rPr>
        <b/>
        <sz val="11"/>
        <color indexed="16"/>
        <rFont val="Times New Roman"/>
        <family val="1"/>
      </rPr>
      <t xml:space="preserve"> that are equal to any of the average relative volatilities because this will give a false solution.</t>
    </r>
  </si>
  <si>
    <t>This is the area that the heat exchanger must provide. Using the specification for the surface area and assuming a length, the number of tubes can be found. I'll start using 16 ft, 12 ft, and 10 ft long tubes.</t>
  </si>
  <si>
    <t>With the Reynold's Number above, the friction factor can be found from a Moody Plot. Enter it below.</t>
  </si>
  <si>
    <t xml:space="preserve">Because propane is the light key, all the ethane in the feed will appear in the overhead. </t>
  </si>
  <si>
    <t>of the total</t>
  </si>
  <si>
    <t xml:space="preserve">The remainder of the materials in the overhead will make up </t>
  </si>
  <si>
    <t>*</t>
  </si>
  <si>
    <t xml:space="preserve">C3 in overhead = </t>
  </si>
  <si>
    <t>/</t>
  </si>
  <si>
    <t>Total moles in overhead =</t>
  </si>
  <si>
    <t>Propane purity in overhead</t>
  </si>
  <si>
    <t xml:space="preserve">* </t>
  </si>
  <si>
    <t xml:space="preserve">iC4 in overhead = </t>
  </si>
  <si>
    <t>C3 in bottoms=</t>
  </si>
  <si>
    <t>iC4 in bottoms =</t>
  </si>
  <si>
    <t>+</t>
  </si>
  <si>
    <t>)    /</t>
  </si>
  <si>
    <t>moles in overhead = (</t>
  </si>
  <si>
    <r>
      <t>α = K</t>
    </r>
    <r>
      <rPr>
        <vertAlign val="subscript"/>
        <sz val="11"/>
        <rFont val="Times New Roman"/>
        <family val="1"/>
      </rPr>
      <t>C3</t>
    </r>
    <r>
      <rPr>
        <sz val="11"/>
        <rFont val="Times New Roman"/>
        <family val="1"/>
      </rPr>
      <t xml:space="preserve"> / K</t>
    </r>
    <r>
      <rPr>
        <vertAlign val="subscript"/>
        <sz val="11"/>
        <rFont val="Times New Roman"/>
        <family val="1"/>
      </rPr>
      <t>iC4</t>
    </r>
  </si>
  <si>
    <r>
      <t>α = K</t>
    </r>
    <r>
      <rPr>
        <vertAlign val="subscript"/>
        <sz val="11"/>
        <rFont val="Times New Roman"/>
        <family val="1"/>
      </rPr>
      <t>C3</t>
    </r>
    <r>
      <rPr>
        <sz val="11"/>
        <rFont val="Times New Roman"/>
        <family val="1"/>
      </rPr>
      <t xml:space="preserve"> / K</t>
    </r>
    <r>
      <rPr>
        <vertAlign val="subscript"/>
        <sz val="11"/>
        <rFont val="Times New Roman"/>
        <family val="1"/>
      </rPr>
      <t xml:space="preserve">iC4 </t>
    </r>
    <r>
      <rPr>
        <sz val="11"/>
        <rFont val="Times New Roman"/>
        <family val="1"/>
      </rPr>
      <t xml:space="preserve">      =</t>
    </r>
  </si>
  <si>
    <t>=</t>
  </si>
  <si>
    <t xml:space="preserve">  =     </t>
  </si>
  <si>
    <r>
      <t>S</t>
    </r>
    <r>
      <rPr>
        <vertAlign val="subscript"/>
        <sz val="11"/>
        <rFont val="Times New Roman"/>
        <family val="1"/>
      </rPr>
      <t>m</t>
    </r>
    <r>
      <rPr>
        <sz val="11"/>
        <rFont val="Times New Roman"/>
        <family val="1"/>
      </rPr>
      <t xml:space="preserve"> = log S</t>
    </r>
    <r>
      <rPr>
        <vertAlign val="subscript"/>
        <sz val="11"/>
        <rFont val="Times New Roman"/>
        <family val="1"/>
      </rPr>
      <t>F</t>
    </r>
    <r>
      <rPr>
        <sz val="11"/>
        <rFont val="Times New Roman"/>
        <family val="1"/>
      </rPr>
      <t xml:space="preserve"> / log α</t>
    </r>
    <r>
      <rPr>
        <vertAlign val="subscript"/>
        <sz val="11"/>
        <rFont val="Times New Roman"/>
        <family val="1"/>
      </rPr>
      <t>AVG</t>
    </r>
  </si>
  <si>
    <r>
      <t>S</t>
    </r>
    <r>
      <rPr>
        <vertAlign val="subscript"/>
        <sz val="11"/>
        <rFont val="Times New Roman"/>
        <family val="1"/>
      </rPr>
      <t>m</t>
    </r>
  </si>
  <si>
    <r>
      <t>K</t>
    </r>
    <r>
      <rPr>
        <vertAlign val="subscript"/>
        <sz val="11"/>
        <rFont val="Times New Roman"/>
        <family val="1"/>
      </rPr>
      <t>LK</t>
    </r>
    <r>
      <rPr>
        <sz val="11"/>
        <rFont val="Times New Roman"/>
        <family val="1"/>
      </rPr>
      <t xml:space="preserve"> = </t>
    </r>
  </si>
  <si>
    <r>
      <t>= β * .45</t>
    </r>
    <r>
      <rPr>
        <vertAlign val="superscript"/>
        <sz val="11"/>
        <rFont val="Times New Roman"/>
        <family val="1"/>
      </rPr>
      <t>b</t>
    </r>
  </si>
  <si>
    <r>
      <t>= β * 1.4</t>
    </r>
    <r>
      <rPr>
        <vertAlign val="superscript"/>
        <sz val="11"/>
        <rFont val="Times New Roman"/>
        <family val="1"/>
      </rPr>
      <t>b</t>
    </r>
  </si>
  <si>
    <t>trays (with relative volatility correction)</t>
  </si>
  <si>
    <t>trays (without relative volatility correction)</t>
  </si>
  <si>
    <t>Check to make sure that the relative volatility correction does not make a large difference, as that is how the spreadsheet is setup.</t>
  </si>
  <si>
    <t xml:space="preserve">R = </t>
  </si>
  <si>
    <r>
      <t>R</t>
    </r>
    <r>
      <rPr>
        <vertAlign val="subscript"/>
        <sz val="11"/>
        <rFont val="Times New Roman"/>
        <family val="1"/>
      </rPr>
      <t>m</t>
    </r>
  </si>
  <si>
    <r>
      <t>Now the theoretical trays at 1.3 R</t>
    </r>
    <r>
      <rPr>
        <vertAlign val="subscript"/>
        <sz val="11"/>
        <rFont val="Times New Roman"/>
        <family val="1"/>
      </rPr>
      <t>m</t>
    </r>
    <r>
      <rPr>
        <sz val="11"/>
        <rFont val="Times New Roman"/>
        <family val="1"/>
      </rPr>
      <t xml:space="preserve"> can be calculated.</t>
    </r>
  </si>
  <si>
    <r>
      <t>VD</t>
    </r>
    <r>
      <rPr>
        <vertAlign val="subscript"/>
        <sz val="11"/>
        <rFont val="Times New Roman"/>
        <family val="1"/>
      </rPr>
      <t>dsg</t>
    </r>
    <r>
      <rPr>
        <sz val="11"/>
        <rFont val="Times New Roman"/>
        <family val="1"/>
      </rPr>
      <t xml:space="preserve"> = </t>
    </r>
  </si>
  <si>
    <t xml:space="preserve">CAF = </t>
  </si>
  <si>
    <t xml:space="preserve">FPL =  9 * </t>
  </si>
  <si>
    <t>/      1</t>
  </si>
  <si>
    <t>for a one pass tray</t>
  </si>
  <si>
    <t>/      2</t>
  </si>
  <si>
    <t>for a two pass tray</t>
  </si>
  <si>
    <t>)    /     2</t>
  </si>
  <si>
    <r>
      <t>T</t>
    </r>
    <r>
      <rPr>
        <vertAlign val="subscript"/>
        <sz val="11"/>
        <rFont val="Times New Roman"/>
        <family val="1"/>
      </rPr>
      <t>avg</t>
    </r>
    <r>
      <rPr>
        <sz val="11"/>
        <rFont val="Times New Roman"/>
        <family val="1"/>
      </rPr>
      <t xml:space="preserve"> =  (</t>
    </r>
  </si>
  <si>
    <t xml:space="preserve">product = </t>
  </si>
  <si>
    <r>
      <t>N</t>
    </r>
    <r>
      <rPr>
        <vertAlign val="subscript"/>
        <sz val="11"/>
        <rFont val="Times New Roman"/>
        <family val="1"/>
      </rPr>
      <t>trays</t>
    </r>
    <r>
      <rPr>
        <sz val="11"/>
        <rFont val="Times New Roman"/>
        <family val="1"/>
      </rPr>
      <t xml:space="preserve"> = (</t>
    </r>
  </si>
  <si>
    <t xml:space="preserve">-     1 )   / </t>
  </si>
  <si>
    <r>
      <t>M</t>
    </r>
    <r>
      <rPr>
        <vertAlign val="subscript"/>
        <sz val="11"/>
        <rFont val="Times New Roman"/>
        <family val="1"/>
      </rPr>
      <t>L</t>
    </r>
    <r>
      <rPr>
        <sz val="11"/>
        <rFont val="Times New Roman"/>
        <family val="1"/>
      </rPr>
      <t xml:space="preserve"> =( </t>
    </r>
  </si>
  <si>
    <r>
      <t xml:space="preserve"> gpm * 18.8 lb/ft</t>
    </r>
    <r>
      <rPr>
        <vertAlign val="superscript"/>
        <sz val="11"/>
        <rFont val="Times New Roman"/>
        <family val="1"/>
      </rPr>
      <t>3</t>
    </r>
    <r>
      <rPr>
        <sz val="11"/>
        <rFont val="Times New Roman"/>
        <family val="1"/>
      </rPr>
      <t xml:space="preserve"> * 60 min/h )/ (7.48 gal/ft</t>
    </r>
    <r>
      <rPr>
        <vertAlign val="superscript"/>
        <sz val="11"/>
        <rFont val="Times New Roman"/>
        <family val="1"/>
      </rPr>
      <t>3</t>
    </r>
    <r>
      <rPr>
        <sz val="11"/>
        <rFont val="Times New Roman"/>
        <family val="1"/>
      </rPr>
      <t>)</t>
    </r>
  </si>
  <si>
    <r>
      <t>M</t>
    </r>
    <r>
      <rPr>
        <vertAlign val="subscript"/>
        <sz val="11"/>
        <rFont val="Times New Roman"/>
        <family val="1"/>
      </rPr>
      <t>G</t>
    </r>
    <r>
      <rPr>
        <sz val="11"/>
        <rFont val="Times New Roman"/>
        <family val="1"/>
      </rPr>
      <t xml:space="preserve"> =</t>
    </r>
  </si>
  <si>
    <r>
      <t>ft</t>
    </r>
    <r>
      <rPr>
        <vertAlign val="superscript"/>
        <sz val="11"/>
        <rFont val="Times New Roman"/>
        <family val="1"/>
      </rPr>
      <t>3</t>
    </r>
    <r>
      <rPr>
        <sz val="11"/>
        <rFont val="Times New Roman"/>
        <family val="1"/>
      </rPr>
      <t xml:space="preserve">/h      * </t>
    </r>
  </si>
  <si>
    <t xml:space="preserve">Q = </t>
  </si>
  <si>
    <t xml:space="preserve">m= </t>
  </si>
  <si>
    <t>Enthalpy of bottoms liquid at specified T, P</t>
  </si>
  <si>
    <t>A =</t>
  </si>
  <si>
    <t>/  12000</t>
  </si>
  <si>
    <r>
      <t>v</t>
    </r>
    <r>
      <rPr>
        <vertAlign val="subscript"/>
        <sz val="11"/>
        <rFont val="Times New Roman"/>
        <family val="1"/>
      </rPr>
      <t>v</t>
    </r>
    <r>
      <rPr>
        <sz val="11"/>
        <rFont val="Times New Roman"/>
        <family val="1"/>
      </rPr>
      <t xml:space="preserve"> = 1 / ρ</t>
    </r>
    <r>
      <rPr>
        <vertAlign val="subscript"/>
        <sz val="11"/>
        <rFont val="Times New Roman"/>
        <family val="1"/>
      </rPr>
      <t xml:space="preserve">v  </t>
    </r>
    <r>
      <rPr>
        <sz val="11"/>
        <rFont val="Times New Roman"/>
        <family val="1"/>
      </rPr>
      <t xml:space="preserve"> =    1 /</t>
    </r>
  </si>
  <si>
    <r>
      <t>v</t>
    </r>
    <r>
      <rPr>
        <vertAlign val="subscript"/>
        <sz val="11"/>
        <rFont val="Times New Roman"/>
        <family val="1"/>
      </rPr>
      <t>L</t>
    </r>
    <r>
      <rPr>
        <sz val="11"/>
        <rFont val="Times New Roman"/>
        <family val="1"/>
      </rPr>
      <t xml:space="preserve"> = 1 / ρ</t>
    </r>
    <r>
      <rPr>
        <vertAlign val="subscript"/>
        <sz val="11"/>
        <rFont val="Times New Roman"/>
        <family val="1"/>
      </rPr>
      <t>L</t>
    </r>
    <r>
      <rPr>
        <sz val="11"/>
        <rFont val="Times New Roman"/>
        <family val="1"/>
      </rPr>
      <t xml:space="preserve">   =  1  /</t>
    </r>
  </si>
  <si>
    <r>
      <t>V</t>
    </r>
    <r>
      <rPr>
        <vertAlign val="subscript"/>
        <sz val="11"/>
        <rFont val="Times New Roman"/>
        <family val="1"/>
      </rPr>
      <t>L</t>
    </r>
    <r>
      <rPr>
        <sz val="11"/>
        <rFont val="Times New Roman"/>
        <family val="1"/>
      </rPr>
      <t xml:space="preserve"> = </t>
    </r>
  </si>
  <si>
    <t xml:space="preserve">*      </t>
  </si>
  <si>
    <r>
      <t>V</t>
    </r>
    <r>
      <rPr>
        <vertAlign val="subscript"/>
        <sz val="11"/>
        <rFont val="Times New Roman"/>
        <family val="1"/>
      </rPr>
      <t>v</t>
    </r>
    <r>
      <rPr>
        <sz val="11"/>
        <rFont val="Times New Roman"/>
        <family val="1"/>
      </rPr>
      <t xml:space="preserve"> = </t>
    </r>
  </si>
  <si>
    <t xml:space="preserve">*       </t>
  </si>
  <si>
    <r>
      <t>v</t>
    </r>
    <r>
      <rPr>
        <vertAlign val="subscript"/>
        <sz val="11"/>
        <rFont val="Times New Roman"/>
        <family val="1"/>
      </rPr>
      <t>o</t>
    </r>
    <r>
      <rPr>
        <sz val="11"/>
        <rFont val="Times New Roman"/>
        <family val="1"/>
      </rPr>
      <t xml:space="preserve"> =</t>
    </r>
  </si>
  <si>
    <t xml:space="preserve"> / </t>
  </si>
  <si>
    <r>
      <t>a</t>
    </r>
    <r>
      <rPr>
        <vertAlign val="subscript"/>
        <sz val="11"/>
        <rFont val="Times New Roman"/>
        <family val="1"/>
      </rPr>
      <t xml:space="preserve">t </t>
    </r>
    <r>
      <rPr>
        <sz val="11"/>
        <rFont val="Times New Roman"/>
        <family val="1"/>
      </rPr>
      <t>=</t>
    </r>
  </si>
  <si>
    <r>
      <t>G</t>
    </r>
    <r>
      <rPr>
        <vertAlign val="subscript"/>
        <sz val="11"/>
        <rFont val="Times New Roman"/>
        <family val="1"/>
      </rPr>
      <t xml:space="preserve">t    </t>
    </r>
    <r>
      <rPr>
        <sz val="11"/>
        <rFont val="Times New Roman"/>
        <family val="1"/>
      </rPr>
      <t>=</t>
    </r>
  </si>
  <si>
    <t xml:space="preserve">Re = </t>
  </si>
  <si>
    <t xml:space="preserve">The average specific gravity can be found. </t>
  </si>
  <si>
    <t>The average specific gravity can be found.</t>
  </si>
  <si>
    <t>Using Bernoulli's equation the pressure drop can be found.</t>
  </si>
  <si>
    <r>
      <t>s</t>
    </r>
    <r>
      <rPr>
        <vertAlign val="subscript"/>
        <sz val="11"/>
        <rFont val="Times New Roman"/>
        <family val="1"/>
      </rPr>
      <t xml:space="preserve">avg  </t>
    </r>
    <r>
      <rPr>
        <sz val="11"/>
        <rFont val="Times New Roman"/>
        <family val="1"/>
      </rPr>
      <t>=   (</t>
    </r>
  </si>
  <si>
    <t xml:space="preserve"> + </t>
  </si>
  <si>
    <t>Total ΔP =</t>
  </si>
  <si>
    <t>*    62.4    /      144</t>
  </si>
  <si>
    <t>difference</t>
  </si>
  <si>
    <t>difference =</t>
  </si>
  <si>
    <r>
      <t>Partial pressure of H</t>
    </r>
    <r>
      <rPr>
        <vertAlign val="subscript"/>
        <sz val="11"/>
        <rFont val="Times New Roman"/>
        <family val="1"/>
      </rPr>
      <t>2</t>
    </r>
    <r>
      <rPr>
        <sz val="11"/>
        <rFont val="Times New Roman"/>
        <family val="1"/>
      </rPr>
      <t xml:space="preserve">O = </t>
    </r>
  </si>
  <si>
    <r>
      <t>Fraction of H</t>
    </r>
    <r>
      <rPr>
        <vertAlign val="subscript"/>
        <sz val="11"/>
        <rFont val="Times New Roman"/>
        <family val="1"/>
      </rPr>
      <t>2</t>
    </r>
    <r>
      <rPr>
        <sz val="11"/>
        <rFont val="Times New Roman"/>
        <family val="1"/>
      </rPr>
      <t>O in overhead =</t>
    </r>
  </si>
  <si>
    <r>
      <t>Fraction H</t>
    </r>
    <r>
      <rPr>
        <vertAlign val="subscript"/>
        <sz val="11"/>
        <rFont val="Times New Roman"/>
        <family val="1"/>
      </rPr>
      <t>2</t>
    </r>
    <r>
      <rPr>
        <sz val="11"/>
        <rFont val="Times New Roman"/>
        <family val="1"/>
      </rPr>
      <t>S Stripped =</t>
    </r>
  </si>
  <si>
    <t xml:space="preserve">K = </t>
  </si>
  <si>
    <r>
      <t>S</t>
    </r>
    <r>
      <rPr>
        <vertAlign val="subscript"/>
        <sz val="11"/>
        <rFont val="Times New Roman"/>
        <family val="1"/>
      </rPr>
      <t xml:space="preserve">T  </t>
    </r>
    <r>
      <rPr>
        <sz val="11"/>
        <rFont val="Times New Roman"/>
        <family val="1"/>
      </rPr>
      <t>=</t>
    </r>
  </si>
  <si>
    <t>Now the stripping factor can be found.</t>
  </si>
  <si>
    <r>
      <t>Now that the temperature is known, the K value for H</t>
    </r>
    <r>
      <rPr>
        <vertAlign val="subscript"/>
        <sz val="11"/>
        <rFont val="Times New Roman"/>
        <family val="1"/>
      </rPr>
      <t>2</t>
    </r>
    <r>
      <rPr>
        <sz val="11"/>
        <rFont val="Times New Roman"/>
        <family val="1"/>
      </rPr>
      <t>S can be obtained.</t>
    </r>
  </si>
  <si>
    <r>
      <t>H, H</t>
    </r>
    <r>
      <rPr>
        <vertAlign val="subscript"/>
        <sz val="11"/>
        <rFont val="Times New Roman"/>
        <family val="1"/>
      </rPr>
      <t>2</t>
    </r>
    <r>
      <rPr>
        <sz val="11"/>
        <rFont val="Times New Roman"/>
        <family val="1"/>
      </rPr>
      <t>S (psia)</t>
    </r>
  </si>
  <si>
    <r>
      <t>H</t>
    </r>
    <r>
      <rPr>
        <vertAlign val="subscript"/>
        <sz val="11"/>
        <rFont val="Times New Roman"/>
        <family val="1"/>
      </rPr>
      <t>2</t>
    </r>
    <r>
      <rPr>
        <sz val="11"/>
        <rFont val="Times New Roman"/>
        <family val="1"/>
      </rPr>
      <t>S Concentration</t>
    </r>
  </si>
  <si>
    <t>Application of 19-2</t>
  </si>
  <si>
    <t>Application of 19-3</t>
  </si>
  <si>
    <t>Application of 19-4</t>
  </si>
  <si>
    <t>Application  of 19-5</t>
  </si>
  <si>
    <t>Application of 19-6</t>
  </si>
  <si>
    <t>Application of 19.17</t>
  </si>
  <si>
    <t>Application of 19-8</t>
  </si>
  <si>
    <r>
      <t>Y</t>
    </r>
    <r>
      <rPr>
        <vertAlign val="subscript"/>
        <sz val="11"/>
        <rFont val="Times New Roman"/>
        <family val="1"/>
      </rPr>
      <t>i</t>
    </r>
  </si>
  <si>
    <r>
      <t>% C</t>
    </r>
    <r>
      <rPr>
        <vertAlign val="subscript"/>
        <sz val="11"/>
        <rFont val="Times New Roman"/>
        <family val="1"/>
      </rPr>
      <t>3</t>
    </r>
    <r>
      <rPr>
        <sz val="11"/>
        <rFont val="Times New Roman"/>
        <family val="1"/>
      </rPr>
      <t xml:space="preserve"> in the overhead (relative to feed)</t>
    </r>
  </si>
  <si>
    <r>
      <t>% iC</t>
    </r>
    <r>
      <rPr>
        <vertAlign val="subscript"/>
        <sz val="11"/>
        <rFont val="Times New Roman"/>
        <family val="1"/>
      </rPr>
      <t>4</t>
    </r>
    <r>
      <rPr>
        <sz val="11"/>
        <rFont val="Times New Roman"/>
        <family val="1"/>
      </rPr>
      <t xml:space="preserve"> in overhead</t>
    </r>
  </si>
  <si>
    <r>
      <t xml:space="preserve">Air cooling available (120 </t>
    </r>
    <r>
      <rPr>
        <sz val="11"/>
        <rFont val="Arial"/>
        <family val="2"/>
      </rPr>
      <t>°</t>
    </r>
    <r>
      <rPr>
        <sz val="11"/>
        <rFont val="Times New Roman"/>
        <family val="1"/>
      </rPr>
      <t>F condensing temperature)</t>
    </r>
  </si>
  <si>
    <r>
      <t>mol C</t>
    </r>
    <r>
      <rPr>
        <vertAlign val="subscript"/>
        <sz val="11"/>
        <rFont val="Times New Roman"/>
        <family val="1"/>
      </rPr>
      <t>3</t>
    </r>
    <r>
      <rPr>
        <sz val="11"/>
        <rFont val="Times New Roman"/>
        <family val="1"/>
      </rPr>
      <t>/h</t>
    </r>
  </si>
  <si>
    <r>
      <t>mol C</t>
    </r>
    <r>
      <rPr>
        <vertAlign val="subscript"/>
        <sz val="11"/>
        <rFont val="Times New Roman"/>
        <family val="1"/>
      </rPr>
      <t>2</t>
    </r>
    <r>
      <rPr>
        <sz val="11"/>
        <rFont val="Times New Roman"/>
        <family val="1"/>
      </rPr>
      <t>/h</t>
    </r>
  </si>
  <si>
    <r>
      <t>C</t>
    </r>
    <r>
      <rPr>
        <vertAlign val="subscript"/>
        <sz val="11"/>
        <rFont val="Times New Roman"/>
        <family val="1"/>
      </rPr>
      <t>3</t>
    </r>
    <r>
      <rPr>
        <sz val="11"/>
        <rFont val="Times New Roman"/>
        <family val="1"/>
      </rPr>
      <t xml:space="preserve"> in overhead = </t>
    </r>
  </si>
  <si>
    <r>
      <t>C</t>
    </r>
    <r>
      <rPr>
        <vertAlign val="subscript"/>
        <sz val="11"/>
        <rFont val="Times New Roman"/>
        <family val="1"/>
      </rPr>
      <t>2</t>
    </r>
    <r>
      <rPr>
        <sz val="11"/>
        <rFont val="Times New Roman"/>
        <family val="1"/>
      </rPr>
      <t xml:space="preserve"> in overhead = C</t>
    </r>
    <r>
      <rPr>
        <vertAlign val="subscript"/>
        <sz val="11"/>
        <rFont val="Times New Roman"/>
        <family val="1"/>
      </rPr>
      <t>2</t>
    </r>
    <r>
      <rPr>
        <sz val="11"/>
        <rFont val="Times New Roman"/>
        <family val="1"/>
      </rPr>
      <t xml:space="preserve"> in feed</t>
    </r>
  </si>
  <si>
    <r>
      <t>iC</t>
    </r>
    <r>
      <rPr>
        <vertAlign val="subscript"/>
        <sz val="11"/>
        <rFont val="Times New Roman"/>
        <family val="1"/>
      </rPr>
      <t>4</t>
    </r>
    <r>
      <rPr>
        <sz val="11"/>
        <rFont val="Times New Roman"/>
        <family val="1"/>
      </rPr>
      <t xml:space="preserve"> in overhead = </t>
    </r>
  </si>
  <si>
    <r>
      <t>98% C</t>
    </r>
    <r>
      <rPr>
        <vertAlign val="subscript"/>
        <sz val="11"/>
        <rFont val="Times New Roman"/>
        <family val="1"/>
      </rPr>
      <t>3</t>
    </r>
    <r>
      <rPr>
        <sz val="11"/>
        <rFont val="Times New Roman"/>
        <family val="1"/>
      </rPr>
      <t xml:space="preserve"> in the overhead (relative to feed)</t>
    </r>
  </si>
  <si>
    <r>
      <t>1% iC</t>
    </r>
    <r>
      <rPr>
        <vertAlign val="subscript"/>
        <sz val="11"/>
        <rFont val="Times New Roman"/>
        <family val="1"/>
      </rPr>
      <t>4</t>
    </r>
    <r>
      <rPr>
        <sz val="11"/>
        <rFont val="Times New Roman"/>
        <family val="1"/>
      </rPr>
      <t xml:space="preserve"> in overhead</t>
    </r>
  </si>
  <si>
    <r>
      <t>C</t>
    </r>
    <r>
      <rPr>
        <vertAlign val="subscript"/>
        <sz val="11"/>
        <rFont val="Times New Roman"/>
        <family val="1"/>
      </rPr>
      <t>3</t>
    </r>
    <r>
      <rPr>
        <sz val="11"/>
        <rFont val="Times New Roman"/>
        <family val="1"/>
      </rPr>
      <t xml:space="preserve"> in overhead = .99 * C3 in feed</t>
    </r>
  </si>
  <si>
    <r>
      <t>moles in overhead = (moles C</t>
    </r>
    <r>
      <rPr>
        <vertAlign val="subscript"/>
        <sz val="11"/>
        <rFont val="Times New Roman"/>
        <family val="1"/>
      </rPr>
      <t>2</t>
    </r>
    <r>
      <rPr>
        <sz val="11"/>
        <rFont val="Times New Roman"/>
        <family val="1"/>
      </rPr>
      <t xml:space="preserve"> + moles C</t>
    </r>
    <r>
      <rPr>
        <vertAlign val="subscript"/>
        <sz val="11"/>
        <rFont val="Times New Roman"/>
        <family val="1"/>
      </rPr>
      <t>3</t>
    </r>
    <r>
      <rPr>
        <sz val="11"/>
        <rFont val="Times New Roman"/>
        <family val="1"/>
      </rPr>
      <t>) / .98</t>
    </r>
  </si>
  <si>
    <r>
      <t>C</t>
    </r>
    <r>
      <rPr>
        <vertAlign val="subscript"/>
        <sz val="11"/>
        <rFont val="Times New Roman"/>
        <family val="1"/>
      </rPr>
      <t>4</t>
    </r>
    <r>
      <rPr>
        <sz val="11"/>
        <rFont val="Times New Roman"/>
        <family val="1"/>
      </rPr>
      <t xml:space="preserve"> in overhead = .01 * moles in overhead</t>
    </r>
  </si>
  <si>
    <r>
      <t>S</t>
    </r>
    <r>
      <rPr>
        <vertAlign val="subscript"/>
        <sz val="11"/>
        <rFont val="Times New Roman"/>
        <family val="1"/>
      </rPr>
      <t>m</t>
    </r>
    <r>
      <rPr>
        <sz val="11"/>
        <rFont val="Times New Roman"/>
        <family val="1"/>
      </rPr>
      <t xml:space="preserve"> = log S</t>
    </r>
    <r>
      <rPr>
        <vertAlign val="subscript"/>
        <sz val="11"/>
        <rFont val="Times New Roman"/>
        <family val="1"/>
      </rPr>
      <t>F</t>
    </r>
    <r>
      <rPr>
        <sz val="11"/>
        <rFont val="Times New Roman"/>
        <family val="1"/>
      </rPr>
      <t xml:space="preserve"> / log α</t>
    </r>
    <r>
      <rPr>
        <vertAlign val="subscript"/>
        <sz val="11"/>
        <rFont val="Times New Roman"/>
        <family val="1"/>
      </rPr>
      <t xml:space="preserve">AVG           </t>
    </r>
    <r>
      <rPr>
        <sz val="11"/>
        <rFont val="Times New Roman"/>
        <family val="1"/>
      </rPr>
      <t xml:space="preserve">= log </t>
    </r>
  </si>
  <si>
    <t xml:space="preserve"> /      log</t>
  </si>
  <si>
    <r>
      <t>Now θ can be used in Equation 19-8 to find R</t>
    </r>
    <r>
      <rPr>
        <vertAlign val="subscript"/>
        <sz val="11"/>
        <rFont val="Times New Roman"/>
        <family val="1"/>
      </rPr>
      <t>m</t>
    </r>
    <r>
      <rPr>
        <sz val="11"/>
        <rFont val="Times New Roman"/>
        <family val="1"/>
      </rPr>
      <t>.</t>
    </r>
  </si>
  <si>
    <r>
      <t>R = 1.3 * R</t>
    </r>
    <r>
      <rPr>
        <vertAlign val="subscript"/>
        <sz val="11"/>
        <rFont val="Times New Roman"/>
        <family val="1"/>
      </rPr>
      <t>m</t>
    </r>
  </si>
  <si>
    <r>
      <t>A</t>
    </r>
    <r>
      <rPr>
        <vertAlign val="subscript"/>
        <sz val="11"/>
        <rFont val="Times New Roman"/>
        <family val="1"/>
      </rPr>
      <t>c</t>
    </r>
    <r>
      <rPr>
        <sz val="11"/>
        <rFont val="Times New Roman"/>
        <family val="1"/>
      </rPr>
      <t xml:space="preserve"> = </t>
    </r>
  </si>
  <si>
    <t>must not be greater than 100%</t>
  </si>
  <si>
    <t>must not exceed C3</t>
  </si>
  <si>
    <t>value should be between 1.2 to 1.3</t>
  </si>
  <si>
    <t>must be at least 11% of AAM</t>
  </si>
  <si>
    <t>must be less than Tbottom</t>
  </si>
  <si>
    <t>should be between 0.20 to 0.60 in. H2O/ft packing</t>
  </si>
  <si>
    <t>recirculation ration must be greater than or equal to 4:1</t>
  </si>
  <si>
    <t>must be a positive value</t>
  </si>
  <si>
    <t>must be greater than the total resistance</t>
  </si>
  <si>
    <t>typically between 24.7 to 29.7 psia</t>
  </si>
  <si>
    <t>must not exceed 1</t>
  </si>
  <si>
    <t>must not exceed operating pressure</t>
  </si>
  <si>
    <t>Must be less than 10</t>
  </si>
  <si>
    <t>Must be less than 30</t>
  </si>
  <si>
    <t>Should be less than 10 ft</t>
  </si>
  <si>
    <t>Should be less than 120 in</t>
  </si>
  <si>
    <t>Should be less than 14 ft</t>
  </si>
  <si>
    <t>Should be less than 168 in</t>
  </si>
  <si>
    <r>
      <t xml:space="preserve">Only applicable where </t>
    </r>
    <r>
      <rPr>
        <sz val="11"/>
        <rFont val="Calibri"/>
        <family val="2"/>
      </rPr>
      <t>ρ</t>
    </r>
    <r>
      <rPr>
        <vertAlign val="subscript"/>
        <sz val="9.9"/>
        <rFont val="Times New Roman"/>
        <family val="1"/>
      </rPr>
      <t>v</t>
    </r>
    <r>
      <rPr>
        <sz val="11"/>
        <rFont val="Times New Roman"/>
        <family val="1"/>
      </rPr>
      <t xml:space="preserve"> &lt; 10 lb/ft</t>
    </r>
    <r>
      <rPr>
        <vertAlign val="superscript"/>
        <sz val="11"/>
        <rFont val="Times New Roman"/>
        <family val="1"/>
      </rPr>
      <t>3</t>
    </r>
    <r>
      <rPr>
        <sz val="11"/>
        <rFont val="Times New Roman"/>
        <family val="1"/>
      </rPr>
      <t xml:space="preserve"> and should be &lt; 0.6</t>
    </r>
  </si>
  <si>
    <t>Relative volatility must be less than 10</t>
  </si>
  <si>
    <t>Should be less than 1</t>
  </si>
  <si>
    <t>LIMITS</t>
  </si>
  <si>
    <t>Optimum operating reflux ratio are 1.2 to 1.3 times the minimum reflux ratio</t>
  </si>
  <si>
    <t>Add an extra tray to tray count for each feed tray and side exchanger</t>
  </si>
  <si>
    <t>Pressure drop for packed columns should be 0.20 to 0.60 inches of water per foot of pack depth; 1 inch maximum</t>
  </si>
  <si>
    <t>Exampel 19-2</t>
  </si>
  <si>
    <t>Use flooding factor of 0.82 for most systems</t>
  </si>
  <si>
    <t>Use recirculation ratios 4:1 or greater</t>
  </si>
  <si>
    <t>Use the maximum allowable flux when intially determining reboiler surface area</t>
  </si>
  <si>
    <t>Example 19-7</t>
  </si>
  <si>
    <t>Use average absoprtion factor determined by Kremser and Brown, eqn. 19-28,29</t>
  </si>
  <si>
    <t>Typical operating conditions:</t>
  </si>
  <si>
    <t>10-15 psig</t>
  </si>
  <si>
    <t>Pressure</t>
  </si>
  <si>
    <t>Feed Temp.</t>
  </si>
  <si>
    <t>Bottoms Temp.</t>
  </si>
  <si>
    <t>Reboil Heat</t>
  </si>
  <si>
    <t>1000-2000 Btu/gal</t>
  </si>
  <si>
    <t>Residual H2S</t>
  </si>
  <si>
    <t>0.5-2.0 ppmmw</t>
  </si>
  <si>
    <r>
      <t xml:space="preserve">200-230 </t>
    </r>
    <r>
      <rPr>
        <vertAlign val="superscript"/>
        <sz val="10"/>
        <rFont val="Arial"/>
        <family val="2"/>
      </rPr>
      <t>o</t>
    </r>
    <r>
      <rPr>
        <sz val="10"/>
        <rFont val="Arial"/>
        <family val="2"/>
      </rPr>
      <t>F</t>
    </r>
  </si>
  <si>
    <r>
      <t xml:space="preserve">240-250 </t>
    </r>
    <r>
      <rPr>
        <vertAlign val="superscript"/>
        <sz val="10"/>
        <rFont val="Arial"/>
        <family val="2"/>
      </rPr>
      <t>o</t>
    </r>
    <r>
      <rPr>
        <sz val="10"/>
        <rFont val="Arial"/>
        <family val="2"/>
      </rPr>
      <t>F</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</si>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</sst>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
    <numFmt numFmtId="167" formatCode="0.0000"/>
  </numFmts>
  <fonts count="28" x14ac:knownFonts="1">
    <font>
      <sz val="10"/>
      <name val="Arial"/>
    </font>
    <font>
      <sz val="10"/>
      <name val="Arial"/>
      <family val="2"/>
    </font>
    <font>
      <b/>
      <sz val="10"/>
      <name val="Arial"/>
      <family val="2"/>
    </font>
    <font>
      <sz val="8"/>
      <name val="Arial"/>
      <family val="2"/>
    </font>
    <font>
      <sz val="11"/>
      <name val="Times New Roman"/>
      <family val="1"/>
    </font>
    <font>
      <b/>
      <sz val="11"/>
      <name val="Times New Roman"/>
      <family val="1"/>
    </font>
    <font>
      <vertAlign val="subscript"/>
      <sz val="11"/>
      <name val="Times New Roman"/>
      <family val="1"/>
    </font>
    <font>
      <b/>
      <vertAlign val="subscript"/>
      <sz val="11"/>
      <name val="Times New Roman"/>
      <family val="1"/>
    </font>
    <font>
      <vertAlign val="superscript"/>
      <sz val="11"/>
      <name val="Times New Roman"/>
      <family val="1"/>
    </font>
    <font>
      <sz val="11"/>
      <name val="Arial"/>
      <family val="2"/>
    </font>
    <font>
      <b/>
      <sz val="11"/>
      <color indexed="60"/>
      <name val="Times New Roman"/>
      <family val="1"/>
    </font>
    <font>
      <b/>
      <sz val="11"/>
      <color indexed="17"/>
      <name val="Times New Roman"/>
      <family val="1"/>
    </font>
    <font>
      <b/>
      <sz val="11"/>
      <color indexed="18"/>
      <name val="Times New Roman"/>
      <family val="1"/>
    </font>
    <font>
      <b/>
      <sz val="11"/>
      <color indexed="16"/>
      <name val="Times New Roman"/>
      <family val="1"/>
    </font>
    <font>
      <b/>
      <vertAlign val="subscript"/>
      <sz val="11"/>
      <color indexed="16"/>
      <name val="Times New Roman"/>
      <family val="1"/>
    </font>
    <font>
      <b/>
      <vertAlign val="superscript"/>
      <sz val="11"/>
      <color indexed="16"/>
      <name val="Times New Roman"/>
      <family val="1"/>
    </font>
    <font>
      <b/>
      <sz val="11"/>
      <color indexed="16"/>
      <name val="Arial"/>
      <family val="2"/>
    </font>
    <font>
      <sz val="11"/>
      <color indexed="16"/>
      <name val="Times New Roman"/>
      <family val="1"/>
    </font>
    <font>
      <b/>
      <sz val="10"/>
      <color indexed="16"/>
      <name val="Arial"/>
      <family val="2"/>
    </font>
    <font>
      <vertAlign val="subscript"/>
      <sz val="10"/>
      <name val="Arial"/>
      <family val="2"/>
    </font>
    <font>
      <sz val="10"/>
      <color indexed="47"/>
      <name val="Arial"/>
      <family val="2"/>
    </font>
    <font>
      <sz val="11"/>
      <color indexed="47"/>
      <name val="Times New Roman"/>
      <family val="1"/>
    </font>
    <font>
      <sz val="10"/>
      <name val="Arial"/>
      <family val="2"/>
    </font>
    <font>
      <sz val="11"/>
      <name val="Calibri"/>
      <family val="2"/>
    </font>
    <font>
      <vertAlign val="subscript"/>
      <sz val="9.9"/>
      <name val="Times New Roman"/>
      <family val="1"/>
    </font>
    <font>
      <b/>
      <sz val="14"/>
      <color theme="1"/>
      <name val="Calibri"/>
      <family val="2"/>
      <scheme val="minor"/>
    </font>
    <font>
      <vertAlign val="superscript"/>
      <sz val="10"/>
      <name val="Arial"/>
      <family val="2"/>
    </font>
    <font>
      <sz val="11"/>
      <color theme="5" tint="-0.249977111117893"/>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250">
    <xf numFmtId="0" fontId="0" fillId="0" borderId="0" xfId="0"/>
    <xf numFmtId="0" fontId="4" fillId="0" borderId="0" xfId="0" applyFont="1"/>
    <xf numFmtId="0" fontId="22" fillId="0" borderId="0" xfId="0" applyFont="1"/>
    <xf numFmtId="0" fontId="1" fillId="0" borderId="0" xfId="0" applyFont="1"/>
    <xf numFmtId="0" fontId="25" fillId="0" borderId="0" xfId="0" applyFont="1"/>
    <xf numFmtId="0" fontId="5" fillId="3" borderId="0" xfId="0" applyFont="1" applyFill="1" applyProtection="1"/>
    <xf numFmtId="0" fontId="4" fillId="3" borderId="0" xfId="0" applyFont="1" applyFill="1" applyProtection="1"/>
    <xf numFmtId="0" fontId="0" fillId="0" borderId="0" xfId="0" applyProtection="1"/>
    <xf numFmtId="0" fontId="5" fillId="2" borderId="0" xfId="0" applyFont="1" applyFill="1" applyProtection="1"/>
    <xf numFmtId="0" fontId="4" fillId="2" borderId="0" xfId="0" applyFont="1" applyFill="1" applyProtection="1"/>
    <xf numFmtId="0" fontId="0" fillId="2" borderId="0" xfId="0" applyFill="1" applyProtection="1"/>
    <xf numFmtId="0" fontId="4" fillId="3" borderId="0" xfId="0" applyFont="1" applyFill="1" applyAlignment="1" applyProtection="1">
      <alignment horizontal="left" wrapText="1"/>
    </xf>
    <xf numFmtId="0" fontId="4" fillId="2" borderId="0" xfId="0" applyFont="1" applyFill="1" applyAlignment="1" applyProtection="1">
      <alignment wrapText="1"/>
    </xf>
    <xf numFmtId="0" fontId="18" fillId="2" borderId="0" xfId="0" applyFont="1" applyFill="1" applyProtection="1"/>
    <xf numFmtId="0" fontId="4" fillId="2" borderId="0" xfId="0" applyFont="1" applyFill="1" applyAlignment="1" applyProtection="1"/>
    <xf numFmtId="0" fontId="4" fillId="3" borderId="0" xfId="0" applyFont="1" applyFill="1" applyAlignment="1" applyProtection="1">
      <alignment wrapText="1"/>
    </xf>
    <xf numFmtId="0" fontId="5" fillId="3" borderId="0" xfId="0" applyFont="1" applyFill="1" applyAlignment="1" applyProtection="1">
      <alignment horizontal="center"/>
    </xf>
    <xf numFmtId="0" fontId="5" fillId="3" borderId="0" xfId="0" applyFont="1" applyFill="1" applyAlignment="1" applyProtection="1">
      <alignment horizontal="center" wrapText="1"/>
    </xf>
    <xf numFmtId="0" fontId="5" fillId="2" borderId="0" xfId="0" applyFont="1" applyFill="1" applyAlignment="1" applyProtection="1">
      <alignment horizontal="center"/>
    </xf>
    <xf numFmtId="0" fontId="5" fillId="2" borderId="0" xfId="0" applyFont="1" applyFill="1" applyAlignment="1" applyProtection="1">
      <alignment horizontal="center" wrapText="1"/>
    </xf>
    <xf numFmtId="0" fontId="4" fillId="3" borderId="0" xfId="0" applyFont="1" applyFill="1" applyAlignment="1" applyProtection="1">
      <alignment horizontal="center"/>
    </xf>
    <xf numFmtId="164" fontId="4" fillId="3" borderId="0" xfId="0" applyNumberFormat="1" applyFont="1" applyFill="1" applyAlignment="1" applyProtection="1">
      <alignment wrapText="1"/>
    </xf>
    <xf numFmtId="0" fontId="4" fillId="2" borderId="0" xfId="0" applyFont="1" applyFill="1" applyAlignment="1" applyProtection="1">
      <alignment horizontal="center"/>
    </xf>
    <xf numFmtId="0" fontId="4" fillId="3" borderId="0" xfId="0" applyFont="1" applyFill="1" applyAlignment="1" applyProtection="1">
      <alignment horizontal="center" wrapText="1"/>
    </xf>
    <xf numFmtId="164" fontId="4" fillId="3" borderId="0" xfId="0" applyNumberFormat="1" applyFont="1" applyFill="1" applyProtection="1"/>
    <xf numFmtId="0" fontId="4" fillId="2" borderId="0" xfId="0" applyFont="1" applyFill="1" applyAlignment="1" applyProtection="1">
      <alignment horizontal="center" wrapText="1"/>
    </xf>
    <xf numFmtId="0" fontId="4" fillId="3" borderId="0" xfId="0" applyFont="1" applyFill="1" applyAlignment="1" applyProtection="1"/>
    <xf numFmtId="0" fontId="4" fillId="3" borderId="1" xfId="0" applyFont="1" applyFill="1" applyBorder="1" applyAlignment="1" applyProtection="1">
      <alignment horizontal="center"/>
    </xf>
    <xf numFmtId="164" fontId="4" fillId="3" borderId="1" xfId="0" applyNumberFormat="1" applyFont="1" applyFill="1" applyBorder="1" applyAlignment="1" applyProtection="1">
      <alignment wrapText="1"/>
    </xf>
    <xf numFmtId="0" fontId="4" fillId="2" borderId="1" xfId="0" applyFont="1" applyFill="1" applyBorder="1" applyAlignment="1" applyProtection="1">
      <alignment horizontal="center"/>
    </xf>
    <xf numFmtId="164" fontId="4" fillId="2" borderId="0" xfId="0" applyNumberFormat="1" applyFont="1" applyFill="1" applyProtection="1"/>
    <xf numFmtId="0" fontId="4" fillId="2" borderId="0" xfId="0" applyFont="1" applyFill="1" applyAlignment="1" applyProtection="1">
      <alignment horizontal="left"/>
    </xf>
    <xf numFmtId="164" fontId="4" fillId="2" borderId="0" xfId="0" applyNumberFormat="1" applyFont="1" applyFill="1" applyAlignment="1" applyProtection="1">
      <alignment horizontal="left"/>
    </xf>
    <xf numFmtId="0" fontId="4" fillId="2" borderId="0" xfId="0" applyFont="1" applyFill="1" applyAlignment="1" applyProtection="1">
      <alignment horizontal="left" wrapText="1"/>
    </xf>
    <xf numFmtId="9" fontId="4" fillId="2" borderId="0" xfId="1" applyFont="1" applyFill="1" applyAlignment="1" applyProtection="1">
      <alignment horizontal="left"/>
    </xf>
    <xf numFmtId="0" fontId="4" fillId="2" borderId="0" xfId="0" quotePrefix="1" applyFont="1" applyFill="1" applyProtection="1"/>
    <xf numFmtId="0" fontId="0" fillId="0" borderId="0" xfId="0" applyBorder="1" applyProtection="1"/>
    <xf numFmtId="164" fontId="4" fillId="2" borderId="0" xfId="0" applyNumberFormat="1" applyFont="1" applyFill="1" applyAlignment="1" applyProtection="1">
      <alignment horizontal="center"/>
    </xf>
    <xf numFmtId="0" fontId="5" fillId="3" borderId="4" xfId="0" applyFont="1" applyFill="1" applyBorder="1" applyAlignment="1" applyProtection="1">
      <alignment horizontal="center"/>
    </xf>
    <xf numFmtId="0" fontId="5" fillId="3" borderId="14" xfId="0" applyFont="1" applyFill="1" applyBorder="1" applyAlignment="1" applyProtection="1">
      <alignment horizontal="center"/>
    </xf>
    <xf numFmtId="0" fontId="5" fillId="3" borderId="5"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14" xfId="0" applyFont="1" applyFill="1" applyBorder="1" applyAlignment="1" applyProtection="1">
      <alignment horizontal="center"/>
    </xf>
    <xf numFmtId="0" fontId="5" fillId="2" borderId="5" xfId="0" applyFont="1" applyFill="1" applyBorder="1" applyAlignment="1" applyProtection="1">
      <alignment horizontal="center"/>
    </xf>
    <xf numFmtId="0" fontId="5" fillId="3" borderId="2" xfId="0" applyFont="1" applyFill="1" applyBorder="1" applyAlignment="1" applyProtection="1">
      <alignment horizontal="center"/>
    </xf>
    <xf numFmtId="0" fontId="5" fillId="3" borderId="1" xfId="0" applyFont="1" applyFill="1" applyBorder="1" applyAlignment="1" applyProtection="1">
      <alignment horizontal="center"/>
    </xf>
    <xf numFmtId="0" fontId="5" fillId="3" borderId="3" xfId="0" applyFont="1" applyFill="1" applyBorder="1" applyAlignment="1" applyProtection="1">
      <alignment horizontal="center"/>
    </xf>
    <xf numFmtId="0" fontId="5" fillId="2" borderId="6"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 xfId="0" applyFont="1" applyFill="1" applyBorder="1" applyAlignment="1" applyProtection="1">
      <alignment horizontal="center"/>
    </xf>
    <xf numFmtId="0" fontId="5" fillId="2" borderId="7" xfId="0" applyFont="1" applyFill="1" applyBorder="1" applyAlignment="1" applyProtection="1">
      <alignment horizontal="center"/>
    </xf>
    <xf numFmtId="0" fontId="5" fillId="3" borderId="0" xfId="0" applyFont="1" applyFill="1" applyBorder="1" applyAlignment="1" applyProtection="1">
      <alignment horizontal="center"/>
    </xf>
    <xf numFmtId="164" fontId="4" fillId="3" borderId="4" xfId="0" applyNumberFormat="1" applyFont="1" applyFill="1" applyBorder="1" applyAlignment="1" applyProtection="1">
      <alignment wrapText="1"/>
    </xf>
    <xf numFmtId="164" fontId="4" fillId="3" borderId="5" xfId="0" applyNumberFormat="1" applyFont="1" applyFill="1" applyBorder="1" applyProtection="1"/>
    <xf numFmtId="164" fontId="4" fillId="3" borderId="4" xfId="0" applyNumberFormat="1" applyFont="1" applyFill="1" applyBorder="1" applyProtection="1"/>
    <xf numFmtId="164" fontId="4" fillId="2" borderId="4" xfId="0" applyNumberFormat="1" applyFont="1" applyFill="1" applyBorder="1" applyAlignment="1" applyProtection="1">
      <alignment wrapText="1"/>
    </xf>
    <xf numFmtId="164" fontId="4" fillId="2" borderId="5" xfId="0" applyNumberFormat="1" applyFont="1" applyFill="1" applyBorder="1" applyProtection="1"/>
    <xf numFmtId="164" fontId="4" fillId="2" borderId="4" xfId="0" applyNumberFormat="1" applyFont="1" applyFill="1" applyBorder="1" applyProtection="1"/>
    <xf numFmtId="0" fontId="5" fillId="3" borderId="0" xfId="0" applyFont="1" applyFill="1" applyBorder="1" applyAlignment="1" applyProtection="1">
      <alignment horizontal="center" wrapText="1"/>
    </xf>
    <xf numFmtId="164" fontId="4" fillId="3" borderId="6" xfId="0" applyNumberFormat="1" applyFont="1" applyFill="1" applyBorder="1" applyProtection="1"/>
    <xf numFmtId="164" fontId="4" fillId="3" borderId="7" xfId="0" applyNumberFormat="1" applyFont="1" applyFill="1" applyBorder="1" applyProtection="1"/>
    <xf numFmtId="0" fontId="5" fillId="2" borderId="0" xfId="0" applyFont="1" applyFill="1" applyBorder="1" applyAlignment="1" applyProtection="1">
      <alignment horizontal="center" wrapText="1"/>
    </xf>
    <xf numFmtId="164" fontId="4" fillId="2" borderId="6" xfId="0" applyNumberFormat="1" applyFont="1" applyFill="1" applyBorder="1" applyAlignment="1" applyProtection="1">
      <alignment wrapText="1"/>
    </xf>
    <xf numFmtId="164" fontId="4" fillId="2" borderId="7" xfId="0" applyNumberFormat="1" applyFont="1" applyFill="1" applyBorder="1" applyProtection="1"/>
    <xf numFmtId="164" fontId="4" fillId="2" borderId="6" xfId="0" applyNumberFormat="1" applyFont="1" applyFill="1" applyBorder="1" applyProtection="1"/>
    <xf numFmtId="164" fontId="4" fillId="3" borderId="6" xfId="0" applyNumberFormat="1" applyFont="1" applyFill="1" applyBorder="1" applyAlignment="1" applyProtection="1">
      <alignment wrapText="1"/>
    </xf>
    <xf numFmtId="0" fontId="4" fillId="3" borderId="0" xfId="0" applyFont="1" applyFill="1" applyAlignment="1" applyProtection="1">
      <alignment horizontal="right"/>
    </xf>
    <xf numFmtId="0" fontId="4" fillId="2" borderId="6" xfId="0" applyFont="1" applyFill="1" applyBorder="1" applyAlignment="1" applyProtection="1">
      <alignment horizontal="right"/>
    </xf>
    <xf numFmtId="164" fontId="4" fillId="3" borderId="2" xfId="0" applyNumberFormat="1" applyFont="1" applyFill="1" applyBorder="1" applyAlignment="1" applyProtection="1">
      <alignment wrapText="1"/>
    </xf>
    <xf numFmtId="164" fontId="4" fillId="3" borderId="3" xfId="0" applyNumberFormat="1" applyFont="1" applyFill="1" applyBorder="1" applyProtection="1"/>
    <xf numFmtId="0" fontId="4" fillId="3" borderId="1" xfId="0" applyFont="1" applyFill="1" applyBorder="1" applyAlignment="1" applyProtection="1">
      <alignment horizontal="right"/>
    </xf>
    <xf numFmtId="164" fontId="4" fillId="3" borderId="1" xfId="0" applyNumberFormat="1" applyFont="1" applyFill="1" applyBorder="1" applyProtection="1"/>
    <xf numFmtId="164" fontId="4" fillId="3" borderId="2" xfId="0" applyNumberFormat="1" applyFont="1" applyFill="1" applyBorder="1" applyProtection="1"/>
    <xf numFmtId="164" fontId="4" fillId="2" borderId="2" xfId="0" applyNumberFormat="1" applyFont="1" applyFill="1" applyBorder="1" applyAlignment="1" applyProtection="1">
      <alignment wrapText="1"/>
    </xf>
    <xf numFmtId="164" fontId="4" fillId="2" borderId="3" xfId="0" applyNumberFormat="1" applyFont="1" applyFill="1" applyBorder="1" applyProtection="1"/>
    <xf numFmtId="0" fontId="4" fillId="2" borderId="2" xfId="0" applyFont="1" applyFill="1" applyBorder="1" applyAlignment="1" applyProtection="1">
      <alignment horizontal="right"/>
    </xf>
    <xf numFmtId="164" fontId="4" fillId="2" borderId="2" xfId="0" applyNumberFormat="1" applyFont="1" applyFill="1" applyBorder="1" applyProtection="1"/>
    <xf numFmtId="0" fontId="27" fillId="0" borderId="0" xfId="0" applyFont="1" applyProtection="1"/>
    <xf numFmtId="0" fontId="1" fillId="2" borderId="0" xfId="0" applyFont="1" applyFill="1" applyProtection="1"/>
    <xf numFmtId="0" fontId="4" fillId="2" borderId="0" xfId="0" applyNumberFormat="1" applyFont="1" applyFill="1" applyAlignment="1" applyProtection="1">
      <alignment horizontal="left" wrapText="1"/>
    </xf>
    <xf numFmtId="0" fontId="20" fillId="2" borderId="0" xfId="0" applyFont="1" applyFill="1" applyProtection="1"/>
    <xf numFmtId="0" fontId="13" fillId="2" borderId="0" xfId="0" applyFont="1" applyFill="1" applyAlignment="1" applyProtection="1"/>
    <xf numFmtId="0" fontId="13" fillId="2" borderId="0" xfId="0" applyFont="1" applyFill="1" applyProtection="1"/>
    <xf numFmtId="0" fontId="4" fillId="2" borderId="0" xfId="0" applyFont="1" applyFill="1" applyAlignment="1" applyProtection="1">
      <alignment horizontal="right"/>
    </xf>
    <xf numFmtId="2" fontId="4" fillId="2" borderId="0" xfId="0" applyNumberFormat="1" applyFont="1" applyFill="1" applyProtection="1"/>
    <xf numFmtId="0" fontId="4" fillId="3" borderId="1" xfId="0" applyFont="1" applyFill="1" applyBorder="1" applyProtection="1"/>
    <xf numFmtId="2" fontId="4" fillId="2" borderId="1" xfId="0" applyNumberFormat="1" applyFont="1" applyFill="1" applyBorder="1" applyProtection="1"/>
    <xf numFmtId="0" fontId="5" fillId="3" borderId="0" xfId="0" applyFont="1" applyFill="1" applyBorder="1" applyAlignment="1" applyProtection="1">
      <alignment horizontal="center"/>
    </xf>
    <xf numFmtId="0" fontId="5" fillId="2" borderId="0" xfId="0" applyFont="1" applyFill="1" applyBorder="1" applyAlignment="1" applyProtection="1">
      <alignment horizontal="center"/>
    </xf>
    <xf numFmtId="164" fontId="4" fillId="3" borderId="0" xfId="0" applyNumberFormat="1" applyFont="1" applyFill="1" applyBorder="1" applyProtection="1"/>
    <xf numFmtId="164" fontId="4" fillId="2" borderId="0" xfId="0" applyNumberFormat="1" applyFont="1" applyFill="1" applyBorder="1" applyProtection="1"/>
    <xf numFmtId="164" fontId="4" fillId="2" borderId="1" xfId="0" applyNumberFormat="1" applyFont="1" applyFill="1" applyBorder="1" applyProtection="1"/>
    <xf numFmtId="0" fontId="4" fillId="3" borderId="0" xfId="0" applyFont="1" applyFill="1" applyAlignment="1" applyProtection="1">
      <alignment horizontal="left" wrapText="1"/>
    </xf>
    <xf numFmtId="0" fontId="4" fillId="2" borderId="0" xfId="0" applyFont="1" applyFill="1" applyAlignment="1" applyProtection="1">
      <alignment horizontal="left" wrapText="1"/>
    </xf>
    <xf numFmtId="0" fontId="4" fillId="3" borderId="0" xfId="0" applyFont="1" applyFill="1" applyAlignment="1" applyProtection="1">
      <alignment horizontal="left"/>
    </xf>
    <xf numFmtId="0" fontId="13" fillId="2" borderId="0" xfId="0" applyFont="1" applyFill="1" applyAlignment="1" applyProtection="1">
      <alignment horizontal="left" wrapText="1"/>
    </xf>
    <xf numFmtId="0" fontId="4" fillId="3" borderId="0" xfId="0" applyFont="1" applyFill="1" applyAlignment="1" applyProtection="1">
      <alignment horizontal="left"/>
    </xf>
    <xf numFmtId="2" fontId="4" fillId="3" borderId="0" xfId="0" applyNumberFormat="1" applyFont="1" applyFill="1" applyAlignment="1" applyProtection="1">
      <alignment horizontal="right" wrapText="1"/>
    </xf>
    <xf numFmtId="165" fontId="4" fillId="3" borderId="0" xfId="0" applyNumberFormat="1" applyFont="1" applyFill="1" applyAlignment="1" applyProtection="1">
      <alignment horizontal="right" wrapText="1"/>
    </xf>
    <xf numFmtId="165" fontId="4" fillId="2" borderId="0" xfId="0" applyNumberFormat="1" applyFont="1" applyFill="1" applyAlignment="1" applyProtection="1">
      <alignment horizontal="right" wrapText="1"/>
    </xf>
    <xf numFmtId="2" fontId="4" fillId="3" borderId="0" xfId="0" applyNumberFormat="1" applyFont="1" applyFill="1" applyAlignment="1" applyProtection="1">
      <alignment horizontal="left" wrapText="1"/>
    </xf>
    <xf numFmtId="2" fontId="4" fillId="2" borderId="0" xfId="0" applyNumberFormat="1" applyFont="1" applyFill="1" applyAlignment="1" applyProtection="1">
      <alignment horizontal="right" wrapText="1"/>
    </xf>
    <xf numFmtId="2" fontId="4" fillId="2" borderId="0" xfId="0" applyNumberFormat="1" applyFont="1" applyFill="1" applyAlignment="1" applyProtection="1">
      <alignment horizontal="left" wrapText="1"/>
    </xf>
    <xf numFmtId="2" fontId="4" fillId="2" borderId="0" xfId="0" applyNumberFormat="1" applyFont="1" applyFill="1" applyAlignment="1" applyProtection="1">
      <alignment wrapText="1"/>
    </xf>
    <xf numFmtId="0" fontId="4" fillId="2" borderId="0" xfId="0" quotePrefix="1" applyFont="1" applyFill="1" applyAlignment="1" applyProtection="1">
      <alignment horizontal="center" wrapText="1"/>
    </xf>
    <xf numFmtId="0" fontId="9" fillId="2" borderId="0" xfId="0" applyFont="1" applyFill="1" applyProtection="1"/>
    <xf numFmtId="165" fontId="4" fillId="3" borderId="0" xfId="0" applyNumberFormat="1" applyFont="1" applyFill="1" applyProtection="1"/>
    <xf numFmtId="165" fontId="4" fillId="2" borderId="0" xfId="0" applyNumberFormat="1" applyFont="1" applyFill="1" applyProtection="1"/>
    <xf numFmtId="0" fontId="4" fillId="2" borderId="0" xfId="0" quotePrefix="1" applyFont="1" applyFill="1" applyAlignment="1" applyProtection="1">
      <alignment horizontal="center"/>
    </xf>
    <xf numFmtId="0" fontId="4" fillId="2" borderId="0" xfId="0" quotePrefix="1" applyFont="1" applyFill="1" applyAlignment="1" applyProtection="1">
      <alignment horizontal="right"/>
    </xf>
    <xf numFmtId="164" fontId="4" fillId="2" borderId="1" xfId="0" applyNumberFormat="1" applyFont="1" applyFill="1" applyBorder="1" applyAlignment="1" applyProtection="1">
      <alignment horizontal="center"/>
    </xf>
    <xf numFmtId="2" fontId="4" fillId="3" borderId="0" xfId="0" applyNumberFormat="1" applyFont="1" applyFill="1" applyProtection="1"/>
    <xf numFmtId="165" fontId="4" fillId="2" borderId="0" xfId="0" applyNumberFormat="1" applyFont="1" applyFill="1" applyAlignment="1" applyProtection="1">
      <alignment horizontal="center"/>
    </xf>
    <xf numFmtId="0" fontId="4" fillId="3" borderId="8" xfId="0" applyFont="1" applyFill="1" applyBorder="1" applyAlignment="1" applyProtection="1">
      <alignment horizontal="center"/>
    </xf>
    <xf numFmtId="0" fontId="4" fillId="3" borderId="10" xfId="0" applyFont="1" applyFill="1" applyBorder="1" applyAlignment="1" applyProtection="1">
      <alignment horizontal="center"/>
    </xf>
    <xf numFmtId="0" fontId="4" fillId="3" borderId="9" xfId="0" applyFont="1" applyFill="1" applyBorder="1" applyAlignment="1" applyProtection="1">
      <alignment horizontal="center"/>
    </xf>
    <xf numFmtId="0" fontId="4" fillId="3" borderId="0" xfId="0" applyFont="1" applyFill="1" applyBorder="1" applyAlignment="1" applyProtection="1"/>
    <xf numFmtId="0" fontId="4" fillId="3" borderId="0" xfId="0" applyFont="1" applyFill="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12" xfId="0" applyFont="1" applyFill="1" applyBorder="1" applyProtection="1"/>
    <xf numFmtId="0" fontId="4" fillId="3" borderId="0" xfId="0" applyFont="1" applyFill="1" applyBorder="1" applyProtection="1"/>
    <xf numFmtId="165" fontId="4" fillId="3" borderId="1" xfId="0" applyNumberFormat="1" applyFont="1" applyFill="1" applyBorder="1" applyProtection="1"/>
    <xf numFmtId="2" fontId="4" fillId="3" borderId="1" xfId="0" applyNumberFormat="1" applyFont="1" applyFill="1" applyBorder="1" applyProtection="1"/>
    <xf numFmtId="0" fontId="4" fillId="3" borderId="13" xfId="0" applyFont="1" applyFill="1" applyBorder="1" applyProtection="1"/>
    <xf numFmtId="0" fontId="4" fillId="2" borderId="15"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9" xfId="0" applyFont="1" applyFill="1" applyBorder="1" applyAlignment="1" applyProtection="1">
      <alignment horizontal="center"/>
    </xf>
    <xf numFmtId="0" fontId="4" fillId="2" borderId="0" xfId="0" applyFont="1" applyFill="1" applyBorder="1" applyAlignment="1" applyProtection="1"/>
    <xf numFmtId="0" fontId="4" fillId="2" borderId="12"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0" xfId="0" applyFont="1" applyFill="1" applyBorder="1" applyAlignment="1" applyProtection="1">
      <alignment horizontal="center"/>
    </xf>
    <xf numFmtId="0" fontId="0" fillId="0" borderId="0" xfId="0" applyAlignment="1" applyProtection="1">
      <alignment horizontal="center" vertical="center" wrapText="1"/>
    </xf>
    <xf numFmtId="0" fontId="4" fillId="2" borderId="0" xfId="0" applyFont="1" applyFill="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0" fillId="0" borderId="0" xfId="0" applyAlignment="1" applyProtection="1">
      <alignment horizontal="right" vertical="center" wrapText="1"/>
    </xf>
    <xf numFmtId="167" fontId="4" fillId="2" borderId="4" xfId="0" applyNumberFormat="1" applyFont="1" applyFill="1" applyBorder="1" applyProtection="1"/>
    <xf numFmtId="2" fontId="4" fillId="2" borderId="14" xfId="0" applyNumberFormat="1" applyFont="1" applyFill="1" applyBorder="1" applyAlignment="1" applyProtection="1">
      <alignment horizontal="right" wrapText="1"/>
    </xf>
    <xf numFmtId="0" fontId="4" fillId="2" borderId="14" xfId="0" applyFont="1" applyFill="1" applyBorder="1" applyProtection="1"/>
    <xf numFmtId="2" fontId="4" fillId="2" borderId="5" xfId="0" applyNumberFormat="1" applyFont="1" applyFill="1" applyBorder="1" applyAlignment="1" applyProtection="1">
      <alignment horizontal="center"/>
    </xf>
    <xf numFmtId="167" fontId="4" fillId="2" borderId="6" xfId="0" applyNumberFormat="1" applyFont="1" applyFill="1" applyBorder="1" applyProtection="1"/>
    <xf numFmtId="167" fontId="4" fillId="2" borderId="0" xfId="0" applyNumberFormat="1" applyFont="1" applyFill="1" applyBorder="1" applyProtection="1"/>
    <xf numFmtId="167" fontId="4" fillId="2" borderId="7" xfId="0" applyNumberFormat="1" applyFont="1" applyFill="1" applyBorder="1" applyProtection="1"/>
    <xf numFmtId="0" fontId="4" fillId="2" borderId="0" xfId="0" applyFont="1" applyFill="1" applyBorder="1" applyProtection="1"/>
    <xf numFmtId="0" fontId="21" fillId="2" borderId="0" xfId="0" applyFont="1" applyFill="1" applyBorder="1" applyProtection="1"/>
    <xf numFmtId="0" fontId="4" fillId="0" borderId="0" xfId="0" applyFont="1" applyFill="1" applyBorder="1" applyProtection="1"/>
    <xf numFmtId="2" fontId="4" fillId="2" borderId="0" xfId="0" applyNumberFormat="1" applyFont="1" applyFill="1" applyBorder="1" applyAlignment="1" applyProtection="1">
      <alignment horizontal="right" wrapText="1"/>
    </xf>
    <xf numFmtId="2" fontId="4" fillId="2" borderId="7" xfId="0" applyNumberFormat="1" applyFont="1" applyFill="1" applyBorder="1" applyAlignment="1" applyProtection="1">
      <alignment horizontal="center"/>
    </xf>
    <xf numFmtId="167" fontId="4" fillId="2" borderId="2" xfId="0" applyNumberFormat="1" applyFont="1" applyFill="1" applyBorder="1" applyProtection="1"/>
    <xf numFmtId="165" fontId="4" fillId="2" borderId="1" xfId="0" applyNumberFormat="1" applyFont="1" applyFill="1" applyBorder="1" applyAlignment="1" applyProtection="1">
      <alignment horizontal="right" wrapText="1"/>
    </xf>
    <xf numFmtId="0" fontId="4" fillId="2" borderId="1" xfId="0" applyFont="1" applyFill="1" applyBorder="1" applyProtection="1"/>
    <xf numFmtId="2" fontId="4" fillId="2" borderId="3" xfId="0" applyNumberFormat="1" applyFont="1" applyFill="1" applyBorder="1" applyAlignment="1" applyProtection="1">
      <alignment horizontal="center"/>
    </xf>
    <xf numFmtId="167" fontId="4" fillId="2" borderId="1" xfId="0" applyNumberFormat="1" applyFont="1" applyFill="1" applyBorder="1" applyProtection="1"/>
    <xf numFmtId="167" fontId="4" fillId="2" borderId="3" xfId="0" applyNumberFormat="1" applyFont="1" applyFill="1" applyBorder="1" applyProtection="1"/>
    <xf numFmtId="0" fontId="11" fillId="2" borderId="0" xfId="0" applyFont="1" applyFill="1" applyProtection="1"/>
    <xf numFmtId="167" fontId="12" fillId="2" borderId="0" xfId="0" applyNumberFormat="1" applyFont="1" applyFill="1" applyProtection="1"/>
    <xf numFmtId="0" fontId="12" fillId="2" borderId="0" xfId="0" applyFont="1" applyFill="1" applyProtection="1"/>
    <xf numFmtId="0" fontId="20" fillId="2" borderId="0" xfId="0" applyFont="1" applyFill="1" applyBorder="1" applyProtection="1"/>
    <xf numFmtId="165" fontId="5" fillId="3" borderId="0" xfId="0" applyNumberFormat="1" applyFont="1" applyFill="1" applyProtection="1"/>
    <xf numFmtId="165" fontId="4" fillId="2" borderId="0" xfId="0" applyNumberFormat="1" applyFont="1" applyFill="1" applyAlignment="1" applyProtection="1">
      <alignment horizontal="left"/>
    </xf>
    <xf numFmtId="0" fontId="0" fillId="0" borderId="0" xfId="0" applyFill="1" applyProtection="1"/>
    <xf numFmtId="165" fontId="0" fillId="0" borderId="0" xfId="0" applyNumberFormat="1" applyFill="1" applyProtection="1"/>
    <xf numFmtId="2" fontId="4" fillId="0" borderId="0" xfId="0" applyNumberFormat="1" applyFont="1" applyFill="1" applyProtection="1"/>
    <xf numFmtId="0" fontId="4" fillId="0" borderId="0" xfId="0" applyFont="1" applyFill="1" applyProtection="1"/>
    <xf numFmtId="165" fontId="5" fillId="2" borderId="0" xfId="0" applyNumberFormat="1" applyFont="1" applyFill="1" applyProtection="1"/>
    <xf numFmtId="1" fontId="4" fillId="3" borderId="0" xfId="0" applyNumberFormat="1" applyFont="1" applyFill="1" applyProtection="1"/>
    <xf numFmtId="1" fontId="4" fillId="2" borderId="0" xfId="0" applyNumberFormat="1" applyFont="1" applyFill="1" applyProtection="1"/>
    <xf numFmtId="0" fontId="4" fillId="2" borderId="0" xfId="0" applyFont="1" applyFill="1" applyAlignment="1" applyProtection="1">
      <alignment horizontal="center"/>
    </xf>
    <xf numFmtId="2" fontId="4" fillId="2" borderId="0" xfId="0" applyNumberFormat="1" applyFont="1" applyFill="1" applyAlignment="1" applyProtection="1">
      <alignment horizontal="center"/>
    </xf>
    <xf numFmtId="0" fontId="10" fillId="2" borderId="0" xfId="0" applyFont="1" applyFill="1" applyProtection="1"/>
    <xf numFmtId="0" fontId="4" fillId="3" borderId="0" xfId="0" applyFont="1" applyFill="1" applyAlignment="1" applyProtection="1">
      <alignment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vertical="center" wrapText="1"/>
    </xf>
    <xf numFmtId="0" fontId="0" fillId="0" borderId="0" xfId="0" applyAlignment="1" applyProtection="1">
      <alignment vertical="center" wrapText="1"/>
    </xf>
    <xf numFmtId="0" fontId="4" fillId="2" borderId="0" xfId="0" applyFont="1" applyFill="1" applyAlignment="1" applyProtection="1">
      <alignment vertical="center" wrapText="1"/>
    </xf>
    <xf numFmtId="0" fontId="5" fillId="2" borderId="1" xfId="0" applyFont="1" applyFill="1" applyBorder="1" applyAlignment="1" applyProtection="1">
      <alignment horizontal="center" vertical="center" wrapText="1"/>
    </xf>
    <xf numFmtId="0" fontId="2" fillId="3" borderId="0" xfId="0" applyFont="1" applyFill="1" applyProtection="1"/>
    <xf numFmtId="0" fontId="0" fillId="3" borderId="0" xfId="0" applyFill="1" applyProtection="1"/>
    <xf numFmtId="0" fontId="2" fillId="2" borderId="0" xfId="0" applyFont="1" applyFill="1" applyProtection="1"/>
    <xf numFmtId="0" fontId="9" fillId="2" borderId="0" xfId="0" applyFont="1" applyFill="1" applyAlignment="1" applyProtection="1">
      <alignment horizontal="right"/>
    </xf>
    <xf numFmtId="2" fontId="5" fillId="2" borderId="0" xfId="0" applyNumberFormat="1" applyFont="1" applyFill="1" applyProtection="1"/>
    <xf numFmtId="0" fontId="17" fillId="2" borderId="0" xfId="0" applyFont="1" applyFill="1" applyAlignment="1" applyProtection="1">
      <alignment horizontal="left" wrapText="1"/>
    </xf>
    <xf numFmtId="0" fontId="0" fillId="2" borderId="0" xfId="0" applyFill="1" applyAlignment="1" applyProtection="1">
      <alignment horizontal="right"/>
    </xf>
    <xf numFmtId="1" fontId="4" fillId="2" borderId="0" xfId="0" applyNumberFormat="1" applyFont="1" applyFill="1" applyAlignment="1" applyProtection="1">
      <alignment horizontal="left"/>
    </xf>
    <xf numFmtId="0" fontId="4" fillId="3" borderId="16" xfId="0" applyFont="1" applyFill="1" applyBorder="1" applyAlignment="1" applyProtection="1">
      <alignment horizontal="center"/>
    </xf>
    <xf numFmtId="0" fontId="4" fillId="2" borderId="16" xfId="0" applyFont="1" applyFill="1" applyBorder="1" applyAlignment="1" applyProtection="1">
      <alignment horizontal="center"/>
    </xf>
    <xf numFmtId="0" fontId="4" fillId="3" borderId="6" xfId="0" applyFont="1" applyFill="1" applyBorder="1" applyProtection="1"/>
    <xf numFmtId="0" fontId="4" fillId="2" borderId="6" xfId="0" applyFont="1" applyFill="1" applyBorder="1" applyProtection="1"/>
    <xf numFmtId="1" fontId="4" fillId="3" borderId="6" xfId="0" applyNumberFormat="1" applyFont="1" applyFill="1" applyBorder="1" applyProtection="1"/>
    <xf numFmtId="1" fontId="4" fillId="2" borderId="6" xfId="0" applyNumberFormat="1" applyFont="1" applyFill="1" applyBorder="1" applyProtection="1"/>
    <xf numFmtId="167" fontId="4" fillId="3" borderId="0" xfId="0" applyNumberFormat="1" applyFont="1" applyFill="1" applyProtection="1"/>
    <xf numFmtId="167" fontId="4" fillId="3" borderId="6" xfId="0" applyNumberFormat="1" applyFont="1" applyFill="1" applyBorder="1" applyProtection="1"/>
    <xf numFmtId="167" fontId="4" fillId="2" borderId="0" xfId="0" applyNumberFormat="1" applyFont="1" applyFill="1" applyProtection="1"/>
    <xf numFmtId="167" fontId="0" fillId="2" borderId="0" xfId="0" applyNumberFormat="1" applyFill="1" applyAlignment="1" applyProtection="1">
      <alignment horizontal="left"/>
    </xf>
    <xf numFmtId="0" fontId="0" fillId="2" borderId="0" xfId="0" applyFill="1" applyAlignment="1" applyProtection="1">
      <alignment horizontal="center"/>
    </xf>
    <xf numFmtId="167" fontId="4" fillId="2" borderId="0" xfId="0" applyNumberFormat="1" applyFont="1" applyFill="1" applyAlignment="1" applyProtection="1">
      <alignment horizontal="left"/>
    </xf>
    <xf numFmtId="1" fontId="4" fillId="2" borderId="0" xfId="0" applyNumberFormat="1" applyFont="1" applyFill="1" applyAlignment="1" applyProtection="1">
      <alignment horizontal="center"/>
    </xf>
    <xf numFmtId="2" fontId="4" fillId="3" borderId="6" xfId="0" applyNumberFormat="1" applyFont="1" applyFill="1" applyBorder="1" applyProtection="1"/>
    <xf numFmtId="2" fontId="4" fillId="2" borderId="6" xfId="0" applyNumberFormat="1" applyFont="1" applyFill="1" applyBorder="1" applyProtection="1"/>
    <xf numFmtId="165" fontId="4" fillId="3" borderId="6" xfId="0" applyNumberFormat="1" applyFont="1" applyFill="1" applyBorder="1" applyProtection="1"/>
    <xf numFmtId="1" fontId="4" fillId="2" borderId="0" xfId="0" applyNumberFormat="1" applyFont="1" applyFill="1" applyAlignment="1" applyProtection="1">
      <alignment horizontal="center" wrapText="1"/>
    </xf>
    <xf numFmtId="165" fontId="4" fillId="2" borderId="6" xfId="0" applyNumberFormat="1" applyFont="1" applyFill="1" applyBorder="1" applyProtection="1"/>
    <xf numFmtId="0" fontId="4" fillId="2" borderId="0" xfId="0" quotePrefix="1" applyFont="1" applyFill="1" applyBorder="1" applyAlignment="1" applyProtection="1">
      <alignment horizontal="center"/>
    </xf>
    <xf numFmtId="0" fontId="4" fillId="0" borderId="0" xfId="0" applyFont="1" applyAlignment="1" applyProtection="1">
      <alignment wrapText="1"/>
    </xf>
    <xf numFmtId="0" fontId="4" fillId="0" borderId="0" xfId="0" applyFont="1" applyProtection="1"/>
    <xf numFmtId="0" fontId="4" fillId="0" borderId="0" xfId="0" applyFont="1" applyFill="1" applyAlignment="1" applyProtection="1">
      <alignment wrapText="1"/>
    </xf>
    <xf numFmtId="0" fontId="0" fillId="0" borderId="0" xfId="0" applyAlignment="1" applyProtection="1">
      <alignment wrapText="1"/>
    </xf>
    <xf numFmtId="0" fontId="13" fillId="2" borderId="0" xfId="0" applyFont="1" applyFill="1" applyAlignment="1" applyProtection="1">
      <alignment horizontal="left"/>
    </xf>
    <xf numFmtId="0" fontId="2" fillId="0" borderId="0" xfId="0" applyFont="1" applyAlignment="1" applyProtection="1">
      <alignment horizontal="center"/>
    </xf>
    <xf numFmtId="0" fontId="2" fillId="2" borderId="0" xfId="0" applyFont="1" applyFill="1" applyAlignment="1" applyProtection="1">
      <alignment horizontal="center"/>
    </xf>
    <xf numFmtId="0" fontId="4" fillId="3" borderId="1" xfId="0" applyFont="1" applyFill="1" applyBorder="1" applyAlignment="1" applyProtection="1">
      <alignment horizontal="center" wrapText="1"/>
    </xf>
    <xf numFmtId="0" fontId="0" fillId="3" borderId="0" xfId="0" applyFill="1" applyAlignment="1" applyProtection="1">
      <alignment horizontal="center" wrapText="1"/>
    </xf>
    <xf numFmtId="0" fontId="0" fillId="0" borderId="0" xfId="0" applyAlignment="1" applyProtection="1">
      <alignment horizontal="center" wrapText="1"/>
    </xf>
    <xf numFmtId="0" fontId="4" fillId="2" borderId="1" xfId="0" applyFont="1" applyFill="1" applyBorder="1" applyAlignment="1" applyProtection="1">
      <alignment horizontal="center" wrapText="1"/>
    </xf>
    <xf numFmtId="0" fontId="0" fillId="2" borderId="0" xfId="0" applyFill="1" applyAlignment="1" applyProtection="1">
      <alignment horizontal="center" wrapText="1"/>
    </xf>
    <xf numFmtId="166" fontId="4" fillId="3" borderId="0" xfId="0" applyNumberFormat="1" applyFont="1" applyFill="1" applyProtection="1"/>
    <xf numFmtId="166" fontId="4" fillId="2" borderId="0" xfId="0" applyNumberFormat="1" applyFont="1" applyFill="1" applyProtection="1"/>
    <xf numFmtId="0" fontId="4" fillId="3" borderId="0" xfId="0" applyFont="1" applyFill="1" applyProtection="1">
      <protection locked="0"/>
    </xf>
    <xf numFmtId="0" fontId="13" fillId="2" borderId="0" xfId="0" applyFont="1" applyFill="1" applyAlignment="1" applyProtection="1">
      <alignment wrapText="1"/>
      <protection locked="0"/>
    </xf>
    <xf numFmtId="164" fontId="13" fillId="2" borderId="0" xfId="0" applyNumberFormat="1" applyFont="1" applyFill="1" applyAlignment="1" applyProtection="1">
      <alignment wrapText="1"/>
      <protection locked="0"/>
    </xf>
    <xf numFmtId="164" fontId="13" fillId="2" borderId="0" xfId="0" applyNumberFormat="1" applyFont="1" applyFill="1" applyProtection="1">
      <protection locked="0"/>
    </xf>
    <xf numFmtId="164" fontId="13" fillId="2" borderId="1" xfId="0" applyNumberFormat="1" applyFont="1" applyFill="1" applyBorder="1" applyAlignment="1" applyProtection="1">
      <alignment wrapText="1"/>
      <protection locked="0"/>
    </xf>
    <xf numFmtId="0" fontId="4" fillId="2" borderId="0" xfId="0" applyFont="1" applyFill="1" applyProtection="1">
      <protection locked="0"/>
    </xf>
    <xf numFmtId="0" fontId="13" fillId="2" borderId="0" xfId="0" applyFont="1" applyFill="1" applyProtection="1">
      <protection locked="0"/>
    </xf>
    <xf numFmtId="164" fontId="13" fillId="2" borderId="1" xfId="0" applyNumberFormat="1" applyFont="1" applyFill="1" applyBorder="1" applyProtection="1">
      <protection locked="0"/>
    </xf>
    <xf numFmtId="0" fontId="13" fillId="2" borderId="0" xfId="0" applyFont="1" applyFill="1" applyAlignment="1" applyProtection="1">
      <alignment horizontal="left" wrapText="1"/>
      <protection locked="0"/>
    </xf>
    <xf numFmtId="2" fontId="13" fillId="2" borderId="0" xfId="0" applyNumberFormat="1" applyFont="1" applyFill="1" applyAlignment="1" applyProtection="1">
      <alignment horizontal="right" wrapText="1"/>
      <protection locked="0"/>
    </xf>
    <xf numFmtId="2" fontId="13" fillId="2" borderId="0" xfId="0" applyNumberFormat="1" applyFont="1" applyFill="1" applyBorder="1" applyAlignment="1" applyProtection="1">
      <alignment horizontal="right" wrapText="1"/>
      <protection locked="0"/>
    </xf>
    <xf numFmtId="167" fontId="13" fillId="2" borderId="0" xfId="0" applyNumberFormat="1" applyFont="1" applyFill="1" applyBorder="1" applyProtection="1">
      <protection locked="0"/>
    </xf>
    <xf numFmtId="0" fontId="13" fillId="2" borderId="0" xfId="0" applyFont="1" applyFill="1" applyAlignment="1" applyProtection="1">
      <alignment horizontal="right" wrapText="1"/>
      <protection locked="0"/>
    </xf>
    <xf numFmtId="0" fontId="13" fillId="2" borderId="0" xfId="0" applyFont="1" applyFill="1" applyAlignment="1" applyProtection="1">
      <alignment horizontal="right"/>
      <protection locked="0"/>
    </xf>
    <xf numFmtId="0" fontId="13" fillId="2" borderId="8"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0" fillId="0" borderId="0" xfId="0" applyProtection="1">
      <protection locked="0"/>
    </xf>
    <xf numFmtId="0" fontId="18" fillId="2" borderId="0" xfId="0" applyFont="1" applyFill="1" applyAlignment="1" applyProtection="1">
      <alignment horizontal="left"/>
      <protection locked="0"/>
    </xf>
    <xf numFmtId="0" fontId="18" fillId="2" borderId="0" xfId="0" applyFont="1" applyFill="1" applyProtection="1">
      <protection locked="0"/>
    </xf>
    <xf numFmtId="0" fontId="13" fillId="2" borderId="6" xfId="0" applyFont="1" applyFill="1" applyBorder="1" applyProtection="1">
      <protection locked="0"/>
    </xf>
    <xf numFmtId="0" fontId="13" fillId="2" borderId="6" xfId="0" applyFont="1" applyFill="1" applyBorder="1" applyAlignment="1" applyProtection="1">
      <alignment horizontal="right"/>
      <protection locked="0"/>
    </xf>
    <xf numFmtId="165" fontId="13" fillId="2" borderId="0" xfId="0" applyNumberFormat="1" applyFont="1" applyFill="1" applyProtection="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Very Rough Moody Plot</a:t>
            </a:r>
          </a:p>
        </c:rich>
      </c:tx>
      <c:layout>
        <c:manualLayout>
          <c:xMode val="edge"/>
          <c:yMode val="edge"/>
          <c:x val="0.38511394813512384"/>
          <c:y val="3.0737704918032786E-2"/>
        </c:manualLayout>
      </c:layout>
      <c:overlay val="0"/>
      <c:spPr>
        <a:noFill/>
        <a:ln w="25400">
          <a:noFill/>
        </a:ln>
      </c:spPr>
    </c:title>
    <c:autoTitleDeleted val="0"/>
    <c:plotArea>
      <c:layout>
        <c:manualLayout>
          <c:layoutTarget val="inner"/>
          <c:xMode val="edge"/>
          <c:yMode val="edge"/>
          <c:x val="0.15372192575900992"/>
          <c:y val="0.12704918032786902"/>
          <c:w val="0.6359233349820097"/>
          <c:h val="0.73360655737704961"/>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og"/>
            <c:dispRSqr val="1"/>
            <c:dispEq val="1"/>
            <c:trendlineLbl>
              <c:layout>
                <c:manualLayout>
                  <c:x val="6.6135161218594515E-2"/>
                  <c:y val="-0.10963964545415439"/>
                </c:manualLayout>
              </c:layout>
              <c:numFmt formatCode="General"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trendlineLbl>
          </c:trendline>
          <c:xVal>
            <c:numRef>
              <c:f>'Example 19-6'!$C$103:$E$103</c:f>
              <c:numCache>
                <c:formatCode>General</c:formatCode>
                <c:ptCount val="3"/>
                <c:pt idx="0" formatCode="0">
                  <c:v>197774.55908664904</c:v>
                </c:pt>
                <c:pt idx="2" formatCode="0">
                  <c:v>148330.91931498679</c:v>
                </c:pt>
              </c:numCache>
            </c:numRef>
          </c:xVal>
          <c:yVal>
            <c:numRef>
              <c:f>'Example 19-6'!$C$107:$E$107</c:f>
              <c:numCache>
                <c:formatCode>General</c:formatCode>
                <c:ptCount val="3"/>
                <c:pt idx="0">
                  <c:v>1.27E-4</c:v>
                </c:pt>
                <c:pt idx="1">
                  <c:v>0</c:v>
                </c:pt>
                <c:pt idx="2">
                  <c:v>1.35E-4</c:v>
                </c:pt>
              </c:numCache>
            </c:numRef>
          </c:yVal>
          <c:smooth val="0"/>
        </c:ser>
        <c:dLbls>
          <c:showLegendKey val="0"/>
          <c:showVal val="0"/>
          <c:showCatName val="0"/>
          <c:showSerName val="0"/>
          <c:showPercent val="0"/>
          <c:showBubbleSize val="0"/>
        </c:dLbls>
        <c:axId val="124502016"/>
        <c:axId val="124503936"/>
      </c:scatterChart>
      <c:valAx>
        <c:axId val="12450201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Reynold's Number</a:t>
                </a:r>
              </a:p>
            </c:rich>
          </c:tx>
          <c:layout>
            <c:manualLayout>
              <c:xMode val="edge"/>
              <c:yMode val="edge"/>
              <c:x val="0.375405040389369"/>
              <c:y val="0.9241803278688525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503936"/>
        <c:crosses val="autoZero"/>
        <c:crossBetween val="midCat"/>
      </c:valAx>
      <c:valAx>
        <c:axId val="12450393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Friction Factor</a:t>
                </a:r>
              </a:p>
            </c:rich>
          </c:tx>
          <c:layout>
            <c:manualLayout>
              <c:xMode val="edge"/>
              <c:yMode val="edge"/>
              <c:x val="2.2653721682847915E-2"/>
              <c:y val="0.395491803278688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502016"/>
        <c:crosses val="autoZero"/>
        <c:crossBetween val="midCat"/>
      </c:valAx>
      <c:spPr>
        <a:no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142875</xdr:colOff>
      <xdr:row>134</xdr:row>
      <xdr:rowOff>28575</xdr:rowOff>
    </xdr:from>
    <xdr:to>
      <xdr:col>9</xdr:col>
      <xdr:colOff>342900</xdr:colOff>
      <xdr:row>158</xdr:row>
      <xdr:rowOff>57150</xdr:rowOff>
    </xdr:to>
    <xdr:graphicFrame macro="">
      <xdr:nvGraphicFramePr>
        <xdr:cNvPr id="10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workbookViewId="0"/>
  </sheetViews>
  <sheetFormatPr defaultRowHeight="12.75" x14ac:dyDescent="0.2"/>
  <cols>
    <col min="1" max="1" width="9.140625" style="2"/>
    <col min="9" max="9" width="9.140625" style="2"/>
  </cols>
  <sheetData>
    <row r="1" spans="1:10" ht="15" x14ac:dyDescent="0.25">
      <c r="A1" s="1" t="s">
        <v>257</v>
      </c>
      <c r="B1" s="1"/>
      <c r="C1" s="1"/>
      <c r="D1" s="1"/>
      <c r="I1" s="3"/>
    </row>
    <row r="2" spans="1:10" ht="15" x14ac:dyDescent="0.25">
      <c r="A2" s="1"/>
      <c r="B2" s="1"/>
      <c r="C2" s="1"/>
      <c r="D2" s="1"/>
      <c r="I2" s="3"/>
    </row>
    <row r="3" spans="1:10" ht="16.5" x14ac:dyDescent="0.3">
      <c r="A3" s="1" t="s">
        <v>556</v>
      </c>
      <c r="B3" s="1" t="s">
        <v>348</v>
      </c>
      <c r="C3" s="1"/>
      <c r="D3" s="1"/>
      <c r="I3" s="1" t="s">
        <v>72</v>
      </c>
      <c r="J3" s="1" t="s">
        <v>192</v>
      </c>
    </row>
    <row r="4" spans="1:10" ht="16.5" x14ac:dyDescent="0.3">
      <c r="A4" s="1" t="s">
        <v>349</v>
      </c>
      <c r="B4" s="1" t="s">
        <v>350</v>
      </c>
      <c r="C4" s="1"/>
      <c r="D4" s="1"/>
      <c r="I4" s="1" t="s">
        <v>531</v>
      </c>
      <c r="J4" s="1" t="s">
        <v>193</v>
      </c>
    </row>
    <row r="5" spans="1:10" ht="16.5" x14ac:dyDescent="0.3">
      <c r="A5" s="1" t="s">
        <v>131</v>
      </c>
      <c r="B5" s="1" t="s">
        <v>132</v>
      </c>
      <c r="C5" s="1"/>
      <c r="D5" s="1"/>
      <c r="I5" s="1" t="s">
        <v>395</v>
      </c>
      <c r="J5" s="1" t="s">
        <v>194</v>
      </c>
    </row>
    <row r="6" spans="1:10" ht="16.5" x14ac:dyDescent="0.3">
      <c r="A6" s="1" t="s">
        <v>557</v>
      </c>
      <c r="B6" s="1" t="s">
        <v>351</v>
      </c>
      <c r="C6" s="1"/>
      <c r="D6" s="1"/>
      <c r="I6" s="1" t="s">
        <v>181</v>
      </c>
      <c r="J6" s="1" t="s">
        <v>195</v>
      </c>
    </row>
    <row r="7" spans="1:10" ht="16.5" x14ac:dyDescent="0.3">
      <c r="A7" s="1" t="s">
        <v>558</v>
      </c>
      <c r="B7" s="1" t="s">
        <v>352</v>
      </c>
      <c r="C7" s="1"/>
      <c r="D7" s="1"/>
      <c r="I7" s="1" t="s">
        <v>363</v>
      </c>
      <c r="J7" s="1" t="s">
        <v>364</v>
      </c>
    </row>
    <row r="8" spans="1:10" ht="15" x14ac:dyDescent="0.25">
      <c r="A8" s="1" t="s">
        <v>110</v>
      </c>
      <c r="B8" s="1" t="s">
        <v>353</v>
      </c>
      <c r="C8" s="1"/>
      <c r="D8" s="1"/>
      <c r="I8" s="1" t="s">
        <v>197</v>
      </c>
      <c r="J8" s="1" t="s">
        <v>365</v>
      </c>
    </row>
    <row r="9" spans="1:10" ht="16.5" x14ac:dyDescent="0.3">
      <c r="A9" s="1" t="s">
        <v>112</v>
      </c>
      <c r="B9" s="1" t="s">
        <v>354</v>
      </c>
      <c r="C9" s="1"/>
      <c r="D9" s="1"/>
      <c r="I9" s="1" t="s">
        <v>2</v>
      </c>
      <c r="J9" s="1" t="s">
        <v>199</v>
      </c>
    </row>
    <row r="10" spans="1:10" ht="16.5" x14ac:dyDescent="0.3">
      <c r="A10" s="1" t="s">
        <v>117</v>
      </c>
      <c r="B10" s="1" t="s">
        <v>355</v>
      </c>
      <c r="C10" s="1"/>
      <c r="D10" s="1"/>
      <c r="I10" s="1" t="s">
        <v>546</v>
      </c>
      <c r="J10" s="1" t="s">
        <v>366</v>
      </c>
    </row>
    <row r="11" spans="1:10" ht="16.5" x14ac:dyDescent="0.3">
      <c r="A11" s="1" t="s">
        <v>57</v>
      </c>
      <c r="B11" s="1" t="s">
        <v>135</v>
      </c>
      <c r="C11" s="1"/>
      <c r="D11" s="1"/>
      <c r="I11" s="1" t="s">
        <v>435</v>
      </c>
      <c r="J11" s="1" t="s">
        <v>367</v>
      </c>
    </row>
    <row r="12" spans="1:10" ht="15" x14ac:dyDescent="0.25">
      <c r="A12" s="1" t="s">
        <v>99</v>
      </c>
      <c r="B12" s="1" t="s">
        <v>136</v>
      </c>
      <c r="C12" s="1"/>
      <c r="D12" s="1"/>
      <c r="I12" s="1" t="s">
        <v>198</v>
      </c>
      <c r="J12" s="1" t="s">
        <v>201</v>
      </c>
    </row>
    <row r="13" spans="1:10" ht="16.5" x14ac:dyDescent="0.3">
      <c r="A13" s="1" t="s">
        <v>133</v>
      </c>
      <c r="B13" s="1" t="s">
        <v>137</v>
      </c>
      <c r="C13" s="1"/>
      <c r="D13" s="1"/>
      <c r="I13" s="1" t="s">
        <v>547</v>
      </c>
      <c r="J13" s="1" t="s">
        <v>200</v>
      </c>
    </row>
    <row r="14" spans="1:10" ht="16.5" x14ac:dyDescent="0.3">
      <c r="A14" s="1" t="s">
        <v>104</v>
      </c>
      <c r="B14" s="1" t="s">
        <v>139</v>
      </c>
      <c r="C14" s="1"/>
      <c r="D14" s="1"/>
      <c r="I14" s="1" t="s">
        <v>548</v>
      </c>
      <c r="J14" s="1" t="s">
        <v>368</v>
      </c>
    </row>
    <row r="15" spans="1:10" ht="18.75" x14ac:dyDescent="0.3">
      <c r="A15" s="1" t="s">
        <v>5</v>
      </c>
      <c r="B15" s="1" t="s">
        <v>138</v>
      </c>
      <c r="C15" s="1"/>
      <c r="D15" s="1"/>
      <c r="I15" s="1" t="s">
        <v>404</v>
      </c>
      <c r="J15" s="1" t="s">
        <v>369</v>
      </c>
    </row>
    <row r="16" spans="1:10" ht="16.5" x14ac:dyDescent="0.3">
      <c r="A16" s="1" t="s">
        <v>134</v>
      </c>
      <c r="B16" s="1" t="s">
        <v>356</v>
      </c>
      <c r="C16" s="1"/>
      <c r="D16" s="1"/>
      <c r="I16" s="1" t="s">
        <v>465</v>
      </c>
      <c r="J16" s="1" t="s">
        <v>370</v>
      </c>
    </row>
    <row r="17" spans="1:10" ht="16.5" x14ac:dyDescent="0.3">
      <c r="A17" s="1" t="s">
        <v>140</v>
      </c>
      <c r="B17" s="1" t="s">
        <v>143</v>
      </c>
      <c r="C17" s="1"/>
      <c r="D17" s="1"/>
      <c r="I17" s="1" t="s">
        <v>549</v>
      </c>
      <c r="J17" s="1" t="s">
        <v>371</v>
      </c>
    </row>
    <row r="18" spans="1:10" ht="16.5" x14ac:dyDescent="0.3">
      <c r="A18" s="1" t="s">
        <v>90</v>
      </c>
      <c r="B18" s="1" t="s">
        <v>144</v>
      </c>
      <c r="C18" s="1"/>
      <c r="D18" s="1"/>
      <c r="I18" s="1" t="s">
        <v>550</v>
      </c>
      <c r="J18" s="1" t="s">
        <v>206</v>
      </c>
    </row>
    <row r="19" spans="1:10" ht="16.5" x14ac:dyDescent="0.3">
      <c r="A19" s="1" t="s">
        <v>421</v>
      </c>
      <c r="B19" s="1" t="s">
        <v>145</v>
      </c>
      <c r="C19" s="1"/>
      <c r="D19" s="1"/>
      <c r="I19" s="1" t="s">
        <v>202</v>
      </c>
      <c r="J19" s="1" t="s">
        <v>207</v>
      </c>
    </row>
    <row r="20" spans="1:10" ht="16.5" x14ac:dyDescent="0.3">
      <c r="A20" s="1" t="s">
        <v>559</v>
      </c>
      <c r="B20" s="1" t="s">
        <v>147</v>
      </c>
      <c r="C20" s="1"/>
      <c r="D20" s="1"/>
      <c r="I20" s="1" t="s">
        <v>203</v>
      </c>
      <c r="J20" s="1" t="s">
        <v>208</v>
      </c>
    </row>
    <row r="21" spans="1:10" ht="16.5" x14ac:dyDescent="0.3">
      <c r="A21" s="1" t="s">
        <v>532</v>
      </c>
      <c r="B21" s="1" t="s">
        <v>146</v>
      </c>
      <c r="C21" s="1"/>
      <c r="D21" s="1"/>
      <c r="I21" s="1" t="s">
        <v>204</v>
      </c>
      <c r="J21" s="1" t="s">
        <v>169</v>
      </c>
    </row>
    <row r="22" spans="1:10" ht="16.5" x14ac:dyDescent="0.3">
      <c r="A22" s="1" t="s">
        <v>141</v>
      </c>
      <c r="B22" s="1" t="s">
        <v>357</v>
      </c>
      <c r="C22" s="1"/>
      <c r="D22" s="1"/>
      <c r="I22" s="1" t="s">
        <v>551</v>
      </c>
      <c r="J22" s="1" t="s">
        <v>210</v>
      </c>
    </row>
    <row r="23" spans="1:10" ht="16.5" x14ac:dyDescent="0.3">
      <c r="A23" s="1" t="s">
        <v>142</v>
      </c>
      <c r="B23" s="1" t="s">
        <v>148</v>
      </c>
      <c r="C23" s="1"/>
      <c r="D23" s="1"/>
      <c r="I23" s="1" t="s">
        <v>552</v>
      </c>
      <c r="J23" s="1" t="s">
        <v>209</v>
      </c>
    </row>
    <row r="24" spans="1:10" ht="16.5" x14ac:dyDescent="0.3">
      <c r="A24" s="1" t="s">
        <v>414</v>
      </c>
      <c r="B24" s="1" t="s">
        <v>149</v>
      </c>
      <c r="C24" s="1"/>
      <c r="D24" s="1"/>
      <c r="I24" s="1" t="s">
        <v>553</v>
      </c>
      <c r="J24" s="1" t="s">
        <v>211</v>
      </c>
    </row>
    <row r="25" spans="1:10" ht="15" x14ac:dyDescent="0.25">
      <c r="A25" s="1" t="s">
        <v>150</v>
      </c>
      <c r="B25" s="1" t="s">
        <v>157</v>
      </c>
      <c r="C25" s="1"/>
      <c r="D25" s="1"/>
      <c r="I25" s="1" t="s">
        <v>205</v>
      </c>
      <c r="J25" s="1" t="s">
        <v>212</v>
      </c>
    </row>
    <row r="26" spans="1:10" ht="16.5" x14ac:dyDescent="0.3">
      <c r="A26" s="1" t="s">
        <v>151</v>
      </c>
      <c r="B26" s="1" t="s">
        <v>158</v>
      </c>
      <c r="C26" s="1"/>
      <c r="D26" s="1"/>
      <c r="I26" s="1" t="s">
        <v>657</v>
      </c>
      <c r="J26" s="1" t="s">
        <v>213</v>
      </c>
    </row>
    <row r="27" spans="1:10" ht="16.5" x14ac:dyDescent="0.3">
      <c r="A27" s="1" t="s">
        <v>560</v>
      </c>
      <c r="B27" s="1" t="s">
        <v>358</v>
      </c>
      <c r="C27" s="1"/>
      <c r="D27" s="1"/>
      <c r="I27" s="1" t="s">
        <v>554</v>
      </c>
      <c r="J27" s="1" t="s">
        <v>221</v>
      </c>
    </row>
    <row r="28" spans="1:10" ht="16.5" x14ac:dyDescent="0.3">
      <c r="A28" s="1" t="s">
        <v>439</v>
      </c>
      <c r="B28" s="1" t="s">
        <v>359</v>
      </c>
      <c r="C28" s="1"/>
      <c r="D28" s="1"/>
      <c r="I28" s="1" t="s">
        <v>555</v>
      </c>
      <c r="J28" s="1" t="s">
        <v>222</v>
      </c>
    </row>
    <row r="29" spans="1:10" ht="16.5" x14ac:dyDescent="0.3">
      <c r="A29" s="1" t="s">
        <v>561</v>
      </c>
      <c r="B29" s="1" t="s">
        <v>360</v>
      </c>
      <c r="C29" s="1"/>
      <c r="D29" s="1"/>
      <c r="I29" s="1" t="s">
        <v>214</v>
      </c>
      <c r="J29" s="1" t="s">
        <v>223</v>
      </c>
    </row>
    <row r="30" spans="1:10" ht="15" x14ac:dyDescent="0.25">
      <c r="A30" s="1" t="s">
        <v>152</v>
      </c>
      <c r="B30" s="1" t="s">
        <v>159</v>
      </c>
      <c r="C30" s="1"/>
      <c r="D30" s="1"/>
      <c r="I30" s="1" t="s">
        <v>215</v>
      </c>
      <c r="J30" s="1" t="s">
        <v>224</v>
      </c>
    </row>
    <row r="31" spans="1:10" ht="15" x14ac:dyDescent="0.25">
      <c r="A31" s="1" t="s">
        <v>153</v>
      </c>
      <c r="B31" s="1" t="s">
        <v>160</v>
      </c>
      <c r="C31" s="1"/>
      <c r="D31" s="1"/>
      <c r="I31" s="1" t="s">
        <v>58</v>
      </c>
      <c r="J31" s="1" t="s">
        <v>225</v>
      </c>
    </row>
    <row r="32" spans="1:10" ht="15" x14ac:dyDescent="0.25">
      <c r="A32" s="1" t="s">
        <v>154</v>
      </c>
      <c r="B32" s="1" t="s">
        <v>161</v>
      </c>
      <c r="C32" s="1"/>
      <c r="D32" s="1"/>
      <c r="I32" s="1" t="s">
        <v>216</v>
      </c>
      <c r="J32" s="1" t="s">
        <v>226</v>
      </c>
    </row>
    <row r="33" spans="1:10" ht="15" x14ac:dyDescent="0.25">
      <c r="A33" s="1" t="s">
        <v>155</v>
      </c>
      <c r="B33" s="1" t="s">
        <v>162</v>
      </c>
      <c r="C33" s="1"/>
      <c r="D33" s="1"/>
      <c r="I33" s="1" t="s">
        <v>217</v>
      </c>
      <c r="J33" s="1" t="s">
        <v>227</v>
      </c>
    </row>
    <row r="34" spans="1:10" ht="15" x14ac:dyDescent="0.25">
      <c r="A34" s="1" t="s">
        <v>156</v>
      </c>
      <c r="B34" s="1" t="s">
        <v>163</v>
      </c>
      <c r="C34" s="1"/>
      <c r="D34" s="1"/>
      <c r="I34" s="1" t="s">
        <v>218</v>
      </c>
      <c r="J34" s="1" t="s">
        <v>372</v>
      </c>
    </row>
    <row r="35" spans="1:10" ht="16.5" x14ac:dyDescent="0.3">
      <c r="A35" s="1" t="s">
        <v>445</v>
      </c>
      <c r="B35" s="1" t="s">
        <v>168</v>
      </c>
      <c r="C35" s="1"/>
      <c r="D35" s="1"/>
      <c r="I35" s="1" t="s">
        <v>219</v>
      </c>
      <c r="J35" s="1" t="s">
        <v>228</v>
      </c>
    </row>
    <row r="36" spans="1:10" ht="16.5" x14ac:dyDescent="0.3">
      <c r="A36" s="1" t="s">
        <v>562</v>
      </c>
      <c r="B36" s="1" t="s">
        <v>361</v>
      </c>
      <c r="C36" s="1"/>
      <c r="D36" s="1"/>
      <c r="I36" s="1" t="s">
        <v>220</v>
      </c>
      <c r="J36" s="1" t="s">
        <v>229</v>
      </c>
    </row>
    <row r="37" spans="1:10" ht="15" x14ac:dyDescent="0.25">
      <c r="A37" s="1" t="s">
        <v>164</v>
      </c>
      <c r="B37" s="1" t="s">
        <v>169</v>
      </c>
      <c r="C37" s="1"/>
      <c r="D37" s="1"/>
      <c r="I37" s="1"/>
      <c r="J37" s="1"/>
    </row>
    <row r="38" spans="1:10" ht="16.5" x14ac:dyDescent="0.3">
      <c r="A38" s="1" t="s">
        <v>563</v>
      </c>
      <c r="B38" s="1" t="s">
        <v>170</v>
      </c>
      <c r="C38" s="1"/>
      <c r="D38" s="1"/>
      <c r="I38" s="1" t="s">
        <v>230</v>
      </c>
      <c r="J38" s="1"/>
    </row>
    <row r="39" spans="1:10" ht="16.5" x14ac:dyDescent="0.3">
      <c r="A39" s="1" t="s">
        <v>564</v>
      </c>
      <c r="B39" s="1" t="s">
        <v>171</v>
      </c>
      <c r="C39" s="1"/>
      <c r="D39" s="1"/>
      <c r="I39" s="1" t="s">
        <v>231</v>
      </c>
      <c r="J39" s="1" t="s">
        <v>241</v>
      </c>
    </row>
    <row r="40" spans="1:10" ht="15" x14ac:dyDescent="0.25">
      <c r="A40" s="1" t="s">
        <v>165</v>
      </c>
      <c r="B40" s="1" t="s">
        <v>172</v>
      </c>
      <c r="C40" s="1"/>
      <c r="D40" s="1"/>
      <c r="I40" s="1" t="s">
        <v>99</v>
      </c>
      <c r="J40" s="1" t="s">
        <v>242</v>
      </c>
    </row>
    <row r="41" spans="1:10" ht="15" x14ac:dyDescent="0.25">
      <c r="A41" s="1" t="s">
        <v>166</v>
      </c>
      <c r="B41" s="1" t="s">
        <v>173</v>
      </c>
      <c r="C41" s="1"/>
      <c r="D41" s="1"/>
      <c r="I41" s="1" t="s">
        <v>232</v>
      </c>
      <c r="J41" s="1" t="s">
        <v>243</v>
      </c>
    </row>
    <row r="42" spans="1:10" ht="15" x14ac:dyDescent="0.25">
      <c r="A42" s="1" t="s">
        <v>167</v>
      </c>
      <c r="B42" s="1" t="s">
        <v>174</v>
      </c>
      <c r="C42" s="1"/>
      <c r="D42" s="1"/>
      <c r="I42" s="1" t="s">
        <v>233</v>
      </c>
      <c r="J42" s="1" t="s">
        <v>244</v>
      </c>
    </row>
    <row r="43" spans="1:10" ht="16.5" x14ac:dyDescent="0.3">
      <c r="A43" s="1" t="s">
        <v>565</v>
      </c>
      <c r="B43" s="1" t="s">
        <v>175</v>
      </c>
      <c r="C43" s="1"/>
      <c r="D43" s="1"/>
      <c r="I43" s="1" t="s">
        <v>234</v>
      </c>
      <c r="J43" s="1" t="s">
        <v>245</v>
      </c>
    </row>
    <row r="44" spans="1:10" ht="15" x14ac:dyDescent="0.25">
      <c r="A44" s="1" t="s">
        <v>176</v>
      </c>
      <c r="B44" s="1" t="s">
        <v>184</v>
      </c>
      <c r="C44" s="1"/>
      <c r="D44" s="1"/>
      <c r="I44" s="1" t="s">
        <v>235</v>
      </c>
      <c r="J44" s="1" t="s">
        <v>246</v>
      </c>
    </row>
    <row r="45" spans="1:10" ht="15" x14ac:dyDescent="0.25">
      <c r="A45" s="1" t="s">
        <v>177</v>
      </c>
      <c r="B45" s="1" t="s">
        <v>185</v>
      </c>
      <c r="C45" s="1"/>
      <c r="D45" s="1"/>
      <c r="I45" s="1" t="s">
        <v>90</v>
      </c>
      <c r="J45" s="1" t="s">
        <v>247</v>
      </c>
    </row>
    <row r="46" spans="1:10" ht="15" x14ac:dyDescent="0.25">
      <c r="A46" s="1" t="s">
        <v>182</v>
      </c>
      <c r="B46" s="1" t="s">
        <v>186</v>
      </c>
      <c r="C46" s="1"/>
      <c r="D46" s="1"/>
      <c r="I46" s="1" t="s">
        <v>142</v>
      </c>
      <c r="J46" s="1" t="s">
        <v>248</v>
      </c>
    </row>
    <row r="47" spans="1:10" ht="15" x14ac:dyDescent="0.25">
      <c r="A47" s="1" t="s">
        <v>183</v>
      </c>
      <c r="B47" s="1" t="s">
        <v>187</v>
      </c>
      <c r="C47" s="1"/>
      <c r="D47" s="1"/>
      <c r="I47" s="1" t="s">
        <v>236</v>
      </c>
      <c r="J47" s="1" t="s">
        <v>249</v>
      </c>
    </row>
    <row r="48" spans="1:10" ht="15" x14ac:dyDescent="0.25">
      <c r="A48" s="1" t="s">
        <v>178</v>
      </c>
      <c r="B48" s="1" t="s">
        <v>188</v>
      </c>
      <c r="C48" s="1"/>
      <c r="D48" s="1"/>
      <c r="I48" s="1" t="s">
        <v>237</v>
      </c>
      <c r="J48" s="1" t="s">
        <v>250</v>
      </c>
    </row>
    <row r="49" spans="1:10" ht="16.5" x14ac:dyDescent="0.3">
      <c r="A49" s="1" t="s">
        <v>566</v>
      </c>
      <c r="B49" s="1" t="s">
        <v>189</v>
      </c>
      <c r="C49" s="1"/>
      <c r="D49" s="1"/>
      <c r="I49" s="1" t="s">
        <v>238</v>
      </c>
      <c r="J49" s="1" t="s">
        <v>251</v>
      </c>
    </row>
    <row r="50" spans="1:10" ht="15" x14ac:dyDescent="0.25">
      <c r="A50" s="1" t="s">
        <v>70</v>
      </c>
      <c r="B50" s="1" t="s">
        <v>190</v>
      </c>
      <c r="C50" s="1"/>
      <c r="D50" s="1"/>
      <c r="I50" s="1" t="s">
        <v>164</v>
      </c>
      <c r="J50" s="1" t="s">
        <v>252</v>
      </c>
    </row>
    <row r="51" spans="1:10" ht="15" x14ac:dyDescent="0.25">
      <c r="A51" s="1" t="s">
        <v>179</v>
      </c>
      <c r="B51" s="1" t="s">
        <v>196</v>
      </c>
      <c r="C51" s="1"/>
      <c r="D51" s="1"/>
      <c r="I51" s="1" t="s">
        <v>239</v>
      </c>
      <c r="J51" s="1" t="s">
        <v>253</v>
      </c>
    </row>
    <row r="52" spans="1:10" ht="15" x14ac:dyDescent="0.25">
      <c r="A52" s="1" t="s">
        <v>180</v>
      </c>
      <c r="B52" s="1" t="s">
        <v>191</v>
      </c>
      <c r="C52" s="1"/>
      <c r="D52" s="1"/>
      <c r="I52" s="1" t="s">
        <v>165</v>
      </c>
      <c r="J52" s="1" t="s">
        <v>256</v>
      </c>
    </row>
    <row r="53" spans="1:10" ht="15" x14ac:dyDescent="0.25">
      <c r="C53" s="1"/>
      <c r="D53" s="1"/>
      <c r="I53" s="1" t="s">
        <v>167</v>
      </c>
      <c r="J53" s="1" t="s">
        <v>254</v>
      </c>
    </row>
    <row r="54" spans="1:10" ht="15" x14ac:dyDescent="0.25">
      <c r="C54" s="1"/>
      <c r="D54" s="1"/>
      <c r="I54" s="1" t="s">
        <v>240</v>
      </c>
      <c r="J54" s="1" t="s">
        <v>255</v>
      </c>
    </row>
    <row r="55" spans="1:10" ht="15" x14ac:dyDescent="0.25">
      <c r="C55" s="1"/>
      <c r="D55" s="1"/>
    </row>
    <row r="56" spans="1:10" ht="15" x14ac:dyDescent="0.25">
      <c r="C56" s="1"/>
      <c r="D56" s="1"/>
    </row>
    <row r="57" spans="1:10" ht="15" x14ac:dyDescent="0.25">
      <c r="C57" s="1"/>
      <c r="D57" s="1"/>
    </row>
    <row r="58" spans="1:10" ht="15" x14ac:dyDescent="0.25">
      <c r="C58" s="1"/>
      <c r="D58" s="1"/>
    </row>
    <row r="59" spans="1:10" ht="15" x14ac:dyDescent="0.25">
      <c r="C59" s="1"/>
      <c r="D59" s="1"/>
    </row>
    <row r="60" spans="1:10" ht="15" x14ac:dyDescent="0.25">
      <c r="C60" s="1"/>
      <c r="D60" s="1"/>
    </row>
    <row r="61" spans="1:10" ht="15" x14ac:dyDescent="0.25">
      <c r="C61" s="1"/>
      <c r="D61" s="1"/>
    </row>
    <row r="62" spans="1:10" ht="15" x14ac:dyDescent="0.25">
      <c r="C62" s="1"/>
      <c r="D62" s="1"/>
    </row>
    <row r="63" spans="1:10" ht="15" x14ac:dyDescent="0.25">
      <c r="C63" s="1"/>
      <c r="D63" s="1"/>
    </row>
    <row r="64" spans="1:10" ht="15" x14ac:dyDescent="0.25">
      <c r="C64" s="1"/>
      <c r="D64" s="1"/>
    </row>
    <row r="65" spans="3:4" ht="15" x14ac:dyDescent="0.25">
      <c r="C65" s="1"/>
      <c r="D65" s="1"/>
    </row>
    <row r="66" spans="3:4" ht="15" x14ac:dyDescent="0.25">
      <c r="C66" s="1"/>
      <c r="D66" s="1"/>
    </row>
    <row r="67" spans="3:4" ht="15" x14ac:dyDescent="0.25">
      <c r="C67" s="1"/>
      <c r="D67" s="1"/>
    </row>
    <row r="68" spans="3:4" ht="15" x14ac:dyDescent="0.25">
      <c r="C68" s="1"/>
      <c r="D68" s="1"/>
    </row>
    <row r="69" spans="3:4" ht="15" x14ac:dyDescent="0.25">
      <c r="C69" s="1"/>
      <c r="D69" s="1"/>
    </row>
    <row r="70" spans="3:4" ht="15" x14ac:dyDescent="0.25">
      <c r="C70" s="1"/>
      <c r="D70" s="1"/>
    </row>
    <row r="71" spans="3:4" ht="15" x14ac:dyDescent="0.25">
      <c r="C71" s="1"/>
      <c r="D71" s="1"/>
    </row>
    <row r="72" spans="3:4" ht="15" x14ac:dyDescent="0.25">
      <c r="C72" s="1"/>
      <c r="D72" s="1"/>
    </row>
    <row r="73" spans="3:4" ht="15" x14ac:dyDescent="0.25">
      <c r="C73" s="1"/>
      <c r="D73" s="1"/>
    </row>
    <row r="74" spans="3:4" ht="15" x14ac:dyDescent="0.25">
      <c r="C74" s="1"/>
      <c r="D74" s="1"/>
    </row>
    <row r="75" spans="3:4" ht="15" x14ac:dyDescent="0.25">
      <c r="C75" s="1"/>
      <c r="D75" s="1"/>
    </row>
    <row r="76" spans="3:4" ht="15" x14ac:dyDescent="0.25">
      <c r="C76" s="1"/>
      <c r="D76" s="1"/>
    </row>
    <row r="77" spans="3:4" ht="15" x14ac:dyDescent="0.25">
      <c r="C77" s="1"/>
      <c r="D77" s="1"/>
    </row>
    <row r="78" spans="3:4" ht="15" x14ac:dyDescent="0.25">
      <c r="C78" s="1"/>
      <c r="D78" s="1"/>
    </row>
    <row r="79" spans="3:4" ht="15" x14ac:dyDescent="0.25">
      <c r="C79" s="1"/>
      <c r="D79" s="1"/>
    </row>
    <row r="80" spans="3:4" ht="15" x14ac:dyDescent="0.25">
      <c r="C80" s="1"/>
      <c r="D80" s="1"/>
    </row>
    <row r="81" spans="3:4" ht="15" x14ac:dyDescent="0.25">
      <c r="C81" s="1"/>
      <c r="D81" s="1"/>
    </row>
    <row r="82" spans="3:4" ht="15" x14ac:dyDescent="0.25">
      <c r="C82" s="1"/>
      <c r="D82" s="1"/>
    </row>
    <row r="83" spans="3:4" ht="15" x14ac:dyDescent="0.25">
      <c r="C83" s="1"/>
      <c r="D83" s="1"/>
    </row>
    <row r="84" spans="3:4" ht="15" x14ac:dyDescent="0.25">
      <c r="C84" s="1"/>
      <c r="D84" s="1"/>
    </row>
    <row r="85" spans="3:4" ht="15" x14ac:dyDescent="0.25">
      <c r="C85" s="1"/>
      <c r="D85" s="1"/>
    </row>
    <row r="86" spans="3:4" ht="15" x14ac:dyDescent="0.25">
      <c r="C86" s="1"/>
      <c r="D86" s="1"/>
    </row>
    <row r="87" spans="3:4" ht="15" x14ac:dyDescent="0.25">
      <c r="C87" s="1"/>
      <c r="D87" s="1"/>
    </row>
    <row r="88" spans="3:4" ht="15" x14ac:dyDescent="0.25">
      <c r="C88" s="1"/>
      <c r="D88" s="1"/>
    </row>
    <row r="89" spans="3:4" ht="15" x14ac:dyDescent="0.25">
      <c r="C89" s="1"/>
      <c r="D89" s="1"/>
    </row>
    <row r="90" spans="3:4" ht="15" x14ac:dyDescent="0.25">
      <c r="C90" s="1"/>
      <c r="D90" s="1"/>
    </row>
    <row r="91" spans="3:4" ht="15" x14ac:dyDescent="0.25">
      <c r="C91" s="1"/>
      <c r="D91" s="1"/>
    </row>
    <row r="92" spans="3:4" ht="15" x14ac:dyDescent="0.25">
      <c r="C92" s="1"/>
      <c r="D92" s="1"/>
    </row>
    <row r="93" spans="3:4" ht="15" x14ac:dyDescent="0.25">
      <c r="C93" s="1"/>
      <c r="D93" s="1"/>
    </row>
    <row r="94" spans="3:4" ht="15" x14ac:dyDescent="0.25">
      <c r="C94" s="1"/>
      <c r="D94" s="1"/>
    </row>
    <row r="95" spans="3:4" ht="15" x14ac:dyDescent="0.25">
      <c r="C95" s="1"/>
      <c r="D95" s="1"/>
    </row>
    <row r="96" spans="3:4" ht="15" x14ac:dyDescent="0.25">
      <c r="C96" s="1"/>
      <c r="D96" s="1"/>
    </row>
    <row r="97" spans="3:4" ht="15" x14ac:dyDescent="0.25">
      <c r="C97" s="1"/>
      <c r="D97" s="1"/>
    </row>
    <row r="98" spans="3:4" ht="15" x14ac:dyDescent="0.25">
      <c r="C98" s="1"/>
      <c r="D98" s="1"/>
    </row>
    <row r="99" spans="3:4" ht="15" x14ac:dyDescent="0.25">
      <c r="C99" s="1"/>
      <c r="D99" s="1"/>
    </row>
    <row r="100" spans="3:4" ht="15" x14ac:dyDescent="0.25">
      <c r="C100" s="1"/>
      <c r="D100" s="1"/>
    </row>
    <row r="101" spans="3:4" ht="15" x14ac:dyDescent="0.25">
      <c r="C101" s="1"/>
      <c r="D101" s="1"/>
    </row>
    <row r="102" spans="3:4" ht="15" x14ac:dyDescent="0.25">
      <c r="C102" s="1"/>
      <c r="D102" s="1"/>
    </row>
    <row r="103" spans="3:4" ht="15" x14ac:dyDescent="0.25">
      <c r="C103" s="1"/>
      <c r="D103" s="1"/>
    </row>
    <row r="104" spans="3:4" ht="15" x14ac:dyDescent="0.25">
      <c r="C104" s="1"/>
      <c r="D104" s="1"/>
    </row>
  </sheetData>
  <phoneticPr fontId="3"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R21" sqref="R21"/>
    </sheetView>
  </sheetViews>
  <sheetFormatPr defaultRowHeight="12.75" x14ac:dyDescent="0.2"/>
  <sheetData>
    <row r="1" spans="1:1" ht="18.75" x14ac:dyDescent="0.3">
      <c r="A1" s="4" t="s">
        <v>697</v>
      </c>
    </row>
    <row r="3" spans="1:1" x14ac:dyDescent="0.2">
      <c r="A3" s="3" t="s">
        <v>701</v>
      </c>
    </row>
    <row r="4" spans="1:1" x14ac:dyDescent="0.2">
      <c r="A4" s="3" t="s">
        <v>698</v>
      </c>
    </row>
    <row r="6" spans="1:1" x14ac:dyDescent="0.2">
      <c r="A6" s="3" t="s">
        <v>493</v>
      </c>
    </row>
    <row r="7" spans="1:1" x14ac:dyDescent="0.2">
      <c r="A7" s="3" t="s">
        <v>702</v>
      </c>
    </row>
    <row r="9" spans="1:1" x14ac:dyDescent="0.2">
      <c r="A9" s="3" t="s">
        <v>494</v>
      </c>
    </row>
    <row r="10" spans="1:1" x14ac:dyDescent="0.2">
      <c r="A10" s="3" t="s">
        <v>699</v>
      </c>
    </row>
    <row r="12" spans="1:1" x14ac:dyDescent="0.2">
      <c r="A12" s="3" t="s">
        <v>495</v>
      </c>
    </row>
    <row r="13" spans="1:1" x14ac:dyDescent="0.2">
      <c r="A13" s="3" t="s">
        <v>700</v>
      </c>
    </row>
    <row r="15" spans="1:1" x14ac:dyDescent="0.2">
      <c r="A15" s="3" t="s">
        <v>535</v>
      </c>
    </row>
    <row r="16" spans="1:1" x14ac:dyDescent="0.2">
      <c r="A16" s="3" t="s">
        <v>703</v>
      </c>
    </row>
    <row r="17" spans="1:4" x14ac:dyDescent="0.2">
      <c r="A17" s="3" t="s">
        <v>704</v>
      </c>
    </row>
    <row r="19" spans="1:4" x14ac:dyDescent="0.2">
      <c r="A19" s="3" t="s">
        <v>705</v>
      </c>
    </row>
    <row r="20" spans="1:4" x14ac:dyDescent="0.2">
      <c r="A20" s="3" t="s">
        <v>706</v>
      </c>
    </row>
    <row r="22" spans="1:4" x14ac:dyDescent="0.2">
      <c r="A22" s="3" t="s">
        <v>520</v>
      </c>
    </row>
    <row r="23" spans="1:4" x14ac:dyDescent="0.2">
      <c r="A23" s="3" t="s">
        <v>707</v>
      </c>
    </row>
    <row r="24" spans="1:4" x14ac:dyDescent="0.2">
      <c r="B24" s="3" t="s">
        <v>709</v>
      </c>
      <c r="D24" s="3" t="s">
        <v>708</v>
      </c>
    </row>
    <row r="25" spans="1:4" ht="14.25" x14ac:dyDescent="0.2">
      <c r="B25" s="3" t="s">
        <v>710</v>
      </c>
      <c r="D25" s="3" t="s">
        <v>716</v>
      </c>
    </row>
    <row r="26" spans="1:4" ht="14.25" x14ac:dyDescent="0.2">
      <c r="B26" s="3" t="s">
        <v>711</v>
      </c>
      <c r="D26" s="3" t="s">
        <v>717</v>
      </c>
    </row>
    <row r="27" spans="1:4" x14ac:dyDescent="0.2">
      <c r="B27" s="3" t="s">
        <v>712</v>
      </c>
      <c r="D27" s="3" t="s">
        <v>713</v>
      </c>
    </row>
    <row r="28" spans="1:4" x14ac:dyDescent="0.2">
      <c r="B28" s="3" t="s">
        <v>714</v>
      </c>
      <c r="D28" s="3" t="s">
        <v>715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4"/>
  <sheetViews>
    <sheetView zoomScale="80" zoomScaleNormal="80" workbookViewId="0">
      <selection activeCell="L10" sqref="L10"/>
    </sheetView>
  </sheetViews>
  <sheetFormatPr defaultRowHeight="12.75" x14ac:dyDescent="0.2"/>
  <cols>
    <col min="1" max="1" width="9.140625" style="7"/>
    <col min="2" max="2" width="11.140625" style="7" customWidth="1"/>
    <col min="3" max="10" width="9.140625" style="7"/>
    <col min="11" max="11" width="11.85546875" style="7" bestFit="1" customWidth="1"/>
    <col min="12" max="16384" width="9.140625" style="7"/>
  </cols>
  <sheetData>
    <row r="1" spans="1:18" ht="15" x14ac:dyDescent="0.25">
      <c r="A1" s="5" t="s">
        <v>449</v>
      </c>
      <c r="B1" s="6"/>
      <c r="C1" s="6"/>
      <c r="D1" s="6"/>
      <c r="E1" s="6"/>
      <c r="F1" s="6"/>
      <c r="G1" s="6"/>
      <c r="J1" s="8" t="s">
        <v>450</v>
      </c>
      <c r="K1" s="9"/>
      <c r="L1" s="9"/>
      <c r="M1" s="9"/>
      <c r="N1" s="9"/>
      <c r="O1" s="9"/>
      <c r="P1" s="9"/>
      <c r="Q1" s="10"/>
      <c r="R1" s="10"/>
    </row>
    <row r="2" spans="1:18" ht="12.75" customHeight="1" x14ac:dyDescent="0.25">
      <c r="A2" s="11" t="s">
        <v>6</v>
      </c>
      <c r="B2" s="11"/>
      <c r="C2" s="11"/>
      <c r="D2" s="11"/>
      <c r="E2" s="11"/>
      <c r="F2" s="11"/>
      <c r="G2" s="6"/>
      <c r="J2" s="10" t="s">
        <v>455</v>
      </c>
      <c r="K2" s="12"/>
      <c r="L2" s="12"/>
      <c r="M2" s="12"/>
      <c r="N2" s="12"/>
      <c r="O2" s="12"/>
      <c r="P2" s="9"/>
      <c r="Q2" s="10"/>
      <c r="R2" s="10"/>
    </row>
    <row r="3" spans="1:18" ht="15" x14ac:dyDescent="0.25">
      <c r="A3" s="11"/>
      <c r="B3" s="11"/>
      <c r="C3" s="11"/>
      <c r="D3" s="11"/>
      <c r="E3" s="11"/>
      <c r="F3" s="11"/>
      <c r="G3" s="6"/>
      <c r="J3" s="13" t="s">
        <v>475</v>
      </c>
      <c r="K3" s="10"/>
      <c r="L3" s="10"/>
      <c r="M3" s="10"/>
      <c r="N3" s="12"/>
      <c r="O3" s="12"/>
      <c r="P3" s="9"/>
      <c r="Q3" s="10"/>
      <c r="R3" s="10"/>
    </row>
    <row r="4" spans="1:18" ht="15" x14ac:dyDescent="0.25">
      <c r="A4" s="11"/>
      <c r="B4" s="11"/>
      <c r="C4" s="11"/>
      <c r="D4" s="11"/>
      <c r="E4" s="11"/>
      <c r="F4" s="11"/>
      <c r="G4" s="6"/>
      <c r="J4" s="14" t="s">
        <v>577</v>
      </c>
      <c r="K4" s="12"/>
      <c r="L4" s="12"/>
      <c r="M4" s="228">
        <v>0.98</v>
      </c>
      <c r="N4" s="12"/>
      <c r="O4" s="12"/>
      <c r="P4" s="9"/>
      <c r="Q4" s="10"/>
      <c r="R4" s="10"/>
    </row>
    <row r="5" spans="1:18" ht="15" x14ac:dyDescent="0.25">
      <c r="A5" s="15"/>
      <c r="B5" s="15"/>
      <c r="C5" s="15"/>
      <c r="D5" s="15"/>
      <c r="E5" s="15"/>
      <c r="F5" s="15"/>
      <c r="G5" s="6"/>
      <c r="J5" s="14" t="s">
        <v>451</v>
      </c>
      <c r="K5" s="12"/>
      <c r="L5" s="12"/>
      <c r="M5" s="228">
        <v>0.01</v>
      </c>
      <c r="N5" s="12"/>
      <c r="O5" s="12"/>
      <c r="P5" s="9"/>
      <c r="Q5" s="10"/>
      <c r="R5" s="10"/>
    </row>
    <row r="6" spans="1:18" ht="15" x14ac:dyDescent="0.25">
      <c r="A6" s="5" t="s">
        <v>11</v>
      </c>
      <c r="B6" s="16" t="s">
        <v>9</v>
      </c>
      <c r="C6" s="17" t="s">
        <v>10</v>
      </c>
      <c r="D6" s="6"/>
      <c r="E6" s="15"/>
      <c r="F6" s="15"/>
      <c r="G6" s="6"/>
      <c r="J6" s="8" t="s">
        <v>11</v>
      </c>
      <c r="K6" s="18" t="s">
        <v>9</v>
      </c>
      <c r="L6" s="19" t="s">
        <v>10</v>
      </c>
      <c r="M6" s="9"/>
      <c r="N6" s="12"/>
      <c r="O6" s="12"/>
      <c r="P6" s="9"/>
      <c r="Q6" s="10"/>
      <c r="R6" s="10"/>
    </row>
    <row r="7" spans="1:18" ht="16.5" x14ac:dyDescent="0.3">
      <c r="A7" s="15"/>
      <c r="B7" s="20" t="s">
        <v>373</v>
      </c>
      <c r="C7" s="21">
        <v>2.4</v>
      </c>
      <c r="D7" s="6"/>
      <c r="E7" s="15"/>
      <c r="F7" s="15"/>
      <c r="G7" s="6"/>
      <c r="J7" s="12"/>
      <c r="K7" s="22" t="s">
        <v>373</v>
      </c>
      <c r="L7" s="229">
        <v>2.4</v>
      </c>
      <c r="M7" s="9"/>
      <c r="N7" s="12"/>
      <c r="O7" s="12"/>
      <c r="P7" s="9"/>
      <c r="Q7" s="10"/>
      <c r="R7" s="10"/>
    </row>
    <row r="8" spans="1:18" ht="16.5" x14ac:dyDescent="0.3">
      <c r="A8" s="6"/>
      <c r="B8" s="23" t="s">
        <v>374</v>
      </c>
      <c r="C8" s="24">
        <v>162.80000000000001</v>
      </c>
      <c r="D8" s="6"/>
      <c r="E8" s="6"/>
      <c r="F8" s="6"/>
      <c r="G8" s="6"/>
      <c r="J8" s="9"/>
      <c r="K8" s="25" t="s">
        <v>374</v>
      </c>
      <c r="L8" s="230">
        <v>162.80000000000001</v>
      </c>
      <c r="M8" s="9"/>
      <c r="N8" s="9"/>
      <c r="O8" s="9"/>
      <c r="P8" s="9"/>
      <c r="Q8" s="10"/>
      <c r="R8" s="10"/>
    </row>
    <row r="9" spans="1:18" ht="16.5" x14ac:dyDescent="0.3">
      <c r="A9" s="26"/>
      <c r="B9" s="20" t="s">
        <v>375</v>
      </c>
      <c r="C9" s="24">
        <v>31</v>
      </c>
      <c r="D9" s="6"/>
      <c r="E9" s="6"/>
      <c r="F9" s="6"/>
      <c r="G9" s="6"/>
      <c r="J9" s="14"/>
      <c r="K9" s="22" t="s">
        <v>375</v>
      </c>
      <c r="L9" s="230">
        <v>31</v>
      </c>
      <c r="M9" s="9"/>
      <c r="N9" s="9"/>
      <c r="O9" s="9"/>
      <c r="P9" s="9"/>
      <c r="Q9" s="10"/>
      <c r="R9" s="10"/>
    </row>
    <row r="10" spans="1:18" ht="16.5" x14ac:dyDescent="0.3">
      <c r="A10" s="6"/>
      <c r="B10" s="20" t="s">
        <v>376</v>
      </c>
      <c r="C10" s="21">
        <v>76.7</v>
      </c>
      <c r="D10" s="6"/>
      <c r="E10" s="6"/>
      <c r="F10" s="6"/>
      <c r="G10" s="6"/>
      <c r="J10" s="9"/>
      <c r="K10" s="22" t="s">
        <v>376</v>
      </c>
      <c r="L10" s="229">
        <v>76.7</v>
      </c>
      <c r="M10" s="9"/>
      <c r="N10" s="9"/>
      <c r="O10" s="9"/>
      <c r="P10" s="9"/>
      <c r="Q10" s="10"/>
      <c r="R10" s="10"/>
    </row>
    <row r="11" spans="1:18" ht="16.5" x14ac:dyDescent="0.3">
      <c r="A11" s="6"/>
      <c r="B11" s="27" t="s">
        <v>377</v>
      </c>
      <c r="C11" s="28">
        <v>76.5</v>
      </c>
      <c r="D11" s="6"/>
      <c r="E11" s="6"/>
      <c r="F11" s="6"/>
      <c r="G11" s="6"/>
      <c r="J11" s="9"/>
      <c r="K11" s="29" t="s">
        <v>377</v>
      </c>
      <c r="L11" s="231">
        <v>76.5</v>
      </c>
      <c r="M11" s="9"/>
      <c r="N11" s="9"/>
      <c r="O11" s="9"/>
      <c r="P11" s="9"/>
      <c r="Q11" s="10"/>
      <c r="R11" s="10"/>
    </row>
    <row r="12" spans="1:18" ht="15" x14ac:dyDescent="0.25">
      <c r="A12" s="6"/>
      <c r="B12" s="6"/>
      <c r="C12" s="24">
        <f>SUM(C7:C11)</f>
        <v>349.40000000000003</v>
      </c>
      <c r="D12" s="6" t="s">
        <v>12</v>
      </c>
      <c r="E12" s="6"/>
      <c r="F12" s="6"/>
      <c r="G12" s="6"/>
      <c r="J12" s="9"/>
      <c r="K12" s="9"/>
      <c r="L12" s="30">
        <f>SUM(L7:L11)</f>
        <v>349.40000000000003</v>
      </c>
      <c r="M12" s="9" t="s">
        <v>12</v>
      </c>
      <c r="N12" s="9"/>
      <c r="O12" s="9"/>
      <c r="P12" s="9"/>
      <c r="Q12" s="10"/>
      <c r="R12" s="10"/>
    </row>
    <row r="13" spans="1:18" ht="15" x14ac:dyDescent="0.25">
      <c r="A13" s="6"/>
      <c r="B13" s="6"/>
      <c r="C13" s="6"/>
      <c r="D13" s="6"/>
      <c r="E13" s="6"/>
      <c r="F13" s="6"/>
      <c r="G13" s="6"/>
      <c r="J13" s="9"/>
      <c r="K13" s="9"/>
      <c r="L13" s="9"/>
      <c r="M13" s="9"/>
      <c r="N13" s="9"/>
      <c r="O13" s="9"/>
      <c r="P13" s="9"/>
      <c r="Q13" s="10"/>
      <c r="R13" s="10"/>
    </row>
    <row r="14" spans="1:18" ht="15" x14ac:dyDescent="0.25">
      <c r="A14" s="6" t="s">
        <v>13</v>
      </c>
      <c r="B14" s="6"/>
      <c r="C14" s="6"/>
      <c r="D14" s="6"/>
      <c r="E14" s="6"/>
      <c r="F14" s="6"/>
      <c r="G14" s="6"/>
      <c r="J14" s="9" t="s">
        <v>453</v>
      </c>
      <c r="K14" s="9"/>
      <c r="L14" s="9"/>
      <c r="M14" s="9"/>
      <c r="N14" s="9"/>
      <c r="O14" s="9"/>
      <c r="P14" s="9"/>
      <c r="Q14" s="10"/>
      <c r="R14" s="10"/>
    </row>
    <row r="15" spans="1:18" ht="15" x14ac:dyDescent="0.25">
      <c r="A15" s="6"/>
      <c r="B15" s="6"/>
      <c r="C15" s="6"/>
      <c r="D15" s="6"/>
      <c r="E15" s="6"/>
      <c r="F15" s="6"/>
      <c r="G15" s="6"/>
      <c r="J15" s="9"/>
      <c r="K15" s="9"/>
      <c r="L15" s="9"/>
      <c r="M15" s="9"/>
      <c r="N15" s="9"/>
      <c r="O15" s="9"/>
      <c r="P15" s="9"/>
      <c r="Q15" s="10"/>
      <c r="R15" s="10"/>
    </row>
    <row r="16" spans="1:18" ht="15" x14ac:dyDescent="0.25">
      <c r="A16" s="6" t="s">
        <v>14</v>
      </c>
      <c r="B16" s="6"/>
      <c r="C16" s="6"/>
      <c r="D16" s="6"/>
      <c r="E16" s="6"/>
      <c r="F16" s="6"/>
      <c r="G16" s="6"/>
      <c r="J16" s="9" t="s">
        <v>574</v>
      </c>
      <c r="K16" s="9"/>
      <c r="L16" s="31">
        <f>M4</f>
        <v>0.98</v>
      </c>
      <c r="M16" s="31" t="s">
        <v>573</v>
      </c>
      <c r="N16" s="32">
        <f>L8</f>
        <v>162.80000000000001</v>
      </c>
      <c r="O16" s="9"/>
      <c r="P16" s="9"/>
      <c r="Q16" s="10"/>
      <c r="R16" s="10"/>
    </row>
    <row r="17" spans="1:18" ht="15" x14ac:dyDescent="0.25">
      <c r="A17" s="6"/>
      <c r="B17" s="6"/>
      <c r="C17" s="6"/>
      <c r="D17" s="6"/>
      <c r="E17" s="6"/>
      <c r="F17" s="6"/>
      <c r="G17" s="6"/>
      <c r="J17" s="9"/>
      <c r="K17" s="9"/>
      <c r="L17" s="9"/>
      <c r="M17" s="9"/>
      <c r="N17" s="9"/>
      <c r="O17" s="9"/>
      <c r="P17" s="9"/>
      <c r="Q17" s="10"/>
      <c r="R17" s="10"/>
    </row>
    <row r="18" spans="1:18" ht="15" x14ac:dyDescent="0.25">
      <c r="A18" s="6"/>
      <c r="B18" s="24">
        <f>0.98*C8</f>
        <v>159.54400000000001</v>
      </c>
      <c r="C18" s="6" t="s">
        <v>12</v>
      </c>
      <c r="D18" s="6"/>
      <c r="E18" s="6"/>
      <c r="F18" s="6"/>
      <c r="G18" s="6"/>
      <c r="J18" s="9"/>
      <c r="K18" s="30">
        <f>M4*L8</f>
        <v>159.54400000000001</v>
      </c>
      <c r="L18" s="9" t="s">
        <v>12</v>
      </c>
      <c r="M18" s="9"/>
      <c r="N18" s="9"/>
      <c r="O18" s="9"/>
      <c r="P18" s="9"/>
      <c r="Q18" s="10"/>
      <c r="R18" s="10"/>
    </row>
    <row r="19" spans="1:18" ht="15" x14ac:dyDescent="0.25">
      <c r="A19" s="6"/>
      <c r="B19" s="6"/>
      <c r="C19" s="6"/>
      <c r="D19" s="6"/>
      <c r="E19" s="6"/>
      <c r="F19" s="6"/>
      <c r="G19" s="6"/>
      <c r="J19" s="9"/>
      <c r="K19" s="9"/>
      <c r="L19" s="9"/>
      <c r="M19" s="9"/>
      <c r="N19" s="9"/>
      <c r="O19" s="9"/>
      <c r="P19" s="9"/>
      <c r="Q19" s="10"/>
      <c r="R19" s="10"/>
    </row>
    <row r="20" spans="1:18" ht="15" x14ac:dyDescent="0.25">
      <c r="A20" s="6" t="s">
        <v>16</v>
      </c>
      <c r="B20" s="6"/>
      <c r="C20" s="6"/>
      <c r="D20" s="6"/>
      <c r="E20" s="6"/>
      <c r="F20" s="6"/>
      <c r="G20" s="6"/>
      <c r="J20" s="9" t="s">
        <v>16</v>
      </c>
      <c r="K20" s="9"/>
      <c r="L20" s="9"/>
      <c r="M20" s="9"/>
      <c r="N20" s="9"/>
      <c r="O20" s="9"/>
      <c r="P20" s="9"/>
      <c r="Q20" s="10"/>
      <c r="R20" s="10"/>
    </row>
    <row r="21" spans="1:18" ht="15" x14ac:dyDescent="0.25">
      <c r="A21" s="6"/>
      <c r="B21" s="6"/>
      <c r="C21" s="6"/>
      <c r="D21" s="6"/>
      <c r="E21" s="6"/>
      <c r="F21" s="6"/>
      <c r="G21" s="6"/>
      <c r="J21" s="9"/>
      <c r="K21" s="9"/>
      <c r="L21" s="9"/>
      <c r="M21" s="9"/>
      <c r="N21" s="9"/>
      <c r="O21" s="9"/>
      <c r="P21" s="9"/>
      <c r="Q21" s="10"/>
      <c r="R21" s="10"/>
    </row>
    <row r="22" spans="1:18" ht="15" x14ac:dyDescent="0.25">
      <c r="A22" s="6" t="s">
        <v>15</v>
      </c>
      <c r="B22" s="6"/>
      <c r="C22" s="6"/>
      <c r="D22" s="6"/>
      <c r="E22" s="6"/>
      <c r="F22" s="6"/>
      <c r="G22" s="6"/>
      <c r="J22" s="9" t="s">
        <v>580</v>
      </c>
      <c r="K22" s="10"/>
      <c r="L22" s="30">
        <f>L8</f>
        <v>162.80000000000001</v>
      </c>
      <c r="M22" s="22" t="s">
        <v>127</v>
      </c>
      <c r="N22" s="30">
        <f>K18</f>
        <v>159.54400000000001</v>
      </c>
      <c r="O22" s="9"/>
      <c r="P22" s="9"/>
      <c r="Q22" s="10"/>
      <c r="R22" s="10"/>
    </row>
    <row r="23" spans="1:18" ht="15" x14ac:dyDescent="0.25">
      <c r="A23" s="6"/>
      <c r="B23" s="6"/>
      <c r="C23" s="6"/>
      <c r="D23" s="6"/>
      <c r="E23" s="6"/>
      <c r="F23" s="6"/>
      <c r="G23" s="6"/>
      <c r="J23" s="9"/>
      <c r="K23" s="9"/>
      <c r="L23" s="9"/>
      <c r="M23" s="9"/>
      <c r="N23" s="9"/>
      <c r="O23" s="9"/>
      <c r="P23" s="9"/>
      <c r="Q23" s="10"/>
      <c r="R23" s="10"/>
    </row>
    <row r="24" spans="1:18" ht="15" x14ac:dyDescent="0.25">
      <c r="A24" s="6"/>
      <c r="B24" s="24">
        <f>C8-B18</f>
        <v>3.2560000000000002</v>
      </c>
      <c r="C24" s="6" t="s">
        <v>12</v>
      </c>
      <c r="D24" s="6"/>
      <c r="E24" s="6"/>
      <c r="F24" s="6"/>
      <c r="G24" s="6"/>
      <c r="J24" s="9"/>
      <c r="K24" s="30">
        <f>L8-K18</f>
        <v>3.2560000000000002</v>
      </c>
      <c r="L24" s="9" t="s">
        <v>12</v>
      </c>
      <c r="M24" s="9"/>
      <c r="N24" s="9"/>
      <c r="O24" s="9"/>
      <c r="P24" s="9"/>
      <c r="Q24" s="10"/>
      <c r="R24" s="10"/>
    </row>
    <row r="25" spans="1:18" ht="15" x14ac:dyDescent="0.25">
      <c r="A25" s="6"/>
      <c r="B25" s="6"/>
      <c r="C25" s="6"/>
      <c r="D25" s="6"/>
      <c r="E25" s="6"/>
      <c r="F25" s="6"/>
      <c r="G25" s="6"/>
      <c r="J25" s="9"/>
      <c r="K25" s="9"/>
      <c r="L25" s="9"/>
      <c r="M25" s="9"/>
      <c r="N25" s="9"/>
      <c r="O25" s="9"/>
      <c r="P25" s="9"/>
      <c r="Q25" s="10"/>
      <c r="R25" s="10"/>
    </row>
    <row r="26" spans="1:18" ht="12.75" customHeight="1" x14ac:dyDescent="0.25">
      <c r="A26" s="11" t="s">
        <v>570</v>
      </c>
      <c r="B26" s="11"/>
      <c r="C26" s="11"/>
      <c r="D26" s="11"/>
      <c r="E26" s="11"/>
      <c r="F26" s="6"/>
      <c r="G26" s="6"/>
      <c r="J26" s="33" t="s">
        <v>570</v>
      </c>
      <c r="K26" s="33"/>
      <c r="L26" s="33"/>
      <c r="M26" s="33"/>
      <c r="N26" s="33"/>
      <c r="O26" s="9"/>
      <c r="P26" s="9"/>
      <c r="Q26" s="10"/>
      <c r="R26" s="10"/>
    </row>
    <row r="27" spans="1:18" ht="15" x14ac:dyDescent="0.25">
      <c r="A27" s="11"/>
      <c r="B27" s="11"/>
      <c r="C27" s="11"/>
      <c r="D27" s="11"/>
      <c r="E27" s="11"/>
      <c r="F27" s="6"/>
      <c r="G27" s="6"/>
      <c r="J27" s="33"/>
      <c r="K27" s="33"/>
      <c r="L27" s="33"/>
      <c r="M27" s="33"/>
      <c r="N27" s="33"/>
      <c r="O27" s="9"/>
      <c r="P27" s="9"/>
      <c r="Q27" s="10"/>
      <c r="R27" s="10"/>
    </row>
    <row r="28" spans="1:18" ht="15" x14ac:dyDescent="0.25">
      <c r="A28" s="15"/>
      <c r="B28" s="15"/>
      <c r="C28" s="15"/>
      <c r="D28" s="15"/>
      <c r="E28" s="15"/>
      <c r="F28" s="6"/>
      <c r="G28" s="6"/>
      <c r="J28" s="12"/>
      <c r="K28" s="12"/>
      <c r="L28" s="12"/>
      <c r="M28" s="12"/>
      <c r="N28" s="12"/>
      <c r="O28" s="9"/>
      <c r="P28" s="9"/>
      <c r="Q28" s="10"/>
      <c r="R28" s="10"/>
    </row>
    <row r="29" spans="1:18" ht="15" x14ac:dyDescent="0.25">
      <c r="A29" s="6" t="s">
        <v>17</v>
      </c>
      <c r="B29" s="6"/>
      <c r="C29" s="6"/>
      <c r="D29" s="6"/>
      <c r="E29" s="6"/>
      <c r="F29" s="6"/>
      <c r="G29" s="6"/>
      <c r="J29" s="9" t="s">
        <v>17</v>
      </c>
      <c r="K29" s="9"/>
      <c r="L29" s="9"/>
      <c r="M29" s="9"/>
      <c r="N29" s="9"/>
      <c r="O29" s="9"/>
      <c r="P29" s="9"/>
      <c r="Q29" s="10"/>
      <c r="R29" s="10"/>
    </row>
    <row r="30" spans="1:18" ht="15" x14ac:dyDescent="0.25">
      <c r="A30" s="6"/>
      <c r="B30" s="6"/>
      <c r="C30" s="6"/>
      <c r="D30" s="6"/>
      <c r="E30" s="6"/>
      <c r="F30" s="6"/>
      <c r="G30" s="6"/>
      <c r="J30" s="9"/>
      <c r="K30" s="9"/>
      <c r="L30" s="9"/>
      <c r="M30" s="9"/>
      <c r="N30" s="9"/>
      <c r="O30" s="9"/>
      <c r="P30" s="9"/>
      <c r="Q30" s="10"/>
      <c r="R30" s="10"/>
    </row>
    <row r="31" spans="1:18" ht="15" x14ac:dyDescent="0.25">
      <c r="A31" s="6"/>
      <c r="B31" s="24">
        <f>C7</f>
        <v>2.4</v>
      </c>
      <c r="C31" s="6" t="s">
        <v>12</v>
      </c>
      <c r="D31" s="6"/>
      <c r="E31" s="6"/>
      <c r="F31" s="6"/>
      <c r="G31" s="6"/>
      <c r="J31" s="9"/>
      <c r="K31" s="30">
        <f>L7</f>
        <v>2.4</v>
      </c>
      <c r="L31" s="9" t="s">
        <v>12</v>
      </c>
      <c r="M31" s="9"/>
      <c r="N31" s="9"/>
      <c r="O31" s="9"/>
      <c r="P31" s="9"/>
      <c r="Q31" s="10"/>
      <c r="R31" s="10"/>
    </row>
    <row r="32" spans="1:18" ht="15" x14ac:dyDescent="0.25">
      <c r="A32" s="6"/>
      <c r="B32" s="6"/>
      <c r="C32" s="6"/>
      <c r="D32" s="6"/>
      <c r="E32" s="6"/>
      <c r="F32" s="6"/>
      <c r="G32" s="6"/>
      <c r="J32" s="9"/>
      <c r="K32" s="9"/>
      <c r="L32" s="9"/>
      <c r="M32" s="9"/>
      <c r="N32" s="9"/>
      <c r="O32" s="9"/>
      <c r="P32" s="9"/>
      <c r="Q32" s="10"/>
      <c r="R32" s="10"/>
    </row>
    <row r="33" spans="1:18" ht="15" x14ac:dyDescent="0.25">
      <c r="A33" s="6" t="s">
        <v>18</v>
      </c>
      <c r="B33" s="6"/>
      <c r="C33" s="6"/>
      <c r="D33" s="6"/>
      <c r="E33" s="6"/>
      <c r="F33" s="6"/>
      <c r="G33" s="6"/>
      <c r="J33" s="9" t="s">
        <v>452</v>
      </c>
      <c r="K33" s="9"/>
      <c r="L33" s="9"/>
      <c r="M33" s="9"/>
      <c r="N33" s="9"/>
      <c r="O33" s="9"/>
      <c r="P33" s="9"/>
      <c r="Q33" s="10"/>
      <c r="R33" s="10"/>
    </row>
    <row r="34" spans="1:18" ht="15" x14ac:dyDescent="0.25">
      <c r="A34" s="6"/>
      <c r="B34" s="6"/>
      <c r="C34" s="6"/>
      <c r="D34" s="6"/>
      <c r="E34" s="6"/>
      <c r="F34" s="6"/>
      <c r="G34" s="6"/>
      <c r="J34" s="9"/>
      <c r="K34" s="9"/>
      <c r="L34" s="9"/>
      <c r="M34" s="9"/>
      <c r="N34" s="9"/>
      <c r="O34" s="9"/>
      <c r="P34" s="9"/>
      <c r="Q34" s="10"/>
      <c r="R34" s="10"/>
    </row>
    <row r="35" spans="1:18" ht="15" x14ac:dyDescent="0.25">
      <c r="A35" s="6" t="s">
        <v>19</v>
      </c>
      <c r="B35" s="6"/>
      <c r="C35" s="6"/>
      <c r="D35" s="6"/>
      <c r="E35" s="6"/>
      <c r="F35" s="6"/>
      <c r="G35" s="6"/>
      <c r="J35" s="9" t="s">
        <v>572</v>
      </c>
      <c r="K35" s="9"/>
      <c r="L35" s="9"/>
      <c r="M35" s="9"/>
      <c r="N35" s="9"/>
      <c r="O35" s="9"/>
      <c r="P35" s="34">
        <f>1-M4</f>
        <v>2.0000000000000018E-2</v>
      </c>
      <c r="Q35" s="10" t="s">
        <v>571</v>
      </c>
      <c r="R35" s="10"/>
    </row>
    <row r="36" spans="1:18" ht="15" x14ac:dyDescent="0.25">
      <c r="A36" s="6"/>
      <c r="B36" s="6"/>
      <c r="C36" s="6"/>
      <c r="D36" s="6"/>
      <c r="E36" s="6"/>
      <c r="F36" s="6"/>
      <c r="G36" s="6"/>
      <c r="J36" s="9"/>
      <c r="K36" s="9"/>
      <c r="L36" s="9"/>
      <c r="M36" s="9"/>
      <c r="N36" s="9"/>
      <c r="O36" s="9"/>
      <c r="P36" s="9"/>
      <c r="Q36" s="10"/>
      <c r="R36" s="10"/>
    </row>
    <row r="37" spans="1:18" ht="15" x14ac:dyDescent="0.25">
      <c r="A37" s="6"/>
      <c r="B37" s="20" t="s">
        <v>7</v>
      </c>
      <c r="C37" s="24">
        <f>B31</f>
        <v>2.4</v>
      </c>
      <c r="D37" s="6" t="s">
        <v>12</v>
      </c>
      <c r="E37" s="6"/>
      <c r="F37" s="6"/>
      <c r="G37" s="6"/>
      <c r="J37" s="9"/>
      <c r="K37" s="22" t="s">
        <v>7</v>
      </c>
      <c r="L37" s="30">
        <f>K31</f>
        <v>2.4</v>
      </c>
      <c r="M37" s="9" t="s">
        <v>12</v>
      </c>
      <c r="N37" s="9"/>
      <c r="O37" s="9"/>
      <c r="P37" s="9"/>
      <c r="Q37" s="10"/>
      <c r="R37" s="10"/>
    </row>
    <row r="38" spans="1:18" ht="15" x14ac:dyDescent="0.25">
      <c r="A38" s="6"/>
      <c r="B38" s="20" t="s">
        <v>8</v>
      </c>
      <c r="C38" s="24">
        <f>B18</f>
        <v>159.54400000000001</v>
      </c>
      <c r="D38" s="6" t="s">
        <v>12</v>
      </c>
      <c r="E38" s="6"/>
      <c r="F38" s="6"/>
      <c r="G38" s="6"/>
      <c r="J38" s="9"/>
      <c r="K38" s="22" t="s">
        <v>8</v>
      </c>
      <c r="L38" s="30">
        <f>K18</f>
        <v>159.54400000000001</v>
      </c>
      <c r="M38" s="9" t="s">
        <v>12</v>
      </c>
      <c r="N38" s="9"/>
      <c r="O38" s="9"/>
      <c r="P38" s="9"/>
      <c r="Q38" s="10"/>
      <c r="R38" s="10"/>
    </row>
    <row r="39" spans="1:18" ht="15" x14ac:dyDescent="0.25">
      <c r="A39" s="6"/>
      <c r="B39" s="20" t="s">
        <v>311</v>
      </c>
      <c r="C39" s="24">
        <f>SUM(C37:C38)</f>
        <v>161.94400000000002</v>
      </c>
      <c r="D39" s="6" t="s">
        <v>12</v>
      </c>
      <c r="E39" s="6"/>
      <c r="F39" s="6"/>
      <c r="G39" s="6"/>
      <c r="J39" s="9"/>
      <c r="K39" s="22" t="s">
        <v>311</v>
      </c>
      <c r="L39" s="30">
        <f>SUM(L37:L38)</f>
        <v>161.94400000000002</v>
      </c>
      <c r="M39" s="9" t="s">
        <v>12</v>
      </c>
      <c r="N39" s="9"/>
      <c r="O39" s="9"/>
      <c r="P39" s="9"/>
      <c r="Q39" s="10"/>
      <c r="R39" s="10"/>
    </row>
    <row r="40" spans="1:18" ht="15" x14ac:dyDescent="0.25">
      <c r="A40" s="6"/>
      <c r="B40" s="6"/>
      <c r="C40" s="6"/>
      <c r="D40" s="6"/>
      <c r="E40" s="6"/>
      <c r="F40" s="6"/>
      <c r="G40" s="227"/>
      <c r="J40" s="9"/>
      <c r="K40" s="9"/>
      <c r="L40" s="9"/>
      <c r="M40" s="9"/>
      <c r="N40" s="9"/>
      <c r="O40" s="9"/>
      <c r="P40" s="9"/>
      <c r="Q40" s="10"/>
      <c r="R40" s="10"/>
    </row>
    <row r="41" spans="1:18" ht="15" x14ac:dyDescent="0.25">
      <c r="A41" s="6" t="s">
        <v>20</v>
      </c>
      <c r="B41" s="6"/>
      <c r="C41" s="6"/>
      <c r="D41" s="6"/>
      <c r="E41" s="6"/>
      <c r="F41" s="6"/>
      <c r="G41" s="6"/>
      <c r="J41" s="9" t="s">
        <v>576</v>
      </c>
      <c r="K41" s="9"/>
      <c r="L41" s="9"/>
      <c r="M41" s="32">
        <f>L39</f>
        <v>161.94400000000002</v>
      </c>
      <c r="N41" s="35" t="s">
        <v>575</v>
      </c>
      <c r="O41" s="31">
        <v>0.99</v>
      </c>
      <c r="P41" s="9"/>
      <c r="Q41" s="10"/>
      <c r="R41" s="10"/>
    </row>
    <row r="42" spans="1:18" ht="15" x14ac:dyDescent="0.25">
      <c r="A42" s="6"/>
      <c r="B42" s="6"/>
      <c r="C42" s="6"/>
      <c r="D42" s="6"/>
      <c r="E42" s="6"/>
      <c r="F42" s="6"/>
      <c r="G42" s="6"/>
      <c r="J42" s="9"/>
      <c r="K42" s="9"/>
      <c r="L42" s="9"/>
      <c r="M42" s="9"/>
      <c r="N42" s="9"/>
      <c r="O42" s="9"/>
      <c r="P42" s="9"/>
      <c r="Q42" s="10"/>
      <c r="R42" s="10"/>
    </row>
    <row r="43" spans="1:18" ht="15" x14ac:dyDescent="0.25">
      <c r="A43" s="6"/>
      <c r="B43" s="6"/>
      <c r="C43" s="24">
        <f>C39/0.99</f>
        <v>163.579797979798</v>
      </c>
      <c r="D43" s="6" t="s">
        <v>12</v>
      </c>
      <c r="E43" s="6"/>
      <c r="F43" s="6"/>
      <c r="G43" s="6"/>
      <c r="J43" s="9"/>
      <c r="K43" s="9"/>
      <c r="L43" s="30">
        <f>L39/0.99</f>
        <v>163.579797979798</v>
      </c>
      <c r="M43" s="9" t="s">
        <v>12</v>
      </c>
      <c r="N43" s="9"/>
      <c r="O43" s="9"/>
      <c r="P43" s="9"/>
      <c r="Q43" s="10"/>
      <c r="R43" s="10"/>
    </row>
    <row r="44" spans="1:18" ht="15" x14ac:dyDescent="0.25">
      <c r="A44" s="6"/>
      <c r="B44" s="6"/>
      <c r="C44" s="24"/>
      <c r="D44" s="6"/>
      <c r="E44" s="6"/>
      <c r="F44" s="6"/>
      <c r="G44" s="6"/>
      <c r="J44" s="9"/>
      <c r="K44" s="9"/>
      <c r="L44" s="30"/>
      <c r="M44" s="9"/>
      <c r="N44" s="9"/>
      <c r="O44" s="9"/>
      <c r="P44" s="9"/>
      <c r="Q44" s="10"/>
      <c r="R44" s="10"/>
    </row>
    <row r="45" spans="1:18" ht="15" x14ac:dyDescent="0.25">
      <c r="A45" s="6" t="s">
        <v>21</v>
      </c>
      <c r="B45" s="6"/>
      <c r="C45" s="6"/>
      <c r="D45" s="6"/>
      <c r="E45" s="6"/>
      <c r="F45" s="6"/>
      <c r="G45" s="6"/>
      <c r="J45" s="9" t="s">
        <v>21</v>
      </c>
      <c r="K45" s="9"/>
      <c r="L45" s="9"/>
      <c r="M45" s="9"/>
      <c r="N45" s="9"/>
      <c r="O45" s="9"/>
      <c r="P45" s="9"/>
      <c r="Q45" s="10"/>
      <c r="R45" s="10"/>
    </row>
    <row r="46" spans="1:18" ht="15" x14ac:dyDescent="0.25">
      <c r="A46" s="6"/>
      <c r="B46" s="6"/>
      <c r="C46" s="6"/>
      <c r="D46" s="6"/>
      <c r="E46" s="6"/>
      <c r="F46" s="6"/>
      <c r="G46" s="6"/>
      <c r="J46" s="9"/>
      <c r="K46" s="9"/>
      <c r="L46" s="9"/>
      <c r="M46" s="9"/>
      <c r="N46" s="9"/>
      <c r="O46" s="9"/>
      <c r="P46" s="9"/>
      <c r="Q46" s="10"/>
      <c r="R46" s="10"/>
    </row>
    <row r="47" spans="1:18" ht="15" x14ac:dyDescent="0.25">
      <c r="A47" s="6" t="s">
        <v>22</v>
      </c>
      <c r="B47" s="6"/>
      <c r="C47" s="6"/>
      <c r="D47" s="6"/>
      <c r="E47" s="6"/>
      <c r="F47" s="6"/>
      <c r="G47" s="6"/>
      <c r="J47" s="9" t="s">
        <v>579</v>
      </c>
      <c r="K47" s="9"/>
      <c r="L47" s="31">
        <f>M5</f>
        <v>0.01</v>
      </c>
      <c r="M47" s="9" t="s">
        <v>578</v>
      </c>
      <c r="N47" s="32">
        <f>L43</f>
        <v>163.579797979798</v>
      </c>
      <c r="O47" s="9"/>
      <c r="P47" s="9"/>
      <c r="Q47" s="10"/>
      <c r="R47" s="10"/>
    </row>
    <row r="48" spans="1:18" ht="15" x14ac:dyDescent="0.25">
      <c r="A48" s="6"/>
      <c r="B48" s="6"/>
      <c r="C48" s="6"/>
      <c r="D48" s="6"/>
      <c r="E48" s="6"/>
      <c r="F48" s="6"/>
      <c r="G48" s="6"/>
      <c r="J48" s="9"/>
      <c r="K48" s="9"/>
      <c r="L48" s="9"/>
      <c r="M48" s="9"/>
      <c r="N48" s="9"/>
      <c r="O48" s="9"/>
      <c r="P48" s="9"/>
      <c r="Q48" s="10"/>
      <c r="R48" s="10"/>
    </row>
    <row r="49" spans="1:19" ht="15" x14ac:dyDescent="0.25">
      <c r="A49" s="6"/>
      <c r="B49" s="6"/>
      <c r="C49" s="24">
        <f>0.01*C43</f>
        <v>1.63579797979798</v>
      </c>
      <c r="D49" s="6" t="s">
        <v>12</v>
      </c>
      <c r="E49" s="6"/>
      <c r="F49" s="6"/>
      <c r="G49" s="6"/>
      <c r="J49" s="9"/>
      <c r="K49" s="9"/>
      <c r="L49" s="30">
        <f>M5*L43</f>
        <v>1.63579797979798</v>
      </c>
      <c r="M49" s="9" t="s">
        <v>12</v>
      </c>
      <c r="N49" s="9"/>
      <c r="O49" s="9"/>
      <c r="P49" s="9"/>
      <c r="Q49" s="10"/>
      <c r="R49" s="10"/>
    </row>
    <row r="50" spans="1:19" ht="15" x14ac:dyDescent="0.25">
      <c r="A50" s="6"/>
      <c r="B50" s="6"/>
      <c r="C50" s="6"/>
      <c r="D50" s="6"/>
      <c r="E50" s="6"/>
      <c r="F50" s="6"/>
      <c r="G50" s="6"/>
      <c r="J50" s="9"/>
      <c r="K50" s="9"/>
      <c r="L50" s="9"/>
      <c r="M50" s="9"/>
      <c r="N50" s="9"/>
      <c r="O50" s="9"/>
      <c r="P50" s="9"/>
      <c r="Q50" s="10"/>
      <c r="R50" s="10"/>
    </row>
    <row r="51" spans="1:19" ht="15" x14ac:dyDescent="0.25">
      <c r="A51" s="6" t="s">
        <v>23</v>
      </c>
      <c r="B51" s="6"/>
      <c r="C51" s="6"/>
      <c r="D51" s="6"/>
      <c r="E51" s="6"/>
      <c r="F51" s="6"/>
      <c r="G51" s="6"/>
      <c r="J51" s="9" t="s">
        <v>23</v>
      </c>
      <c r="K51" s="9"/>
      <c r="L51" s="9"/>
      <c r="M51" s="9"/>
      <c r="N51" s="9"/>
      <c r="O51" s="9"/>
      <c r="P51" s="9"/>
      <c r="Q51" s="10"/>
      <c r="R51" s="10"/>
    </row>
    <row r="52" spans="1:19" ht="15" x14ac:dyDescent="0.25">
      <c r="A52" s="6"/>
      <c r="B52" s="6"/>
      <c r="C52" s="6"/>
      <c r="D52" s="6"/>
      <c r="E52" s="6"/>
      <c r="F52" s="6"/>
      <c r="G52" s="6"/>
      <c r="J52" s="9"/>
      <c r="K52" s="9"/>
      <c r="L52" s="9"/>
      <c r="M52" s="9"/>
      <c r="N52" s="9"/>
      <c r="O52" s="9"/>
      <c r="P52" s="9"/>
      <c r="Q52" s="10"/>
      <c r="R52" s="10"/>
      <c r="S52" s="36"/>
    </row>
    <row r="53" spans="1:19" ht="15" x14ac:dyDescent="0.25">
      <c r="A53" s="6" t="s">
        <v>24</v>
      </c>
      <c r="B53" s="6"/>
      <c r="C53" s="6"/>
      <c r="D53" s="6"/>
      <c r="E53" s="6"/>
      <c r="F53" s="6"/>
      <c r="G53" s="6"/>
      <c r="J53" s="9" t="s">
        <v>581</v>
      </c>
      <c r="K53" s="9"/>
      <c r="L53" s="37">
        <f>L9</f>
        <v>31</v>
      </c>
      <c r="M53" s="22" t="s">
        <v>127</v>
      </c>
      <c r="N53" s="37">
        <f>L49</f>
        <v>1.63579797979798</v>
      </c>
      <c r="O53" s="9"/>
      <c r="P53" s="9"/>
      <c r="Q53" s="10"/>
      <c r="R53" s="10"/>
    </row>
    <row r="54" spans="1:19" ht="15" x14ac:dyDescent="0.25">
      <c r="A54" s="6"/>
      <c r="B54" s="6"/>
      <c r="C54" s="6"/>
      <c r="D54" s="6"/>
      <c r="E54" s="6"/>
      <c r="F54" s="6"/>
      <c r="G54" s="6"/>
      <c r="J54" s="9"/>
      <c r="K54" s="9"/>
      <c r="L54" s="9"/>
      <c r="M54" s="9"/>
      <c r="N54" s="9"/>
      <c r="O54" s="9"/>
      <c r="P54" s="9"/>
      <c r="Q54" s="10"/>
      <c r="R54" s="10"/>
    </row>
    <row r="55" spans="1:19" ht="15" x14ac:dyDescent="0.25">
      <c r="A55" s="6"/>
      <c r="B55" s="6"/>
      <c r="C55" s="24">
        <f>C9-C49</f>
        <v>29.364202020202018</v>
      </c>
      <c r="D55" s="6" t="s">
        <v>12</v>
      </c>
      <c r="E55" s="6"/>
      <c r="F55" s="6"/>
      <c r="G55" s="6"/>
      <c r="J55" s="9"/>
      <c r="K55" s="9"/>
      <c r="L55" s="30">
        <f>L9-L49</f>
        <v>29.364202020202018</v>
      </c>
      <c r="M55" s="9" t="s">
        <v>12</v>
      </c>
      <c r="N55" s="9"/>
      <c r="O55" s="9"/>
      <c r="P55" s="9"/>
      <c r="Q55" s="10"/>
      <c r="R55" s="10"/>
    </row>
    <row r="56" spans="1:19" ht="15" x14ac:dyDescent="0.25">
      <c r="A56" s="6"/>
      <c r="B56" s="6"/>
      <c r="C56" s="6"/>
      <c r="D56" s="6"/>
      <c r="E56" s="6"/>
      <c r="F56" s="6"/>
      <c r="G56" s="6"/>
      <c r="J56" s="9"/>
      <c r="K56" s="9"/>
      <c r="L56" s="9"/>
      <c r="M56" s="9"/>
      <c r="N56" s="9"/>
      <c r="O56" s="9"/>
      <c r="P56" s="9"/>
      <c r="Q56" s="10"/>
      <c r="R56" s="10"/>
    </row>
    <row r="57" spans="1:19" ht="15" x14ac:dyDescent="0.25">
      <c r="A57" s="11" t="s">
        <v>25</v>
      </c>
      <c r="B57" s="11"/>
      <c r="C57" s="11"/>
      <c r="D57" s="11"/>
      <c r="E57" s="11"/>
      <c r="F57" s="11"/>
      <c r="G57" s="6"/>
      <c r="J57" s="33" t="s">
        <v>25</v>
      </c>
      <c r="K57" s="33"/>
      <c r="L57" s="33"/>
      <c r="M57" s="33"/>
      <c r="N57" s="33"/>
      <c r="O57" s="33"/>
      <c r="P57" s="9"/>
      <c r="Q57" s="10"/>
      <c r="R57" s="10"/>
    </row>
    <row r="58" spans="1:19" ht="15" x14ac:dyDescent="0.25">
      <c r="A58" s="11"/>
      <c r="B58" s="11"/>
      <c r="C58" s="11"/>
      <c r="D58" s="11"/>
      <c r="E58" s="11"/>
      <c r="F58" s="11"/>
      <c r="G58" s="6"/>
      <c r="J58" s="33"/>
      <c r="K58" s="33"/>
      <c r="L58" s="33"/>
      <c r="M58" s="33"/>
      <c r="N58" s="33"/>
      <c r="O58" s="33"/>
      <c r="P58" s="9"/>
      <c r="Q58" s="10"/>
      <c r="R58" s="10"/>
    </row>
    <row r="59" spans="1:19" ht="15" x14ac:dyDescent="0.25">
      <c r="A59" s="6"/>
      <c r="B59" s="6"/>
      <c r="C59" s="6"/>
      <c r="D59" s="6"/>
      <c r="E59" s="6"/>
      <c r="F59" s="6"/>
      <c r="G59" s="6"/>
      <c r="J59" s="9"/>
      <c r="K59" s="9"/>
      <c r="L59" s="9"/>
      <c r="M59" s="9"/>
      <c r="N59" s="9"/>
      <c r="O59" s="9"/>
      <c r="P59" s="9"/>
      <c r="Q59" s="10"/>
      <c r="R59" s="10"/>
    </row>
    <row r="60" spans="1:19" ht="15" x14ac:dyDescent="0.25">
      <c r="A60" s="6"/>
      <c r="B60" s="38" t="s">
        <v>11</v>
      </c>
      <c r="C60" s="39"/>
      <c r="D60" s="39" t="s">
        <v>26</v>
      </c>
      <c r="E60" s="39"/>
      <c r="F60" s="39" t="s">
        <v>27</v>
      </c>
      <c r="G60" s="40"/>
      <c r="J60" s="9"/>
      <c r="K60" s="41" t="s">
        <v>11</v>
      </c>
      <c r="L60" s="42"/>
      <c r="M60" s="42" t="s">
        <v>26</v>
      </c>
      <c r="N60" s="42"/>
      <c r="O60" s="42" t="s">
        <v>27</v>
      </c>
      <c r="P60" s="43"/>
      <c r="Q60" s="10"/>
      <c r="R60" s="10"/>
    </row>
    <row r="61" spans="1:19" ht="15" x14ac:dyDescent="0.25">
      <c r="A61" s="6"/>
      <c r="B61" s="44" t="s">
        <v>12</v>
      </c>
      <c r="C61" s="45" t="s">
        <v>28</v>
      </c>
      <c r="D61" s="45" t="s">
        <v>12</v>
      </c>
      <c r="E61" s="45" t="s">
        <v>28</v>
      </c>
      <c r="F61" s="45" t="s">
        <v>12</v>
      </c>
      <c r="G61" s="46" t="s">
        <v>28</v>
      </c>
      <c r="J61" s="9"/>
      <c r="K61" s="47" t="s">
        <v>12</v>
      </c>
      <c r="L61" s="48" t="s">
        <v>28</v>
      </c>
      <c r="M61" s="49" t="s">
        <v>12</v>
      </c>
      <c r="N61" s="49" t="s">
        <v>28</v>
      </c>
      <c r="O61" s="48" t="s">
        <v>12</v>
      </c>
      <c r="P61" s="50" t="s">
        <v>28</v>
      </c>
      <c r="Q61" s="10"/>
      <c r="R61" s="10"/>
    </row>
    <row r="62" spans="1:19" ht="17.25" x14ac:dyDescent="0.3">
      <c r="A62" s="51" t="s">
        <v>378</v>
      </c>
      <c r="B62" s="52">
        <v>2.4</v>
      </c>
      <c r="C62" s="53">
        <f>(B62/$B$67)*100</f>
        <v>0.68689181453921</v>
      </c>
      <c r="D62" s="24">
        <f>B31</f>
        <v>2.4</v>
      </c>
      <c r="E62" s="24">
        <f>(D62/$D$67)*100</f>
        <v>1.4671738378698806</v>
      </c>
      <c r="F62" s="54">
        <f>B62-D62</f>
        <v>0</v>
      </c>
      <c r="G62" s="53">
        <f>(F62/$F$67)*100</f>
        <v>0</v>
      </c>
      <c r="J62" s="48" t="s">
        <v>378</v>
      </c>
      <c r="K62" s="55">
        <f>L7</f>
        <v>2.4</v>
      </c>
      <c r="L62" s="56">
        <f>(K62/$K$67)*100</f>
        <v>0.68689181453921</v>
      </c>
      <c r="M62" s="57">
        <f>K31</f>
        <v>2.4</v>
      </c>
      <c r="N62" s="56">
        <f>(M62/$M$67)*100</f>
        <v>1.4671738378698806</v>
      </c>
      <c r="O62" s="57">
        <f>K62-M62</f>
        <v>0</v>
      </c>
      <c r="P62" s="56">
        <f>(O62/$O$67)*100</f>
        <v>0</v>
      </c>
      <c r="Q62" s="10"/>
      <c r="R62" s="10"/>
    </row>
    <row r="63" spans="1:19" ht="17.25" x14ac:dyDescent="0.3">
      <c r="A63" s="58" t="s">
        <v>379</v>
      </c>
      <c r="B63" s="59">
        <v>162.80000000000001</v>
      </c>
      <c r="C63" s="60">
        <f>(B63/$B$67)*100</f>
        <v>46.594161419576416</v>
      </c>
      <c r="D63" s="24">
        <f>B18</f>
        <v>159.54400000000001</v>
      </c>
      <c r="E63" s="24">
        <f>(D63/$D$67)*100</f>
        <v>97.532826162130121</v>
      </c>
      <c r="F63" s="59">
        <f>B63-D63</f>
        <v>3.2560000000000002</v>
      </c>
      <c r="G63" s="60">
        <f>(F63/$F$67)*100</f>
        <v>1.7522314391015537</v>
      </c>
      <c r="J63" s="61" t="s">
        <v>379</v>
      </c>
      <c r="K63" s="62">
        <f>L8</f>
        <v>162.80000000000001</v>
      </c>
      <c r="L63" s="63">
        <f>(K63/$K$67)*100</f>
        <v>46.594161419576416</v>
      </c>
      <c r="M63" s="64">
        <f>K18</f>
        <v>159.54400000000001</v>
      </c>
      <c r="N63" s="63">
        <f>(M63/$M$67)*100</f>
        <v>97.532826162130121</v>
      </c>
      <c r="O63" s="64">
        <f>K63-M63</f>
        <v>3.2560000000000002</v>
      </c>
      <c r="P63" s="63">
        <f>(O63/$O$67)*100</f>
        <v>1.7522314391015537</v>
      </c>
      <c r="Q63" s="10"/>
      <c r="R63" s="10"/>
    </row>
    <row r="64" spans="1:19" ht="17.25" x14ac:dyDescent="0.3">
      <c r="A64" s="51" t="s">
        <v>380</v>
      </c>
      <c r="B64" s="59">
        <v>31</v>
      </c>
      <c r="C64" s="60">
        <f>(B64/$B$67)*100</f>
        <v>8.8723526044647958</v>
      </c>
      <c r="D64" s="24">
        <f>C49</f>
        <v>1.63579797979798</v>
      </c>
      <c r="E64" s="24">
        <f>(D64/$D$67)*100</f>
        <v>1</v>
      </c>
      <c r="F64" s="59">
        <f>B64-D64</f>
        <v>29.364202020202018</v>
      </c>
      <c r="G64" s="60">
        <f>(F64/$F$67)*100</f>
        <v>15.802480947152128</v>
      </c>
      <c r="J64" s="48" t="s">
        <v>380</v>
      </c>
      <c r="K64" s="62">
        <f>L9</f>
        <v>31</v>
      </c>
      <c r="L64" s="63">
        <f>(K64/$K$67)*100</f>
        <v>8.8723526044647958</v>
      </c>
      <c r="M64" s="64">
        <f>L49</f>
        <v>1.63579797979798</v>
      </c>
      <c r="N64" s="63">
        <f>(M64/$M$67)*100</f>
        <v>1</v>
      </c>
      <c r="O64" s="64">
        <f>K64-M64</f>
        <v>29.364202020202018</v>
      </c>
      <c r="P64" s="63">
        <f>(O64/$O$67)*100</f>
        <v>15.802480947152128</v>
      </c>
      <c r="Q64" s="10"/>
      <c r="R64" s="10"/>
    </row>
    <row r="65" spans="1:18" ht="17.25" x14ac:dyDescent="0.3">
      <c r="A65" s="51" t="s">
        <v>381</v>
      </c>
      <c r="B65" s="65">
        <v>76.7</v>
      </c>
      <c r="C65" s="60">
        <f>(B65/$B$67)*100</f>
        <v>21.951917572982254</v>
      </c>
      <c r="D65" s="66">
        <v>0</v>
      </c>
      <c r="E65" s="24">
        <f>(D65/$D$67)*100</f>
        <v>0</v>
      </c>
      <c r="F65" s="59">
        <f>B65-D65</f>
        <v>76.7</v>
      </c>
      <c r="G65" s="60">
        <f>(F65/$F$67)*100</f>
        <v>41.276459268762025</v>
      </c>
      <c r="J65" s="48" t="s">
        <v>381</v>
      </c>
      <c r="K65" s="62">
        <f>L10</f>
        <v>76.7</v>
      </c>
      <c r="L65" s="63">
        <f>(K65/$K$67)*100</f>
        <v>21.951917572982254</v>
      </c>
      <c r="M65" s="67">
        <v>0</v>
      </c>
      <c r="N65" s="63">
        <f>(M65/$M$67)*100</f>
        <v>0</v>
      </c>
      <c r="O65" s="64">
        <f>K65-M65</f>
        <v>76.7</v>
      </c>
      <c r="P65" s="63">
        <f>(O65/$O$67)*100</f>
        <v>41.276459268762025</v>
      </c>
      <c r="Q65" s="10"/>
      <c r="R65" s="10"/>
    </row>
    <row r="66" spans="1:18" ht="17.25" x14ac:dyDescent="0.3">
      <c r="A66" s="51" t="s">
        <v>382</v>
      </c>
      <c r="B66" s="68">
        <v>76.5</v>
      </c>
      <c r="C66" s="69">
        <f>(B66/$B$67)*100</f>
        <v>21.894676588437321</v>
      </c>
      <c r="D66" s="70">
        <v>0</v>
      </c>
      <c r="E66" s="71">
        <f>(D66/$D$67)*100</f>
        <v>0</v>
      </c>
      <c r="F66" s="72">
        <f>B66-D66</f>
        <v>76.5</v>
      </c>
      <c r="G66" s="69">
        <f>(F66/$F$67)*100</f>
        <v>41.168828344984284</v>
      </c>
      <c r="J66" s="48" t="s">
        <v>382</v>
      </c>
      <c r="K66" s="73">
        <f>L11</f>
        <v>76.5</v>
      </c>
      <c r="L66" s="74">
        <f>(K66/$K$67)*100</f>
        <v>21.894676588437321</v>
      </c>
      <c r="M66" s="75">
        <v>0</v>
      </c>
      <c r="N66" s="74">
        <f>(M66/$M$67)*100</f>
        <v>0</v>
      </c>
      <c r="O66" s="76">
        <f>K66-M66</f>
        <v>76.5</v>
      </c>
      <c r="P66" s="74">
        <f>(O66/$O$67)*100</f>
        <v>41.168828344984284</v>
      </c>
      <c r="Q66" s="10"/>
      <c r="R66" s="10"/>
    </row>
    <row r="67" spans="1:18" ht="15" x14ac:dyDescent="0.25">
      <c r="A67" s="51" t="s">
        <v>29</v>
      </c>
      <c r="B67" s="24">
        <f>SUM(B62:B66)</f>
        <v>349.40000000000003</v>
      </c>
      <c r="C67" s="24">
        <f>SUM(C62:C66)</f>
        <v>99.999999999999986</v>
      </c>
      <c r="D67" s="24">
        <f>SUM(D62:D64)</f>
        <v>163.579797979798</v>
      </c>
      <c r="E67" s="24">
        <f>SUM(E62:E64)</f>
        <v>100</v>
      </c>
      <c r="F67" s="24">
        <f>SUM(F62:F66)</f>
        <v>185.82020202020203</v>
      </c>
      <c r="G67" s="24">
        <f>SUM(G62:G66)</f>
        <v>100</v>
      </c>
      <c r="J67" s="48" t="s">
        <v>29</v>
      </c>
      <c r="K67" s="30">
        <f>SUM(K62:K66)</f>
        <v>349.40000000000003</v>
      </c>
      <c r="L67" s="30">
        <f>SUM(L62:L66)</f>
        <v>99.999999999999986</v>
      </c>
      <c r="M67" s="30">
        <f>SUM(M62:M64)</f>
        <v>163.579797979798</v>
      </c>
      <c r="N67" s="30">
        <f>SUM(N62:N64)</f>
        <v>100</v>
      </c>
      <c r="O67" s="30">
        <f>SUM(O62:O66)</f>
        <v>185.82020202020203</v>
      </c>
      <c r="P67" s="30">
        <f>SUM(P62:P66)</f>
        <v>100</v>
      </c>
      <c r="Q67" s="10"/>
      <c r="R67" s="10"/>
    </row>
    <row r="70" spans="1:18" ht="15" x14ac:dyDescent="0.25">
      <c r="A70" s="77" t="s">
        <v>718</v>
      </c>
    </row>
    <row r="71" spans="1:18" ht="15" x14ac:dyDescent="0.25">
      <c r="A71" s="77" t="s">
        <v>719</v>
      </c>
    </row>
    <row r="72" spans="1:18" ht="15" x14ac:dyDescent="0.25">
      <c r="A72" s="77" t="s">
        <v>720</v>
      </c>
    </row>
    <row r="73" spans="1:18" ht="15" x14ac:dyDescent="0.25">
      <c r="A73" s="77" t="s">
        <v>721</v>
      </c>
    </row>
    <row r="74" spans="1:18" ht="15" x14ac:dyDescent="0.25">
      <c r="A74" s="77" t="s">
        <v>722</v>
      </c>
    </row>
  </sheetData>
  <sheetProtection password="F030" sheet="1" objects="1" scenarios="1"/>
  <mergeCells count="11">
    <mergeCell ref="J26:N27"/>
    <mergeCell ref="J57:O58"/>
    <mergeCell ref="K60:L60"/>
    <mergeCell ref="M60:N60"/>
    <mergeCell ref="O60:P60"/>
    <mergeCell ref="A2:F4"/>
    <mergeCell ref="B60:C60"/>
    <mergeCell ref="D60:E60"/>
    <mergeCell ref="F60:G60"/>
    <mergeCell ref="A26:E27"/>
    <mergeCell ref="A57:F58"/>
  </mergeCells>
  <phoneticPr fontId="3" type="noConversion"/>
  <pageMargins left="0.75" right="0.75" top="1" bottom="1" header="0.5" footer="0.5"/>
  <pageSetup scale="4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8"/>
  <sheetViews>
    <sheetView tabSelected="1" topLeftCell="D34" zoomScale="80" zoomScaleNormal="80" workbookViewId="0">
      <selection activeCell="N66" sqref="N66"/>
    </sheetView>
  </sheetViews>
  <sheetFormatPr defaultRowHeight="12.75" x14ac:dyDescent="0.2"/>
  <cols>
    <col min="1" max="1" width="10.7109375" style="7" customWidth="1"/>
    <col min="2" max="2" width="11.85546875" style="7" customWidth="1"/>
    <col min="3" max="4" width="9.140625" style="7"/>
    <col min="5" max="5" width="11.5703125" style="7" bestFit="1" customWidth="1"/>
    <col min="6" max="12" width="9.140625" style="7"/>
    <col min="13" max="13" width="10.85546875" style="7" customWidth="1"/>
    <col min="14" max="16" width="9.140625" style="7"/>
    <col min="17" max="17" width="10.28515625" style="7" customWidth="1"/>
    <col min="18" max="19" width="10.5703125" style="7" bestFit="1" customWidth="1"/>
    <col min="20" max="16384" width="9.140625" style="7"/>
  </cols>
  <sheetData>
    <row r="1" spans="1:25" ht="15" x14ac:dyDescent="0.25">
      <c r="A1" s="5" t="s">
        <v>454</v>
      </c>
      <c r="B1" s="6"/>
      <c r="C1" s="6"/>
      <c r="D1" s="6"/>
      <c r="E1" s="6"/>
      <c r="F1" s="6"/>
      <c r="G1" s="6"/>
      <c r="H1" s="6"/>
      <c r="I1" s="6"/>
      <c r="J1" s="6"/>
      <c r="M1" s="8" t="s">
        <v>650</v>
      </c>
      <c r="N1" s="9"/>
      <c r="O1" s="9"/>
      <c r="P1" s="9"/>
      <c r="Q1" s="9"/>
      <c r="R1" s="9"/>
      <c r="S1" s="9"/>
      <c r="T1" s="9"/>
      <c r="U1" s="9"/>
      <c r="V1" s="9"/>
      <c r="W1" s="9"/>
      <c r="X1" s="9"/>
      <c r="Y1" s="78"/>
    </row>
    <row r="2" spans="1:25" ht="15" x14ac:dyDescent="0.25">
      <c r="A2" s="5"/>
      <c r="B2" s="6"/>
      <c r="C2" s="6"/>
      <c r="D2" s="6"/>
      <c r="E2" s="6"/>
      <c r="F2" s="6"/>
      <c r="G2" s="6"/>
      <c r="H2" s="6"/>
      <c r="I2" s="6"/>
      <c r="J2" s="6"/>
      <c r="M2" s="79" t="s">
        <v>458</v>
      </c>
      <c r="N2" s="79"/>
      <c r="O2" s="79"/>
      <c r="P2" s="79"/>
      <c r="Q2" s="79"/>
      <c r="R2" s="79"/>
      <c r="S2" s="79"/>
      <c r="T2" s="79"/>
      <c r="U2" s="79"/>
      <c r="V2" s="79"/>
      <c r="W2" s="79"/>
      <c r="X2" s="79"/>
      <c r="Y2" s="80"/>
    </row>
    <row r="3" spans="1:25" ht="15" customHeight="1" x14ac:dyDescent="0.25">
      <c r="A3" s="11" t="s">
        <v>30</v>
      </c>
      <c r="B3" s="11"/>
      <c r="C3" s="11"/>
      <c r="D3" s="11"/>
      <c r="E3" s="11"/>
      <c r="F3" s="11"/>
      <c r="G3" s="11"/>
      <c r="H3" s="11"/>
      <c r="I3" s="6"/>
      <c r="J3" s="6"/>
      <c r="M3" s="79"/>
      <c r="N3" s="79"/>
      <c r="O3" s="79"/>
      <c r="P3" s="79"/>
      <c r="Q3" s="79"/>
      <c r="R3" s="79"/>
      <c r="S3" s="79"/>
      <c r="T3" s="79"/>
      <c r="U3" s="79"/>
      <c r="V3" s="79"/>
      <c r="W3" s="79"/>
      <c r="X3" s="79"/>
      <c r="Y3" s="80"/>
    </row>
    <row r="4" spans="1:25" ht="15" x14ac:dyDescent="0.25">
      <c r="A4" s="11"/>
      <c r="B4" s="11"/>
      <c r="C4" s="11"/>
      <c r="D4" s="11"/>
      <c r="E4" s="11"/>
      <c r="F4" s="11"/>
      <c r="G4" s="11"/>
      <c r="H4" s="11"/>
      <c r="I4" s="6"/>
      <c r="J4" s="6"/>
      <c r="M4" s="81" t="s">
        <v>475</v>
      </c>
      <c r="N4" s="12"/>
      <c r="O4" s="12"/>
      <c r="P4" s="12"/>
      <c r="Q4" s="12"/>
      <c r="R4" s="12"/>
      <c r="S4" s="12"/>
      <c r="T4" s="12"/>
      <c r="U4" s="12"/>
      <c r="V4" s="12"/>
      <c r="W4" s="12"/>
      <c r="X4" s="12"/>
      <c r="Y4" s="80"/>
    </row>
    <row r="5" spans="1:25" ht="15" x14ac:dyDescent="0.25">
      <c r="A5" s="6"/>
      <c r="B5" s="6"/>
      <c r="C5" s="6"/>
      <c r="D5" s="6"/>
      <c r="E5" s="6"/>
      <c r="F5" s="6"/>
      <c r="G5" s="6"/>
      <c r="H5" s="6"/>
      <c r="I5" s="6"/>
      <c r="J5" s="6"/>
      <c r="M5" s="12"/>
      <c r="N5" s="12"/>
      <c r="O5" s="12"/>
      <c r="P5" s="12"/>
      <c r="Q5" s="12"/>
      <c r="R5" s="12"/>
      <c r="S5" s="12"/>
      <c r="T5" s="12"/>
      <c r="U5" s="12"/>
      <c r="V5" s="12"/>
      <c r="W5" s="12"/>
      <c r="X5" s="9"/>
      <c r="Y5" s="80"/>
    </row>
    <row r="6" spans="1:25" ht="15" x14ac:dyDescent="0.25">
      <c r="A6" s="6"/>
      <c r="B6" s="6" t="s">
        <v>11</v>
      </c>
      <c r="C6" s="6">
        <v>291000</v>
      </c>
      <c r="D6" s="6" t="s">
        <v>31</v>
      </c>
      <c r="E6" s="6"/>
      <c r="F6" s="6"/>
      <c r="G6" s="6"/>
      <c r="H6" s="6"/>
      <c r="I6" s="6"/>
      <c r="J6" s="6"/>
      <c r="M6" s="9"/>
      <c r="N6" s="9" t="s">
        <v>11</v>
      </c>
      <c r="O6" s="233">
        <v>291000</v>
      </c>
      <c r="P6" s="9" t="s">
        <v>31</v>
      </c>
      <c r="Q6" s="9"/>
      <c r="R6" s="83" t="s">
        <v>70</v>
      </c>
      <c r="S6" s="233">
        <v>1.3</v>
      </c>
      <c r="T6" s="9" t="s">
        <v>456</v>
      </c>
      <c r="U6" s="9"/>
      <c r="V6" s="9" t="s">
        <v>678</v>
      </c>
      <c r="W6" s="9"/>
      <c r="X6" s="9"/>
      <c r="Y6" s="80"/>
    </row>
    <row r="7" spans="1:25" ht="15" x14ac:dyDescent="0.25">
      <c r="A7" s="6"/>
      <c r="B7" s="6"/>
      <c r="C7" s="6"/>
      <c r="D7" s="6"/>
      <c r="E7" s="6"/>
      <c r="F7" s="6"/>
      <c r="G7" s="6"/>
      <c r="H7" s="6"/>
      <c r="I7" s="6"/>
      <c r="J7" s="6"/>
      <c r="M7" s="9"/>
      <c r="N7" s="9"/>
      <c r="O7" s="9"/>
      <c r="P7" s="9"/>
      <c r="Q7" s="9"/>
      <c r="R7" s="9"/>
      <c r="S7" s="9"/>
      <c r="T7" s="9"/>
      <c r="U7" s="9"/>
      <c r="V7" s="9"/>
      <c r="W7" s="9"/>
      <c r="X7" s="9"/>
      <c r="Y7" s="80"/>
    </row>
    <row r="8" spans="1:25" ht="15" x14ac:dyDescent="0.25">
      <c r="A8" s="6"/>
      <c r="B8" s="45" t="s">
        <v>32</v>
      </c>
      <c r="C8" s="45" t="s">
        <v>34</v>
      </c>
      <c r="D8" s="45" t="s">
        <v>33</v>
      </c>
      <c r="E8" s="6"/>
      <c r="F8" s="6"/>
      <c r="G8" s="6"/>
      <c r="H8" s="6"/>
      <c r="I8" s="6"/>
      <c r="J8" s="6"/>
      <c r="M8" s="9"/>
      <c r="N8" s="49" t="s">
        <v>32</v>
      </c>
      <c r="O8" s="49" t="s">
        <v>34</v>
      </c>
      <c r="P8" s="49" t="s">
        <v>33</v>
      </c>
      <c r="Q8" s="9"/>
      <c r="R8" s="9"/>
      <c r="S8" s="9"/>
      <c r="T8" s="9"/>
      <c r="U8" s="9"/>
      <c r="V8" s="9"/>
      <c r="W8" s="9"/>
      <c r="X8" s="9"/>
      <c r="Y8" s="80"/>
    </row>
    <row r="9" spans="1:25" ht="16.5" x14ac:dyDescent="0.3">
      <c r="A9" s="6"/>
      <c r="B9" s="20" t="s">
        <v>373</v>
      </c>
      <c r="C9" s="6">
        <v>2.0699999999999998</v>
      </c>
      <c r="D9" s="24">
        <v>21.5</v>
      </c>
      <c r="E9" s="6"/>
      <c r="F9" s="6"/>
      <c r="G9" s="6"/>
      <c r="H9" s="6"/>
      <c r="I9" s="6"/>
      <c r="J9" s="6"/>
      <c r="M9" s="9"/>
      <c r="N9" s="22" t="s">
        <v>373</v>
      </c>
      <c r="O9" s="84">
        <f>(P9/$P$16)*100</f>
        <v>2.0696958028494414</v>
      </c>
      <c r="P9" s="230">
        <v>21.5</v>
      </c>
      <c r="Q9" s="9"/>
      <c r="R9" s="9"/>
      <c r="S9" s="9"/>
      <c r="T9" s="9"/>
      <c r="U9" s="9"/>
      <c r="V9" s="9"/>
      <c r="W9" s="9"/>
      <c r="X9" s="9"/>
      <c r="Y9" s="80"/>
    </row>
    <row r="10" spans="1:25" ht="16.5" x14ac:dyDescent="0.3">
      <c r="A10" s="6"/>
      <c r="B10" s="20" t="s">
        <v>374</v>
      </c>
      <c r="C10" s="6">
        <v>48.67</v>
      </c>
      <c r="D10" s="24">
        <v>505.6</v>
      </c>
      <c r="E10" s="6"/>
      <c r="F10" s="6"/>
      <c r="G10" s="6"/>
      <c r="H10" s="6"/>
      <c r="I10" s="6"/>
      <c r="J10" s="6"/>
      <c r="M10" s="9"/>
      <c r="N10" s="22" t="s">
        <v>374</v>
      </c>
      <c r="O10" s="84">
        <f t="shared" ref="O10:O15" si="0">(P10/$P$16)*100</f>
        <v>48.671544089333842</v>
      </c>
      <c r="P10" s="230">
        <v>505.6</v>
      </c>
      <c r="Q10" s="9"/>
      <c r="R10" s="9"/>
      <c r="S10" s="9"/>
      <c r="T10" s="9"/>
      <c r="U10" s="9"/>
      <c r="V10" s="9"/>
      <c r="W10" s="9"/>
      <c r="X10" s="9"/>
      <c r="Y10" s="80"/>
    </row>
    <row r="11" spans="1:25" ht="16.5" x14ac:dyDescent="0.3">
      <c r="A11" s="6"/>
      <c r="B11" s="20" t="s">
        <v>375</v>
      </c>
      <c r="C11" s="6">
        <v>10.11</v>
      </c>
      <c r="D11" s="24">
        <v>105</v>
      </c>
      <c r="E11" s="6"/>
      <c r="F11" s="6"/>
      <c r="G11" s="6"/>
      <c r="H11" s="6"/>
      <c r="I11" s="6"/>
      <c r="J11" s="6"/>
      <c r="M11" s="9"/>
      <c r="N11" s="22" t="s">
        <v>375</v>
      </c>
      <c r="O11" s="84">
        <f t="shared" si="0"/>
        <v>10.107816711590296</v>
      </c>
      <c r="P11" s="230">
        <v>105</v>
      </c>
      <c r="Q11" s="9"/>
      <c r="R11" s="9"/>
      <c r="S11" s="9"/>
      <c r="T11" s="9"/>
      <c r="U11" s="9"/>
      <c r="V11" s="9"/>
      <c r="W11" s="9"/>
      <c r="X11" s="9"/>
      <c r="Y11" s="80"/>
    </row>
    <row r="12" spans="1:25" ht="16.5" x14ac:dyDescent="0.3">
      <c r="A12" s="6"/>
      <c r="B12" s="20" t="s">
        <v>376</v>
      </c>
      <c r="C12" s="6">
        <v>24.08</v>
      </c>
      <c r="D12" s="24">
        <v>250.1</v>
      </c>
      <c r="E12" s="6"/>
      <c r="F12" s="6"/>
      <c r="G12" s="6"/>
      <c r="H12" s="6"/>
      <c r="I12" s="6"/>
      <c r="J12" s="6"/>
      <c r="M12" s="9"/>
      <c r="N12" s="22" t="s">
        <v>376</v>
      </c>
      <c r="O12" s="84">
        <f t="shared" si="0"/>
        <v>24.075856757797453</v>
      </c>
      <c r="P12" s="230">
        <v>250.1</v>
      </c>
      <c r="Q12" s="232"/>
      <c r="R12" s="9"/>
      <c r="S12" s="9"/>
      <c r="T12" s="9"/>
      <c r="U12" s="9"/>
      <c r="V12" s="9"/>
      <c r="W12" s="9"/>
      <c r="X12" s="9"/>
      <c r="Y12" s="80"/>
    </row>
    <row r="13" spans="1:25" ht="16.5" x14ac:dyDescent="0.3">
      <c r="A13" s="6"/>
      <c r="B13" s="20" t="s">
        <v>387</v>
      </c>
      <c r="C13" s="6">
        <v>5.41</v>
      </c>
      <c r="D13" s="24">
        <v>56.2</v>
      </c>
      <c r="E13" s="6"/>
      <c r="F13" s="6"/>
      <c r="G13" s="6"/>
      <c r="H13" s="6"/>
      <c r="I13" s="6"/>
      <c r="J13" s="6"/>
      <c r="M13" s="9"/>
      <c r="N13" s="22" t="s">
        <v>387</v>
      </c>
      <c r="O13" s="84">
        <f t="shared" si="0"/>
        <v>5.4100885637273768</v>
      </c>
      <c r="P13" s="230">
        <v>56.2</v>
      </c>
      <c r="Q13" s="9"/>
      <c r="R13" s="9"/>
      <c r="S13" s="9"/>
      <c r="T13" s="9"/>
      <c r="U13" s="9"/>
      <c r="V13" s="9"/>
      <c r="W13" s="9"/>
      <c r="X13" s="9"/>
      <c r="Y13" s="80"/>
    </row>
    <row r="14" spans="1:25" ht="16.5" x14ac:dyDescent="0.3">
      <c r="A14" s="6"/>
      <c r="B14" s="20" t="s">
        <v>388</v>
      </c>
      <c r="C14" s="6">
        <v>4.8099999999999996</v>
      </c>
      <c r="D14" s="24">
        <v>50</v>
      </c>
      <c r="E14" s="6"/>
      <c r="F14" s="6"/>
      <c r="G14" s="6"/>
      <c r="H14" s="6"/>
      <c r="I14" s="6"/>
      <c r="J14" s="6"/>
      <c r="M14" s="9"/>
      <c r="N14" s="22" t="s">
        <v>388</v>
      </c>
      <c r="O14" s="84">
        <f t="shared" si="0"/>
        <v>4.8132460531382355</v>
      </c>
      <c r="P14" s="230">
        <v>50</v>
      </c>
      <c r="Q14" s="9"/>
      <c r="R14" s="9"/>
      <c r="S14" s="9"/>
      <c r="T14" s="9"/>
      <c r="U14" s="9"/>
      <c r="V14" s="9"/>
      <c r="W14" s="9"/>
      <c r="X14" s="9"/>
      <c r="Y14" s="80"/>
    </row>
    <row r="15" spans="1:25" ht="16.5" x14ac:dyDescent="0.3">
      <c r="A15" s="6"/>
      <c r="B15" s="27" t="s">
        <v>389</v>
      </c>
      <c r="C15" s="85">
        <v>4.8499999999999996</v>
      </c>
      <c r="D15" s="71">
        <v>50.4</v>
      </c>
      <c r="E15" s="6"/>
      <c r="F15" s="6"/>
      <c r="G15" s="6"/>
      <c r="H15" s="6"/>
      <c r="I15" s="6"/>
      <c r="J15" s="6"/>
      <c r="M15" s="9"/>
      <c r="N15" s="29" t="s">
        <v>389</v>
      </c>
      <c r="O15" s="86">
        <f t="shared" si="0"/>
        <v>4.8517520215633416</v>
      </c>
      <c r="P15" s="234">
        <v>50.4</v>
      </c>
      <c r="Q15" s="9"/>
      <c r="R15" s="9"/>
      <c r="S15" s="9"/>
      <c r="T15" s="9"/>
      <c r="U15" s="9"/>
      <c r="V15" s="9"/>
      <c r="W15" s="9"/>
      <c r="X15" s="9"/>
      <c r="Y15" s="80"/>
    </row>
    <row r="16" spans="1:25" ht="15" x14ac:dyDescent="0.25">
      <c r="A16" s="6"/>
      <c r="B16" s="20" t="s">
        <v>29</v>
      </c>
      <c r="C16" s="6">
        <f>SUM(C9:C15)</f>
        <v>100</v>
      </c>
      <c r="D16" s="6">
        <f>SUM(D9:D15)</f>
        <v>1038.8000000000002</v>
      </c>
      <c r="E16" s="6"/>
      <c r="F16" s="6"/>
      <c r="G16" s="6"/>
      <c r="H16" s="6"/>
      <c r="I16" s="6"/>
      <c r="J16" s="6"/>
      <c r="M16" s="9"/>
      <c r="N16" s="22" t="s">
        <v>29</v>
      </c>
      <c r="O16" s="9">
        <f>SUM(O9:O15)</f>
        <v>99.999999999999986</v>
      </c>
      <c r="P16" s="30">
        <f>SUM(P9:P15)</f>
        <v>1038.8000000000002</v>
      </c>
      <c r="Q16" s="9"/>
      <c r="R16" s="9"/>
      <c r="S16" s="9"/>
      <c r="T16" s="9"/>
      <c r="U16" s="9"/>
      <c r="V16" s="9"/>
      <c r="W16" s="9"/>
      <c r="X16" s="9"/>
      <c r="Y16" s="80"/>
    </row>
    <row r="17" spans="1:25" ht="15" x14ac:dyDescent="0.25">
      <c r="A17" s="6"/>
      <c r="B17" s="6"/>
      <c r="C17" s="6"/>
      <c r="D17" s="6"/>
      <c r="E17" s="6"/>
      <c r="F17" s="6"/>
      <c r="G17" s="6"/>
      <c r="H17" s="6"/>
      <c r="I17" s="6"/>
      <c r="J17" s="6"/>
      <c r="M17" s="9"/>
      <c r="N17" s="9"/>
      <c r="O17" s="9"/>
      <c r="P17" s="9"/>
      <c r="Q17" s="9"/>
      <c r="R17" s="9"/>
      <c r="S17" s="9"/>
      <c r="T17" s="9"/>
      <c r="U17" s="9"/>
      <c r="V17" s="9"/>
      <c r="W17" s="9"/>
      <c r="X17" s="9"/>
      <c r="Y17" s="80"/>
    </row>
    <row r="18" spans="1:25" ht="16.5" x14ac:dyDescent="0.3">
      <c r="A18" s="6" t="s">
        <v>35</v>
      </c>
      <c r="B18" s="6"/>
      <c r="C18" s="6" t="s">
        <v>666</v>
      </c>
      <c r="D18" s="6"/>
      <c r="E18" s="6"/>
      <c r="F18" s="6"/>
      <c r="G18" s="6"/>
      <c r="H18" s="6"/>
      <c r="I18" s="6"/>
      <c r="J18" s="6"/>
      <c r="M18" s="9" t="s">
        <v>35</v>
      </c>
      <c r="N18" s="9"/>
      <c r="O18" s="82">
        <v>98</v>
      </c>
      <c r="P18" s="9" t="s">
        <v>658</v>
      </c>
      <c r="Q18" s="9"/>
      <c r="R18" s="9"/>
      <c r="S18" s="9"/>
      <c r="T18" s="9" t="s">
        <v>676</v>
      </c>
      <c r="U18" s="9"/>
      <c r="V18" s="9"/>
      <c r="W18" s="9"/>
      <c r="X18" s="9"/>
      <c r="Y18" s="80"/>
    </row>
    <row r="19" spans="1:25" ht="16.5" x14ac:dyDescent="0.3">
      <c r="A19" s="6"/>
      <c r="B19" s="6"/>
      <c r="C19" s="6" t="s">
        <v>667</v>
      </c>
      <c r="D19" s="6"/>
      <c r="E19" s="6"/>
      <c r="F19" s="6"/>
      <c r="G19" s="6"/>
      <c r="H19" s="6"/>
      <c r="I19" s="6"/>
      <c r="J19" s="6"/>
      <c r="M19" s="9"/>
      <c r="N19" s="9"/>
      <c r="O19" s="82">
        <v>1</v>
      </c>
      <c r="P19" s="9" t="s">
        <v>659</v>
      </c>
      <c r="Q19" s="9"/>
      <c r="R19" s="9"/>
      <c r="S19" s="9"/>
      <c r="T19" s="9" t="s">
        <v>677</v>
      </c>
      <c r="U19" s="9"/>
      <c r="V19" s="9"/>
      <c r="W19" s="9"/>
      <c r="X19" s="9"/>
      <c r="Y19" s="80"/>
    </row>
    <row r="20" spans="1:25" ht="15" x14ac:dyDescent="0.25">
      <c r="A20" s="6"/>
      <c r="B20" s="6"/>
      <c r="C20" s="6"/>
      <c r="D20" s="6"/>
      <c r="E20" s="6"/>
      <c r="F20" s="6"/>
      <c r="G20" s="6"/>
      <c r="H20" s="6"/>
      <c r="I20" s="6"/>
      <c r="J20" s="6"/>
      <c r="M20" s="9"/>
      <c r="N20" s="9"/>
      <c r="O20" s="9"/>
      <c r="P20" s="9"/>
      <c r="Q20" s="9"/>
      <c r="R20" s="9"/>
      <c r="S20" s="9"/>
      <c r="T20" s="9"/>
      <c r="U20" s="9"/>
      <c r="V20" s="9"/>
      <c r="W20" s="9"/>
      <c r="X20" s="9"/>
      <c r="Y20" s="80"/>
    </row>
    <row r="21" spans="1:25" ht="15" x14ac:dyDescent="0.25">
      <c r="A21" s="6"/>
      <c r="B21" s="6"/>
      <c r="C21" s="6" t="s">
        <v>36</v>
      </c>
      <c r="D21" s="6"/>
      <c r="E21" s="6"/>
      <c r="F21" s="6"/>
      <c r="G21" s="6"/>
      <c r="H21" s="6"/>
      <c r="I21" s="6"/>
      <c r="J21" s="6"/>
      <c r="M21" s="9"/>
      <c r="N21" s="9"/>
      <c r="O21" s="9" t="s">
        <v>660</v>
      </c>
      <c r="P21" s="9"/>
      <c r="Q21" s="9"/>
      <c r="R21" s="9"/>
      <c r="S21" s="9"/>
      <c r="T21" s="9"/>
      <c r="U21" s="9"/>
      <c r="V21" s="9"/>
      <c r="W21" s="9"/>
      <c r="X21" s="9"/>
      <c r="Y21" s="80"/>
    </row>
    <row r="22" spans="1:25" ht="15" x14ac:dyDescent="0.25">
      <c r="A22" s="6"/>
      <c r="B22" s="6"/>
      <c r="C22" s="6"/>
      <c r="D22" s="6"/>
      <c r="E22" s="6"/>
      <c r="F22" s="6"/>
      <c r="G22" s="6"/>
      <c r="H22" s="6"/>
      <c r="I22" s="6"/>
      <c r="J22" s="6"/>
      <c r="M22" s="9"/>
      <c r="N22" s="9"/>
      <c r="O22" s="9"/>
      <c r="P22" s="9"/>
      <c r="Q22" s="9"/>
      <c r="R22" s="9"/>
      <c r="S22" s="9"/>
      <c r="T22" s="9"/>
      <c r="U22" s="9"/>
      <c r="V22" s="9"/>
      <c r="W22" s="9"/>
      <c r="X22" s="9"/>
      <c r="Y22" s="80"/>
    </row>
    <row r="23" spans="1:25" ht="15" x14ac:dyDescent="0.25">
      <c r="A23" s="6" t="s">
        <v>37</v>
      </c>
      <c r="B23" s="6"/>
      <c r="C23" s="6"/>
      <c r="D23" s="6"/>
      <c r="E23" s="6"/>
      <c r="F23" s="6"/>
      <c r="G23" s="6"/>
      <c r="H23" s="6"/>
      <c r="I23" s="6"/>
      <c r="J23" s="6"/>
      <c r="M23" s="9" t="s">
        <v>37</v>
      </c>
      <c r="N23" s="9"/>
      <c r="O23" s="9"/>
      <c r="P23" s="9"/>
      <c r="Q23" s="9"/>
      <c r="R23" s="9"/>
      <c r="S23" s="9"/>
      <c r="T23" s="9"/>
      <c r="U23" s="9"/>
      <c r="V23" s="9"/>
      <c r="W23" s="9"/>
      <c r="X23" s="9"/>
      <c r="Y23" s="80"/>
    </row>
    <row r="24" spans="1:25" ht="15" x14ac:dyDescent="0.25">
      <c r="A24" s="6"/>
      <c r="B24" s="6"/>
      <c r="C24" s="6"/>
      <c r="D24" s="6"/>
      <c r="E24" s="6"/>
      <c r="F24" s="6"/>
      <c r="G24" s="6"/>
      <c r="H24" s="6"/>
      <c r="I24" s="6"/>
      <c r="J24" s="6"/>
      <c r="M24" s="9"/>
      <c r="N24" s="9"/>
      <c r="O24" s="9"/>
      <c r="P24" s="9"/>
      <c r="Q24" s="9"/>
      <c r="R24" s="9"/>
      <c r="S24" s="9"/>
      <c r="T24" s="9"/>
      <c r="U24" s="9"/>
      <c r="V24" s="9"/>
      <c r="W24" s="9"/>
      <c r="X24" s="9"/>
      <c r="Y24" s="80"/>
    </row>
    <row r="25" spans="1:25" ht="15" x14ac:dyDescent="0.25">
      <c r="A25" s="6" t="s">
        <v>38</v>
      </c>
      <c r="B25" s="6"/>
      <c r="C25" s="6"/>
      <c r="D25" s="6"/>
      <c r="E25" s="6"/>
      <c r="F25" s="6"/>
      <c r="G25" s="6"/>
      <c r="H25" s="6"/>
      <c r="I25" s="6"/>
      <c r="J25" s="6"/>
      <c r="M25" s="9" t="s">
        <v>38</v>
      </c>
      <c r="N25" s="9"/>
      <c r="O25" s="9"/>
      <c r="P25" s="9"/>
      <c r="Q25" s="9"/>
      <c r="R25" s="9"/>
      <c r="S25" s="9"/>
      <c r="T25" s="9"/>
      <c r="U25" s="9"/>
      <c r="V25" s="9"/>
      <c r="W25" s="9"/>
      <c r="X25" s="9"/>
      <c r="Y25" s="80"/>
    </row>
    <row r="26" spans="1:25" ht="15" x14ac:dyDescent="0.25">
      <c r="A26" s="6" t="s">
        <v>39</v>
      </c>
      <c r="B26" s="6"/>
      <c r="C26" s="6"/>
      <c r="D26" s="6"/>
      <c r="E26" s="6"/>
      <c r="F26" s="6"/>
      <c r="G26" s="6"/>
      <c r="H26" s="6"/>
      <c r="I26" s="6"/>
      <c r="J26" s="6"/>
      <c r="M26" s="9" t="s">
        <v>39</v>
      </c>
      <c r="N26" s="9"/>
      <c r="O26" s="9"/>
      <c r="P26" s="9"/>
      <c r="Q26" s="9"/>
      <c r="R26" s="9"/>
      <c r="S26" s="9"/>
      <c r="T26" s="9"/>
      <c r="U26" s="9"/>
      <c r="V26" s="9"/>
      <c r="W26" s="9"/>
      <c r="X26" s="9"/>
      <c r="Y26" s="80"/>
    </row>
    <row r="27" spans="1:25" ht="15" x14ac:dyDescent="0.25">
      <c r="A27" s="6"/>
      <c r="B27" s="6"/>
      <c r="C27" s="6"/>
      <c r="D27" s="6"/>
      <c r="E27" s="6"/>
      <c r="F27" s="6"/>
      <c r="G27" s="6"/>
      <c r="H27" s="6"/>
      <c r="I27" s="6"/>
      <c r="J27" s="6"/>
      <c r="M27" s="9"/>
      <c r="N27" s="9"/>
      <c r="O27" s="9"/>
      <c r="P27" s="9"/>
      <c r="Q27" s="9"/>
      <c r="R27" s="9"/>
      <c r="S27" s="9"/>
      <c r="T27" s="9"/>
      <c r="U27" s="9"/>
      <c r="V27" s="9"/>
      <c r="W27" s="9"/>
      <c r="X27" s="9"/>
      <c r="Y27" s="80"/>
    </row>
    <row r="28" spans="1:25" ht="16.5" x14ac:dyDescent="0.3">
      <c r="A28" s="6" t="s">
        <v>668</v>
      </c>
      <c r="B28" s="6"/>
      <c r="C28" s="6"/>
      <c r="D28" s="6"/>
      <c r="E28" s="6"/>
      <c r="F28" s="6"/>
      <c r="G28" s="6"/>
      <c r="H28" s="6"/>
      <c r="I28" s="6"/>
      <c r="J28" s="6"/>
      <c r="M28" s="9" t="s">
        <v>663</v>
      </c>
      <c r="N28" s="9"/>
      <c r="O28" s="9">
        <f>(O18/100)</f>
        <v>0.98</v>
      </c>
      <c r="P28" s="22" t="s">
        <v>573</v>
      </c>
      <c r="Q28" s="32">
        <f>P10</f>
        <v>505.6</v>
      </c>
      <c r="R28" s="9"/>
      <c r="S28" s="9"/>
      <c r="T28" s="9"/>
      <c r="U28" s="9"/>
      <c r="V28" s="9"/>
      <c r="W28" s="9"/>
      <c r="X28" s="9"/>
      <c r="Y28" s="80"/>
    </row>
    <row r="29" spans="1:25" ht="15" x14ac:dyDescent="0.25">
      <c r="A29" s="6"/>
      <c r="B29" s="6"/>
      <c r="C29" s="6"/>
      <c r="D29" s="6"/>
      <c r="E29" s="6"/>
      <c r="F29" s="6"/>
      <c r="G29" s="6"/>
      <c r="H29" s="6"/>
      <c r="I29" s="6"/>
      <c r="J29" s="6"/>
      <c r="M29" s="9"/>
      <c r="N29" s="9"/>
      <c r="O29" s="9"/>
      <c r="P29" s="9"/>
      <c r="Q29" s="9"/>
      <c r="R29" s="9"/>
      <c r="S29" s="9"/>
      <c r="T29" s="9"/>
      <c r="U29" s="9"/>
      <c r="V29" s="9"/>
      <c r="W29" s="9"/>
      <c r="X29" s="9"/>
      <c r="Y29" s="80"/>
    </row>
    <row r="30" spans="1:25" ht="16.5" x14ac:dyDescent="0.3">
      <c r="A30" s="6"/>
      <c r="B30" s="6"/>
      <c r="C30" s="24">
        <f>0.98*D10</f>
        <v>495.488</v>
      </c>
      <c r="D30" s="6" t="s">
        <v>661</v>
      </c>
      <c r="E30" s="6"/>
      <c r="F30" s="6"/>
      <c r="G30" s="6"/>
      <c r="H30" s="6"/>
      <c r="I30" s="6"/>
      <c r="J30" s="6"/>
      <c r="M30" s="9"/>
      <c r="N30" s="9"/>
      <c r="O30" s="30">
        <f>(O18/100)*P10</f>
        <v>495.488</v>
      </c>
      <c r="P30" s="9" t="s">
        <v>661</v>
      </c>
      <c r="Q30" s="9"/>
      <c r="R30" s="9"/>
      <c r="S30" s="9"/>
      <c r="T30" s="9"/>
      <c r="U30" s="9"/>
      <c r="V30" s="9"/>
      <c r="W30" s="9"/>
      <c r="X30" s="9"/>
      <c r="Y30" s="80"/>
    </row>
    <row r="31" spans="1:25" ht="15" x14ac:dyDescent="0.25">
      <c r="A31" s="6"/>
      <c r="B31" s="6"/>
      <c r="C31" s="6"/>
      <c r="D31" s="6"/>
      <c r="E31" s="6"/>
      <c r="F31" s="6"/>
      <c r="G31" s="6"/>
      <c r="H31" s="6"/>
      <c r="I31" s="6"/>
      <c r="J31" s="6"/>
      <c r="M31" s="9"/>
      <c r="N31" s="9"/>
      <c r="O31" s="9"/>
      <c r="P31" s="9"/>
      <c r="Q31" s="9"/>
      <c r="R31" s="9"/>
      <c r="S31" s="9"/>
      <c r="T31" s="9"/>
      <c r="U31" s="9"/>
      <c r="V31" s="9"/>
      <c r="W31" s="9"/>
      <c r="X31" s="9"/>
      <c r="Y31" s="80"/>
    </row>
    <row r="32" spans="1:25" ht="16.5" x14ac:dyDescent="0.3">
      <c r="A32" s="6" t="s">
        <v>664</v>
      </c>
      <c r="B32" s="6"/>
      <c r="C32" s="6"/>
      <c r="D32" s="6"/>
      <c r="E32" s="6"/>
      <c r="F32" s="6"/>
      <c r="G32" s="6"/>
      <c r="H32" s="6"/>
      <c r="I32" s="6"/>
      <c r="J32" s="6"/>
      <c r="M32" s="9" t="s">
        <v>664</v>
      </c>
      <c r="N32" s="9"/>
      <c r="O32" s="9"/>
      <c r="P32" s="9"/>
      <c r="Q32" s="9"/>
      <c r="R32" s="9"/>
      <c r="S32" s="9"/>
      <c r="T32" s="9"/>
      <c r="U32" s="9"/>
      <c r="V32" s="9"/>
      <c r="W32" s="9"/>
      <c r="X32" s="9"/>
      <c r="Y32" s="80"/>
    </row>
    <row r="33" spans="1:25" ht="15" x14ac:dyDescent="0.25">
      <c r="A33" s="6"/>
      <c r="B33" s="6"/>
      <c r="C33" s="6"/>
      <c r="D33" s="6"/>
      <c r="E33" s="6"/>
      <c r="F33" s="6"/>
      <c r="G33" s="6"/>
      <c r="H33" s="6"/>
      <c r="I33" s="6"/>
      <c r="J33" s="6"/>
      <c r="M33" s="9"/>
      <c r="N33" s="9"/>
      <c r="O33" s="9"/>
      <c r="P33" s="9"/>
      <c r="Q33" s="9"/>
      <c r="R33" s="9"/>
      <c r="S33" s="9"/>
      <c r="T33" s="9"/>
      <c r="U33" s="9"/>
      <c r="V33" s="9"/>
      <c r="W33" s="9"/>
      <c r="X33" s="9"/>
      <c r="Y33" s="80"/>
    </row>
    <row r="34" spans="1:25" ht="16.5" x14ac:dyDescent="0.3">
      <c r="A34" s="6"/>
      <c r="B34" s="6"/>
      <c r="C34" s="24">
        <f>D9</f>
        <v>21.5</v>
      </c>
      <c r="D34" s="6" t="s">
        <v>662</v>
      </c>
      <c r="E34" s="6"/>
      <c r="F34" s="6"/>
      <c r="G34" s="6"/>
      <c r="H34" s="6"/>
      <c r="I34" s="6"/>
      <c r="J34" s="6"/>
      <c r="M34" s="9"/>
      <c r="N34" s="9"/>
      <c r="O34" s="30">
        <f>P9</f>
        <v>21.5</v>
      </c>
      <c r="P34" s="9" t="s">
        <v>662</v>
      </c>
      <c r="Q34" s="9"/>
      <c r="R34" s="9"/>
      <c r="S34" s="9"/>
      <c r="T34" s="9"/>
      <c r="U34" s="9"/>
      <c r="V34" s="9"/>
      <c r="W34" s="9"/>
      <c r="X34" s="9"/>
      <c r="Y34" s="80"/>
    </row>
    <row r="35" spans="1:25" ht="15" x14ac:dyDescent="0.25">
      <c r="A35" s="6"/>
      <c r="B35" s="6"/>
      <c r="C35" s="6"/>
      <c r="D35" s="6"/>
      <c r="E35" s="6"/>
      <c r="F35" s="6"/>
      <c r="G35" s="6"/>
      <c r="H35" s="6"/>
      <c r="I35" s="6"/>
      <c r="J35" s="6"/>
      <c r="M35" s="9"/>
      <c r="N35" s="9"/>
      <c r="O35" s="9"/>
      <c r="P35" s="9"/>
      <c r="Q35" s="9"/>
      <c r="R35" s="9"/>
      <c r="S35" s="9"/>
      <c r="T35" s="9"/>
      <c r="U35" s="9"/>
      <c r="V35" s="9"/>
      <c r="W35" s="9"/>
      <c r="X35" s="9"/>
      <c r="Y35" s="80"/>
    </row>
    <row r="36" spans="1:25" ht="15" x14ac:dyDescent="0.25">
      <c r="A36" s="6" t="s">
        <v>40</v>
      </c>
      <c r="B36" s="6"/>
      <c r="C36" s="6"/>
      <c r="D36" s="6"/>
      <c r="E36" s="6"/>
      <c r="F36" s="6"/>
      <c r="G36" s="6"/>
      <c r="H36" s="6"/>
      <c r="I36" s="6"/>
      <c r="J36" s="6"/>
      <c r="M36" s="9" t="s">
        <v>40</v>
      </c>
      <c r="N36" s="9"/>
      <c r="O36" s="9"/>
      <c r="P36" s="9"/>
      <c r="Q36" s="9"/>
      <c r="R36" s="9"/>
      <c r="S36" s="9"/>
      <c r="T36" s="9"/>
      <c r="U36" s="9"/>
      <c r="V36" s="9"/>
      <c r="W36" s="9"/>
      <c r="X36" s="9"/>
      <c r="Y36" s="80"/>
    </row>
    <row r="37" spans="1:25" ht="15" x14ac:dyDescent="0.25">
      <c r="A37" s="6"/>
      <c r="B37" s="6"/>
      <c r="C37" s="6"/>
      <c r="D37" s="6"/>
      <c r="E37" s="6"/>
      <c r="F37" s="6"/>
      <c r="G37" s="6"/>
      <c r="H37" s="6"/>
      <c r="I37" s="6"/>
      <c r="J37" s="6"/>
      <c r="M37" s="9"/>
      <c r="N37" s="9"/>
      <c r="O37" s="9"/>
      <c r="P37" s="9"/>
      <c r="Q37" s="9"/>
      <c r="R37" s="9"/>
      <c r="S37" s="9"/>
      <c r="T37" s="9"/>
      <c r="U37" s="9"/>
      <c r="V37" s="9"/>
      <c r="W37" s="9"/>
      <c r="X37" s="9"/>
      <c r="Y37" s="80"/>
    </row>
    <row r="38" spans="1:25" ht="16.5" x14ac:dyDescent="0.3">
      <c r="A38" s="6" t="s">
        <v>669</v>
      </c>
      <c r="B38" s="6"/>
      <c r="C38" s="6"/>
      <c r="D38" s="6"/>
      <c r="E38" s="6"/>
      <c r="F38" s="6"/>
      <c r="G38" s="6"/>
      <c r="H38" s="6"/>
      <c r="I38" s="6"/>
      <c r="J38" s="6"/>
      <c r="M38" s="9" t="s">
        <v>584</v>
      </c>
      <c r="N38" s="9"/>
      <c r="O38" s="30">
        <f>O34</f>
        <v>21.5</v>
      </c>
      <c r="P38" s="22" t="s">
        <v>582</v>
      </c>
      <c r="Q38" s="37">
        <f>O30</f>
        <v>495.488</v>
      </c>
      <c r="R38" s="31" t="s">
        <v>583</v>
      </c>
      <c r="S38" s="31">
        <f>1-(O19/100)</f>
        <v>0.99</v>
      </c>
      <c r="T38" s="9"/>
      <c r="U38" s="9"/>
      <c r="V38" s="9"/>
      <c r="W38" s="9"/>
      <c r="X38" s="9"/>
      <c r="Y38" s="80"/>
    </row>
    <row r="39" spans="1:25" ht="15" x14ac:dyDescent="0.25">
      <c r="A39" s="6"/>
      <c r="B39" s="6"/>
      <c r="C39" s="6"/>
      <c r="D39" s="6"/>
      <c r="E39" s="6"/>
      <c r="F39" s="6"/>
      <c r="G39" s="6"/>
      <c r="H39" s="6"/>
      <c r="I39" s="6"/>
      <c r="J39" s="6"/>
      <c r="M39" s="9"/>
      <c r="N39" s="9"/>
      <c r="O39" s="9"/>
      <c r="P39" s="9"/>
      <c r="Q39" s="9"/>
      <c r="R39" s="9"/>
      <c r="S39" s="9"/>
      <c r="T39" s="9"/>
      <c r="U39" s="9"/>
      <c r="V39" s="9"/>
      <c r="W39" s="9"/>
      <c r="X39" s="9"/>
      <c r="Y39" s="80"/>
    </row>
    <row r="40" spans="1:25" ht="15" x14ac:dyDescent="0.25">
      <c r="A40" s="6"/>
      <c r="B40" s="6"/>
      <c r="C40" s="24">
        <f>(C34+C30)/0.98</f>
        <v>527.53877551020412</v>
      </c>
      <c r="D40" s="6" t="s">
        <v>41</v>
      </c>
      <c r="E40" s="6"/>
      <c r="F40" s="6"/>
      <c r="G40" s="6"/>
      <c r="H40" s="6"/>
      <c r="I40" s="6"/>
      <c r="J40" s="6"/>
      <c r="M40" s="9"/>
      <c r="N40" s="9"/>
      <c r="O40" s="30">
        <f>(O34+O30)/(1-(O19/100))</f>
        <v>522.21010101010108</v>
      </c>
      <c r="P40" s="9" t="s">
        <v>41</v>
      </c>
      <c r="Q40" s="9"/>
      <c r="R40" s="9"/>
      <c r="S40" s="9"/>
      <c r="T40" s="9"/>
      <c r="U40" s="9"/>
      <c r="V40" s="9"/>
      <c r="W40" s="9"/>
      <c r="X40" s="9"/>
      <c r="Y40" s="80"/>
    </row>
    <row r="41" spans="1:25" ht="15" x14ac:dyDescent="0.25">
      <c r="A41" s="6"/>
      <c r="B41" s="6"/>
      <c r="C41" s="6"/>
      <c r="D41" s="6"/>
      <c r="E41" s="6"/>
      <c r="F41" s="6"/>
      <c r="G41" s="6"/>
      <c r="H41" s="6"/>
      <c r="I41" s="6"/>
      <c r="J41" s="6"/>
      <c r="M41" s="9"/>
      <c r="N41" s="9"/>
      <c r="O41" s="9"/>
      <c r="P41" s="9"/>
      <c r="Q41" s="9"/>
      <c r="R41" s="9"/>
      <c r="S41" s="9"/>
      <c r="T41" s="9"/>
      <c r="U41" s="9"/>
      <c r="V41" s="9"/>
      <c r="W41" s="9"/>
      <c r="X41" s="9"/>
      <c r="Y41" s="80"/>
    </row>
    <row r="42" spans="1:25" ht="16.5" x14ac:dyDescent="0.3">
      <c r="A42" s="6" t="s">
        <v>670</v>
      </c>
      <c r="B42" s="6"/>
      <c r="C42" s="6"/>
      <c r="D42" s="6"/>
      <c r="E42" s="6"/>
      <c r="F42" s="6"/>
      <c r="G42" s="6"/>
      <c r="H42" s="6"/>
      <c r="I42" s="6"/>
      <c r="J42" s="6"/>
      <c r="M42" s="9" t="s">
        <v>665</v>
      </c>
      <c r="N42" s="9"/>
      <c r="O42" s="83">
        <f>O19/100</f>
        <v>0.01</v>
      </c>
      <c r="P42" s="22" t="s">
        <v>573</v>
      </c>
      <c r="Q42" s="32">
        <f>O40</f>
        <v>522.21010101010108</v>
      </c>
      <c r="R42" s="9"/>
      <c r="S42" s="9"/>
      <c r="T42" s="9"/>
      <c r="U42" s="9"/>
      <c r="V42" s="9"/>
      <c r="W42" s="9"/>
      <c r="X42" s="9"/>
      <c r="Y42" s="80"/>
    </row>
    <row r="43" spans="1:25" ht="15" x14ac:dyDescent="0.25">
      <c r="A43" s="6"/>
      <c r="B43" s="6"/>
      <c r="C43" s="6"/>
      <c r="D43" s="6"/>
      <c r="E43" s="6"/>
      <c r="F43" s="6"/>
      <c r="G43" s="6"/>
      <c r="H43" s="6"/>
      <c r="I43" s="6"/>
      <c r="J43" s="6"/>
      <c r="M43" s="9"/>
      <c r="N43" s="9"/>
      <c r="O43" s="9"/>
      <c r="P43" s="9"/>
      <c r="Q43" s="9"/>
      <c r="R43" s="9"/>
      <c r="S43" s="9"/>
      <c r="T43" s="9"/>
      <c r="U43" s="9"/>
      <c r="V43" s="9"/>
      <c r="W43" s="9"/>
      <c r="X43" s="9"/>
      <c r="Y43" s="80"/>
    </row>
    <row r="44" spans="1:25" ht="15" x14ac:dyDescent="0.25">
      <c r="A44" s="6"/>
      <c r="B44" s="6"/>
      <c r="C44" s="24">
        <f>0.01*C40</f>
        <v>5.2753877551020416</v>
      </c>
      <c r="D44" s="6" t="s">
        <v>41</v>
      </c>
      <c r="E44" s="6"/>
      <c r="F44" s="6"/>
      <c r="G44" s="6"/>
      <c r="H44" s="6"/>
      <c r="I44" s="6"/>
      <c r="J44" s="6"/>
      <c r="M44" s="9"/>
      <c r="N44" s="9"/>
      <c r="O44" s="30">
        <f>(O19/100)*O40</f>
        <v>5.222101010101011</v>
      </c>
      <c r="P44" s="9" t="s">
        <v>41</v>
      </c>
      <c r="Q44" s="9"/>
      <c r="R44" s="9"/>
      <c r="S44" s="9"/>
      <c r="T44" s="9"/>
      <c r="U44" s="9"/>
      <c r="V44" s="9"/>
      <c r="W44" s="9"/>
      <c r="X44" s="9"/>
      <c r="Y44" s="80"/>
    </row>
    <row r="45" spans="1:25" ht="15" x14ac:dyDescent="0.25">
      <c r="A45" s="6"/>
      <c r="B45" s="6"/>
      <c r="C45" s="6"/>
      <c r="D45" s="6"/>
      <c r="E45" s="6"/>
      <c r="F45" s="6"/>
      <c r="G45" s="6"/>
      <c r="H45" s="6"/>
      <c r="I45" s="6"/>
      <c r="J45" s="6"/>
      <c r="M45" s="9"/>
      <c r="N45" s="9"/>
      <c r="O45" s="9"/>
      <c r="P45" s="9"/>
      <c r="Q45" s="9"/>
      <c r="R45" s="9"/>
      <c r="S45" s="9"/>
      <c r="T45" s="9"/>
      <c r="U45" s="9"/>
      <c r="V45" s="9"/>
      <c r="W45" s="9"/>
      <c r="X45" s="9"/>
      <c r="Y45" s="80"/>
    </row>
    <row r="46" spans="1:25" ht="15" x14ac:dyDescent="0.25">
      <c r="A46" s="6" t="s">
        <v>42</v>
      </c>
      <c r="B46" s="6"/>
      <c r="C46" s="6"/>
      <c r="D46" s="6"/>
      <c r="E46" s="6"/>
      <c r="F46" s="6"/>
      <c r="G46" s="6"/>
      <c r="H46" s="6"/>
      <c r="I46" s="6"/>
      <c r="J46" s="6"/>
      <c r="M46" s="9" t="s">
        <v>42</v>
      </c>
      <c r="N46" s="9"/>
      <c r="O46" s="9"/>
      <c r="P46" s="9"/>
      <c r="Q46" s="9"/>
      <c r="R46" s="9"/>
      <c r="S46" s="9"/>
      <c r="T46" s="9"/>
      <c r="U46" s="9"/>
      <c r="V46" s="9"/>
      <c r="W46" s="9"/>
      <c r="X46" s="9"/>
      <c r="Y46" s="80"/>
    </row>
    <row r="47" spans="1:25" ht="15" x14ac:dyDescent="0.25">
      <c r="A47" s="6"/>
      <c r="B47" s="6"/>
      <c r="C47" s="6"/>
      <c r="D47" s="6"/>
      <c r="E47" s="6"/>
      <c r="F47" s="6"/>
      <c r="G47" s="6"/>
      <c r="H47" s="6"/>
      <c r="I47" s="6"/>
      <c r="J47" s="6"/>
      <c r="M47" s="9"/>
      <c r="N47" s="9"/>
      <c r="O47" s="9"/>
      <c r="P47" s="9"/>
      <c r="Q47" s="9"/>
      <c r="R47" s="9"/>
      <c r="S47" s="9"/>
      <c r="T47" s="9"/>
      <c r="U47" s="9"/>
      <c r="V47" s="9"/>
      <c r="W47" s="9"/>
      <c r="X47" s="9"/>
      <c r="Y47" s="80"/>
    </row>
    <row r="48" spans="1:25" ht="15" x14ac:dyDescent="0.25">
      <c r="A48" s="6"/>
      <c r="B48" s="87" t="s">
        <v>11</v>
      </c>
      <c r="C48" s="87"/>
      <c r="D48" s="87" t="s">
        <v>26</v>
      </c>
      <c r="E48" s="87"/>
      <c r="F48" s="87" t="s">
        <v>27</v>
      </c>
      <c r="G48" s="87"/>
      <c r="H48" s="6"/>
      <c r="I48" s="6"/>
      <c r="J48" s="6"/>
      <c r="M48" s="9"/>
      <c r="N48" s="88" t="s">
        <v>11</v>
      </c>
      <c r="O48" s="88"/>
      <c r="P48" s="88" t="s">
        <v>26</v>
      </c>
      <c r="Q48" s="88"/>
      <c r="R48" s="88" t="s">
        <v>27</v>
      </c>
      <c r="S48" s="88"/>
      <c r="T48" s="9"/>
      <c r="U48" s="9"/>
      <c r="V48" s="9"/>
      <c r="W48" s="9"/>
      <c r="X48" s="9"/>
      <c r="Y48" s="80"/>
    </row>
    <row r="49" spans="1:25" ht="15" x14ac:dyDescent="0.25">
      <c r="A49" s="6"/>
      <c r="B49" s="45" t="s">
        <v>34</v>
      </c>
      <c r="C49" s="45" t="s">
        <v>41</v>
      </c>
      <c r="D49" s="45" t="s">
        <v>34</v>
      </c>
      <c r="E49" s="45" t="s">
        <v>41</v>
      </c>
      <c r="F49" s="45" t="s">
        <v>34</v>
      </c>
      <c r="G49" s="45" t="s">
        <v>41</v>
      </c>
      <c r="H49" s="6"/>
      <c r="I49" s="6"/>
      <c r="J49" s="6"/>
      <c r="M49" s="9"/>
      <c r="N49" s="49" t="s">
        <v>34</v>
      </c>
      <c r="O49" s="49" t="s">
        <v>41</v>
      </c>
      <c r="P49" s="49" t="s">
        <v>34</v>
      </c>
      <c r="Q49" s="49" t="s">
        <v>41</v>
      </c>
      <c r="R49" s="49" t="s">
        <v>34</v>
      </c>
      <c r="S49" s="49" t="s">
        <v>41</v>
      </c>
      <c r="T49" s="9"/>
      <c r="U49" s="9"/>
      <c r="V49" s="9"/>
      <c r="W49" s="9"/>
      <c r="X49" s="9"/>
      <c r="Y49" s="80"/>
    </row>
    <row r="50" spans="1:25" ht="17.25" x14ac:dyDescent="0.3">
      <c r="A50" s="16" t="s">
        <v>378</v>
      </c>
      <c r="B50" s="6">
        <v>2.0699999999999998</v>
      </c>
      <c r="C50" s="24">
        <v>21.5</v>
      </c>
      <c r="D50" s="89">
        <f>(E50/$E$57)*100</f>
        <v>4.1166967672031607</v>
      </c>
      <c r="E50" s="89">
        <f>C34</f>
        <v>21.5</v>
      </c>
      <c r="F50" s="89">
        <f>(G50/$G$57)*100</f>
        <v>0</v>
      </c>
      <c r="G50" s="89">
        <f>C50-E50</f>
        <v>0</v>
      </c>
      <c r="H50" s="6"/>
      <c r="I50" s="6"/>
      <c r="J50" s="6"/>
      <c r="M50" s="18" t="s">
        <v>378</v>
      </c>
      <c r="N50" s="30">
        <f>(O50/$O$57)*100</f>
        <v>2.0696958028494414</v>
      </c>
      <c r="O50" s="30">
        <f>P9</f>
        <v>21.5</v>
      </c>
      <c r="P50" s="90">
        <f>(Q50/$Q$57)*100</f>
        <v>4.1171168383018557</v>
      </c>
      <c r="Q50" s="90">
        <f>O34</f>
        <v>21.5</v>
      </c>
      <c r="R50" s="90">
        <f>(S50/$S$57)*100</f>
        <v>0</v>
      </c>
      <c r="S50" s="90">
        <f>O50-Q50</f>
        <v>0</v>
      </c>
      <c r="T50" s="9"/>
      <c r="U50" s="9"/>
      <c r="V50" s="9"/>
      <c r="W50" s="9"/>
      <c r="X50" s="9"/>
      <c r="Y50" s="80"/>
    </row>
    <row r="51" spans="1:25" ht="17.25" x14ac:dyDescent="0.3">
      <c r="A51" s="16" t="s">
        <v>379</v>
      </c>
      <c r="B51" s="6">
        <v>48.67</v>
      </c>
      <c r="C51" s="24">
        <v>505.6</v>
      </c>
      <c r="D51" s="89">
        <f t="shared" ref="D51:D56" si="1">(E51/$E$57)*100</f>
        <v>94.873202222695809</v>
      </c>
      <c r="E51" s="89">
        <f>C30</f>
        <v>495.488</v>
      </c>
      <c r="F51" s="89">
        <f t="shared" ref="F51:F56" si="2">(G51/$G$57)*100</f>
        <v>1.9576540675505436</v>
      </c>
      <c r="G51" s="89">
        <f t="shared" ref="G51:G56" si="3">C51-E51</f>
        <v>10.112000000000023</v>
      </c>
      <c r="H51" s="6"/>
      <c r="I51" s="6"/>
      <c r="J51" s="6"/>
      <c r="M51" s="18" t="s">
        <v>379</v>
      </c>
      <c r="N51" s="30">
        <f t="shared" ref="N51:N56" si="4">(O51/$O$57)*100</f>
        <v>48.671544089333842</v>
      </c>
      <c r="O51" s="30">
        <f t="shared" ref="O51:O56" si="5">P10</f>
        <v>505.6</v>
      </c>
      <c r="P51" s="90">
        <f t="shared" ref="P51:P56" si="6">(Q51/$Q$57)*100</f>
        <v>94.882883161698132</v>
      </c>
      <c r="Q51" s="90">
        <f>O30</f>
        <v>495.488</v>
      </c>
      <c r="R51" s="90">
        <f t="shared" ref="R51:R56" si="7">(S51/$S$57)*100</f>
        <v>1.957452133650361</v>
      </c>
      <c r="S51" s="90">
        <f t="shared" ref="S51:S56" si="8">O51-Q51</f>
        <v>10.112000000000023</v>
      </c>
      <c r="T51" s="9"/>
      <c r="U51" s="9"/>
      <c r="V51" s="9"/>
      <c r="W51" s="9"/>
      <c r="X51" s="9"/>
      <c r="Y51" s="80"/>
    </row>
    <row r="52" spans="1:25" ht="17.25" x14ac:dyDescent="0.3">
      <c r="A52" s="16" t="s">
        <v>380</v>
      </c>
      <c r="B52" s="6">
        <v>10.11</v>
      </c>
      <c r="C52" s="24">
        <v>105</v>
      </c>
      <c r="D52" s="89">
        <f t="shared" si="1"/>
        <v>1.0101010101010099</v>
      </c>
      <c r="E52" s="89">
        <f>C44</f>
        <v>5.2753877551020416</v>
      </c>
      <c r="F52" s="89">
        <f t="shared" si="2"/>
        <v>19.306397626199047</v>
      </c>
      <c r="G52" s="89">
        <f t="shared" si="3"/>
        <v>99.724612244897955</v>
      </c>
      <c r="H52" s="6"/>
      <c r="I52" s="6"/>
      <c r="J52" s="6"/>
      <c r="M52" s="18" t="s">
        <v>380</v>
      </c>
      <c r="N52" s="30">
        <f t="shared" si="4"/>
        <v>10.107816711590296</v>
      </c>
      <c r="O52" s="30">
        <f t="shared" si="5"/>
        <v>105</v>
      </c>
      <c r="P52" s="90">
        <f t="shared" si="6"/>
        <v>1</v>
      </c>
      <c r="Q52" s="90">
        <f>O44</f>
        <v>5.222101010101011</v>
      </c>
      <c r="R52" s="90">
        <f t="shared" si="7"/>
        <v>19.314721248905016</v>
      </c>
      <c r="S52" s="90">
        <f t="shared" si="8"/>
        <v>99.777898989898986</v>
      </c>
      <c r="T52" s="9"/>
      <c r="U52" s="9"/>
      <c r="V52" s="9"/>
      <c r="W52" s="9"/>
      <c r="X52" s="9"/>
      <c r="Y52" s="80"/>
    </row>
    <row r="53" spans="1:25" ht="17.25" x14ac:dyDescent="0.3">
      <c r="A53" s="16" t="s">
        <v>381</v>
      </c>
      <c r="B53" s="6">
        <v>24.08</v>
      </c>
      <c r="C53" s="24">
        <v>250.1</v>
      </c>
      <c r="D53" s="89">
        <f t="shared" si="1"/>
        <v>0</v>
      </c>
      <c r="E53" s="89">
        <v>0</v>
      </c>
      <c r="F53" s="89">
        <f t="shared" si="2"/>
        <v>48.418639467404056</v>
      </c>
      <c r="G53" s="89">
        <f t="shared" si="3"/>
        <v>250.1</v>
      </c>
      <c r="H53" s="6"/>
      <c r="I53" s="6"/>
      <c r="J53" s="6"/>
      <c r="M53" s="18" t="s">
        <v>381</v>
      </c>
      <c r="N53" s="30">
        <f t="shared" si="4"/>
        <v>24.075856757797453</v>
      </c>
      <c r="O53" s="30">
        <f t="shared" si="5"/>
        <v>250.1</v>
      </c>
      <c r="P53" s="90">
        <f t="shared" si="6"/>
        <v>0</v>
      </c>
      <c r="Q53" s="90">
        <v>0</v>
      </c>
      <c r="R53" s="90">
        <f t="shared" si="7"/>
        <v>48.413645038167942</v>
      </c>
      <c r="S53" s="90">
        <f t="shared" si="8"/>
        <v>250.1</v>
      </c>
      <c r="T53" s="9"/>
      <c r="U53" s="9"/>
      <c r="V53" s="9"/>
      <c r="W53" s="9"/>
      <c r="X53" s="9"/>
      <c r="Y53" s="80"/>
    </row>
    <row r="54" spans="1:25" ht="17.25" x14ac:dyDescent="0.3">
      <c r="A54" s="16" t="s">
        <v>390</v>
      </c>
      <c r="B54" s="6">
        <v>5.41</v>
      </c>
      <c r="C54" s="24">
        <v>56.2</v>
      </c>
      <c r="D54" s="89">
        <f t="shared" si="1"/>
        <v>0</v>
      </c>
      <c r="E54" s="89">
        <v>0</v>
      </c>
      <c r="F54" s="89">
        <f t="shared" si="2"/>
        <v>10.880158089036819</v>
      </c>
      <c r="G54" s="89">
        <f t="shared" si="3"/>
        <v>56.2</v>
      </c>
      <c r="H54" s="6"/>
      <c r="I54" s="6"/>
      <c r="J54" s="6"/>
      <c r="M54" s="18" t="s">
        <v>390</v>
      </c>
      <c r="N54" s="30">
        <f t="shared" si="4"/>
        <v>5.4100885637273768</v>
      </c>
      <c r="O54" s="30">
        <f t="shared" si="5"/>
        <v>56.2</v>
      </c>
      <c r="P54" s="90">
        <f t="shared" si="6"/>
        <v>0</v>
      </c>
      <c r="Q54" s="90">
        <v>0</v>
      </c>
      <c r="R54" s="90">
        <f t="shared" si="7"/>
        <v>10.879035790264048</v>
      </c>
      <c r="S54" s="90">
        <f t="shared" si="8"/>
        <v>56.2</v>
      </c>
      <c r="T54" s="9"/>
      <c r="U54" s="9"/>
      <c r="V54" s="9"/>
      <c r="W54" s="9"/>
      <c r="X54" s="9"/>
      <c r="Y54" s="80"/>
    </row>
    <row r="55" spans="1:25" ht="17.25" x14ac:dyDescent="0.3">
      <c r="A55" s="16" t="s">
        <v>391</v>
      </c>
      <c r="B55" s="6">
        <v>4.8099999999999996</v>
      </c>
      <c r="C55" s="24">
        <v>50</v>
      </c>
      <c r="D55" s="89">
        <f t="shared" si="1"/>
        <v>0</v>
      </c>
      <c r="E55" s="89">
        <v>0</v>
      </c>
      <c r="F55" s="89">
        <f t="shared" si="2"/>
        <v>9.6798559511003717</v>
      </c>
      <c r="G55" s="89">
        <f t="shared" si="3"/>
        <v>50</v>
      </c>
      <c r="H55" s="6"/>
      <c r="I55" s="6"/>
      <c r="J55" s="6"/>
      <c r="M55" s="18" t="s">
        <v>391</v>
      </c>
      <c r="N55" s="90">
        <f t="shared" si="4"/>
        <v>4.8132460531382355</v>
      </c>
      <c r="O55" s="90">
        <f t="shared" si="5"/>
        <v>50</v>
      </c>
      <c r="P55" s="90">
        <f t="shared" si="6"/>
        <v>0</v>
      </c>
      <c r="Q55" s="90">
        <v>0</v>
      </c>
      <c r="R55" s="90">
        <f t="shared" si="7"/>
        <v>9.678857464647729</v>
      </c>
      <c r="S55" s="90">
        <f t="shared" si="8"/>
        <v>50</v>
      </c>
      <c r="T55" s="9"/>
      <c r="U55" s="9"/>
      <c r="V55" s="9"/>
      <c r="W55" s="9"/>
      <c r="X55" s="9"/>
      <c r="Y55" s="80"/>
    </row>
    <row r="56" spans="1:25" ht="17.25" x14ac:dyDescent="0.3">
      <c r="A56" s="16" t="s">
        <v>392</v>
      </c>
      <c r="B56" s="85">
        <v>4.8499999999999996</v>
      </c>
      <c r="C56" s="71">
        <v>50.4</v>
      </c>
      <c r="D56" s="71">
        <f t="shared" si="1"/>
        <v>0</v>
      </c>
      <c r="E56" s="71">
        <v>0</v>
      </c>
      <c r="F56" s="71">
        <f t="shared" si="2"/>
        <v>9.7572947987091734</v>
      </c>
      <c r="G56" s="71">
        <f t="shared" si="3"/>
        <v>50.4</v>
      </c>
      <c r="H56" s="6"/>
      <c r="I56" s="6"/>
      <c r="J56" s="6"/>
      <c r="M56" s="18" t="s">
        <v>392</v>
      </c>
      <c r="N56" s="91">
        <f t="shared" si="4"/>
        <v>4.8517520215633416</v>
      </c>
      <c r="O56" s="91">
        <f t="shared" si="5"/>
        <v>50.4</v>
      </c>
      <c r="P56" s="91">
        <f t="shared" si="6"/>
        <v>0</v>
      </c>
      <c r="Q56" s="91">
        <v>0</v>
      </c>
      <c r="R56" s="91">
        <f t="shared" si="7"/>
        <v>9.7562883243649097</v>
      </c>
      <c r="S56" s="91">
        <f t="shared" si="8"/>
        <v>50.4</v>
      </c>
      <c r="T56" s="9"/>
      <c r="U56" s="9"/>
      <c r="V56" s="9"/>
      <c r="W56" s="9"/>
      <c r="X56" s="9"/>
      <c r="Y56" s="80"/>
    </row>
    <row r="57" spans="1:25" ht="15" x14ac:dyDescent="0.25">
      <c r="A57" s="16" t="s">
        <v>29</v>
      </c>
      <c r="B57" s="6">
        <f t="shared" ref="B57:G57" si="9">SUM(B50:B56)</f>
        <v>100</v>
      </c>
      <c r="C57" s="6">
        <f t="shared" si="9"/>
        <v>1038.8000000000002</v>
      </c>
      <c r="D57" s="24">
        <f t="shared" si="9"/>
        <v>99.999999999999986</v>
      </c>
      <c r="E57" s="24">
        <f t="shared" si="9"/>
        <v>522.26338775510214</v>
      </c>
      <c r="F57" s="24">
        <f t="shared" si="9"/>
        <v>99.999999999999986</v>
      </c>
      <c r="G57" s="24">
        <f t="shared" si="9"/>
        <v>516.53661224489792</v>
      </c>
      <c r="H57" s="6"/>
      <c r="I57" s="6"/>
      <c r="J57" s="6"/>
      <c r="M57" s="18" t="s">
        <v>29</v>
      </c>
      <c r="N57" s="9">
        <f t="shared" ref="N57:S57" si="10">SUM(N50:N56)</f>
        <v>99.999999999999986</v>
      </c>
      <c r="O57" s="9">
        <f t="shared" si="10"/>
        <v>1038.8000000000002</v>
      </c>
      <c r="P57" s="30">
        <f t="shared" si="10"/>
        <v>99.999999999999986</v>
      </c>
      <c r="Q57" s="30">
        <f t="shared" si="10"/>
        <v>522.21010101010108</v>
      </c>
      <c r="R57" s="30">
        <f t="shared" si="10"/>
        <v>100</v>
      </c>
      <c r="S57" s="30">
        <f t="shared" si="10"/>
        <v>516.58989898989898</v>
      </c>
      <c r="T57" s="9"/>
      <c r="U57" s="9"/>
      <c r="V57" s="9"/>
      <c r="W57" s="9"/>
      <c r="X57" s="9"/>
      <c r="Y57" s="80"/>
    </row>
    <row r="58" spans="1:25" ht="15" x14ac:dyDescent="0.25">
      <c r="A58" s="6"/>
      <c r="B58" s="6"/>
      <c r="C58" s="6"/>
      <c r="D58" s="6"/>
      <c r="E58" s="6"/>
      <c r="F58" s="6"/>
      <c r="G58" s="6"/>
      <c r="H58" s="6"/>
      <c r="I58" s="6"/>
      <c r="J58" s="6"/>
      <c r="M58" s="9"/>
      <c r="N58" s="9"/>
      <c r="O58" s="9"/>
      <c r="P58" s="9"/>
      <c r="Q58" s="9"/>
      <c r="R58" s="9"/>
      <c r="S58" s="9"/>
      <c r="T58" s="9"/>
      <c r="U58" s="9"/>
      <c r="V58" s="9"/>
      <c r="W58" s="9"/>
      <c r="X58" s="9"/>
      <c r="Y58" s="80"/>
    </row>
    <row r="59" spans="1:25" ht="12.75" customHeight="1" x14ac:dyDescent="0.25">
      <c r="A59" s="11" t="s">
        <v>47</v>
      </c>
      <c r="B59" s="11"/>
      <c r="C59" s="11"/>
      <c r="D59" s="11"/>
      <c r="E59" s="11"/>
      <c r="F59" s="11"/>
      <c r="G59" s="11"/>
      <c r="H59" s="11"/>
      <c r="I59" s="11"/>
      <c r="J59" s="6"/>
      <c r="M59" s="33" t="s">
        <v>47</v>
      </c>
      <c r="N59" s="33"/>
      <c r="O59" s="33"/>
      <c r="P59" s="33"/>
      <c r="Q59" s="33"/>
      <c r="R59" s="33"/>
      <c r="S59" s="33"/>
      <c r="T59" s="33"/>
      <c r="U59" s="33"/>
      <c r="V59" s="9"/>
      <c r="W59" s="9"/>
      <c r="X59" s="9"/>
      <c r="Y59" s="80"/>
    </row>
    <row r="60" spans="1:25" ht="15" x14ac:dyDescent="0.25">
      <c r="A60" s="11"/>
      <c r="B60" s="11"/>
      <c r="C60" s="11"/>
      <c r="D60" s="11"/>
      <c r="E60" s="11"/>
      <c r="F60" s="11"/>
      <c r="G60" s="11"/>
      <c r="H60" s="11"/>
      <c r="I60" s="11"/>
      <c r="J60" s="6"/>
      <c r="M60" s="33"/>
      <c r="N60" s="33"/>
      <c r="O60" s="33"/>
      <c r="P60" s="33"/>
      <c r="Q60" s="33"/>
      <c r="R60" s="33"/>
      <c r="S60" s="33"/>
      <c r="T60" s="33"/>
      <c r="U60" s="33"/>
      <c r="V60" s="9"/>
      <c r="W60" s="9"/>
      <c r="X60" s="9"/>
      <c r="Y60" s="80"/>
    </row>
    <row r="61" spans="1:25" ht="15" x14ac:dyDescent="0.25">
      <c r="A61" s="92"/>
      <c r="B61" s="92"/>
      <c r="C61" s="92"/>
      <c r="D61" s="92"/>
      <c r="E61" s="92"/>
      <c r="F61" s="92"/>
      <c r="G61" s="92"/>
      <c r="H61" s="92"/>
      <c r="I61" s="92"/>
      <c r="J61" s="6"/>
      <c r="M61" s="93"/>
      <c r="N61" s="93"/>
      <c r="O61" s="93"/>
      <c r="P61" s="93"/>
      <c r="Q61" s="93"/>
      <c r="R61" s="93"/>
      <c r="S61" s="93"/>
      <c r="T61" s="93"/>
      <c r="U61" s="93"/>
      <c r="V61" s="9"/>
      <c r="W61" s="9"/>
      <c r="X61" s="9"/>
      <c r="Y61" s="80"/>
    </row>
    <row r="62" spans="1:25" ht="12.75" customHeight="1" x14ac:dyDescent="0.25">
      <c r="A62" s="94" t="s">
        <v>50</v>
      </c>
      <c r="B62" s="94"/>
      <c r="C62" s="94"/>
      <c r="D62" s="94"/>
      <c r="E62" s="94"/>
      <c r="F62" s="94"/>
      <c r="G62" s="94"/>
      <c r="H62" s="94"/>
      <c r="I62" s="6"/>
      <c r="J62" s="6"/>
      <c r="M62" s="235" t="s">
        <v>539</v>
      </c>
      <c r="N62" s="235"/>
      <c r="O62" s="235"/>
      <c r="P62" s="235"/>
      <c r="Q62" s="235"/>
      <c r="R62" s="235"/>
      <c r="S62" s="235"/>
      <c r="T62" s="235"/>
      <c r="U62" s="235"/>
      <c r="V62" s="235"/>
      <c r="W62" s="235"/>
      <c r="X62" s="235"/>
      <c r="Y62" s="235"/>
    </row>
    <row r="63" spans="1:25" ht="12.75" customHeight="1" x14ac:dyDescent="0.25">
      <c r="A63" s="96"/>
      <c r="B63" s="96"/>
      <c r="C63" s="96"/>
      <c r="D63" s="96"/>
      <c r="E63" s="96"/>
      <c r="F63" s="96"/>
      <c r="G63" s="96"/>
      <c r="H63" s="96"/>
      <c r="I63" s="6"/>
      <c r="J63" s="6"/>
      <c r="M63" s="235"/>
      <c r="N63" s="235"/>
      <c r="O63" s="235"/>
      <c r="P63" s="235"/>
      <c r="Q63" s="235"/>
      <c r="R63" s="235"/>
      <c r="S63" s="235"/>
      <c r="T63" s="235"/>
      <c r="U63" s="235"/>
      <c r="V63" s="235"/>
      <c r="W63" s="235"/>
      <c r="X63" s="235"/>
      <c r="Y63" s="235"/>
    </row>
    <row r="64" spans="1:25" ht="15" x14ac:dyDescent="0.25">
      <c r="A64" s="6" t="s">
        <v>49</v>
      </c>
      <c r="B64" s="6"/>
      <c r="C64" s="6"/>
      <c r="D64" s="6"/>
      <c r="E64" s="6"/>
      <c r="F64" s="92"/>
      <c r="G64" s="92"/>
      <c r="H64" s="92"/>
      <c r="I64" s="92"/>
      <c r="J64" s="6"/>
      <c r="M64" s="82"/>
      <c r="N64" s="9"/>
      <c r="O64" s="9"/>
      <c r="P64" s="9"/>
      <c r="Q64" s="9"/>
      <c r="R64" s="93"/>
      <c r="S64" s="93"/>
      <c r="T64" s="93"/>
      <c r="U64" s="93"/>
      <c r="V64" s="9"/>
      <c r="W64" s="9"/>
      <c r="X64" s="9"/>
      <c r="Y64" s="80"/>
    </row>
    <row r="65" spans="1:25" ht="15" x14ac:dyDescent="0.25">
      <c r="A65" s="92"/>
      <c r="B65" s="92" t="s">
        <v>48</v>
      </c>
      <c r="C65" s="92"/>
      <c r="D65" s="92"/>
      <c r="E65" s="92"/>
      <c r="F65" s="92"/>
      <c r="G65" s="92"/>
      <c r="H65" s="92"/>
      <c r="I65" s="92"/>
      <c r="J65" s="6"/>
      <c r="M65" s="9" t="s">
        <v>43</v>
      </c>
      <c r="N65" s="93" t="s">
        <v>48</v>
      </c>
      <c r="O65" s="93"/>
      <c r="P65" s="93"/>
      <c r="Q65" s="93"/>
      <c r="R65" s="93"/>
      <c r="S65" s="93"/>
      <c r="T65" s="93"/>
      <c r="U65" s="93"/>
      <c r="V65" s="9"/>
      <c r="W65" s="9"/>
      <c r="X65" s="9"/>
      <c r="Y65" s="80"/>
    </row>
    <row r="66" spans="1:25" ht="16.5" x14ac:dyDescent="0.3">
      <c r="A66" s="20" t="s">
        <v>373</v>
      </c>
      <c r="B66" s="97">
        <v>2.8</v>
      </c>
      <c r="C66" s="92"/>
      <c r="D66" s="6"/>
      <c r="E66" s="92"/>
      <c r="F66" s="15"/>
      <c r="G66" s="15"/>
      <c r="H66" s="15"/>
      <c r="I66" s="15"/>
      <c r="J66" s="6"/>
      <c r="M66" s="22" t="s">
        <v>373</v>
      </c>
      <c r="N66" s="236">
        <v>2.8</v>
      </c>
      <c r="O66" s="93"/>
      <c r="P66" s="83" t="s">
        <v>308</v>
      </c>
      <c r="Q66" s="239">
        <v>280</v>
      </c>
      <c r="R66" s="12" t="s">
        <v>309</v>
      </c>
      <c r="S66" s="12"/>
      <c r="T66" s="12"/>
      <c r="U66" s="12"/>
      <c r="V66" s="9"/>
      <c r="W66" s="9"/>
      <c r="X66" s="9"/>
      <c r="Y66" s="80"/>
    </row>
    <row r="67" spans="1:25" ht="16.5" x14ac:dyDescent="0.3">
      <c r="A67" s="20" t="s">
        <v>374</v>
      </c>
      <c r="B67" s="97">
        <v>0.93</v>
      </c>
      <c r="C67" s="92"/>
      <c r="D67" s="66"/>
      <c r="E67" s="98"/>
      <c r="F67" s="15"/>
      <c r="G67" s="15"/>
      <c r="H67" s="15"/>
      <c r="I67" s="15"/>
      <c r="J67" s="6"/>
      <c r="M67" s="22" t="s">
        <v>374</v>
      </c>
      <c r="N67" s="236">
        <v>0.93</v>
      </c>
      <c r="O67" s="93"/>
      <c r="P67" s="83"/>
      <c r="Q67" s="99"/>
      <c r="R67" s="12"/>
      <c r="S67" s="12"/>
      <c r="T67" s="12"/>
      <c r="U67" s="12"/>
      <c r="V67" s="9"/>
      <c r="W67" s="9"/>
      <c r="X67" s="9"/>
      <c r="Y67" s="80"/>
    </row>
    <row r="68" spans="1:25" ht="16.5" x14ac:dyDescent="0.3">
      <c r="A68" s="20" t="s">
        <v>375</v>
      </c>
      <c r="B68" s="97">
        <v>0.45</v>
      </c>
      <c r="C68" s="15"/>
      <c r="D68" s="15"/>
      <c r="E68" s="15"/>
      <c r="F68" s="15"/>
      <c r="G68" s="15"/>
      <c r="H68" s="15"/>
      <c r="I68" s="15"/>
      <c r="J68" s="6"/>
      <c r="M68" s="22" t="s">
        <v>375</v>
      </c>
      <c r="N68" s="236">
        <v>0.45</v>
      </c>
      <c r="O68" s="12"/>
      <c r="P68" s="12"/>
      <c r="Q68" s="12"/>
      <c r="R68" s="12"/>
      <c r="S68" s="12"/>
      <c r="T68" s="12"/>
      <c r="U68" s="12"/>
      <c r="V68" s="9"/>
      <c r="W68" s="9"/>
      <c r="X68" s="9"/>
      <c r="Y68" s="80"/>
    </row>
    <row r="69" spans="1:25" ht="16.5" x14ac:dyDescent="0.3">
      <c r="A69" s="20"/>
      <c r="B69" s="97"/>
      <c r="C69" s="15"/>
      <c r="D69" s="15"/>
      <c r="E69" s="15"/>
      <c r="F69" s="15"/>
      <c r="G69" s="15"/>
      <c r="H69" s="15"/>
      <c r="I69" s="15"/>
      <c r="J69" s="6"/>
      <c r="M69" s="22" t="s">
        <v>376</v>
      </c>
      <c r="N69" s="237">
        <v>0.35116700000000001</v>
      </c>
      <c r="O69" s="12"/>
      <c r="P69" s="12"/>
      <c r="Q69" s="12"/>
      <c r="R69" s="12"/>
      <c r="S69" s="12"/>
      <c r="T69" s="12"/>
      <c r="U69" s="12"/>
      <c r="V69" s="9"/>
      <c r="W69" s="9"/>
      <c r="X69" s="9"/>
      <c r="Y69" s="80"/>
    </row>
    <row r="70" spans="1:25" ht="16.5" x14ac:dyDescent="0.3">
      <c r="A70" s="96" t="s">
        <v>51</v>
      </c>
      <c r="B70" s="100"/>
      <c r="C70" s="92"/>
      <c r="D70" s="92"/>
      <c r="E70" s="92"/>
      <c r="F70" s="92"/>
      <c r="G70" s="15"/>
      <c r="H70" s="15"/>
      <c r="I70" s="15"/>
      <c r="J70" s="6"/>
      <c r="M70" s="22" t="s">
        <v>387</v>
      </c>
      <c r="N70" s="237">
        <v>0.17460000000000001</v>
      </c>
      <c r="O70" s="12"/>
      <c r="P70" s="12"/>
      <c r="Q70" s="12"/>
      <c r="R70" s="12"/>
      <c r="S70" s="12"/>
      <c r="T70" s="12"/>
      <c r="U70" s="12"/>
      <c r="V70" s="9"/>
      <c r="W70" s="9"/>
      <c r="X70" s="9"/>
      <c r="Y70" s="80"/>
    </row>
    <row r="71" spans="1:25" ht="16.5" x14ac:dyDescent="0.3">
      <c r="A71" s="20"/>
      <c r="B71" s="97"/>
      <c r="C71" s="15"/>
      <c r="D71" s="15"/>
      <c r="E71" s="15"/>
      <c r="F71" s="15"/>
      <c r="G71" s="15"/>
      <c r="H71" s="15"/>
      <c r="I71" s="15"/>
      <c r="J71" s="6"/>
      <c r="M71" s="22" t="s">
        <v>388</v>
      </c>
      <c r="N71" s="237">
        <v>0.14369999999999999</v>
      </c>
      <c r="O71" s="12"/>
      <c r="P71" s="12"/>
      <c r="Q71" s="12"/>
      <c r="R71" s="12"/>
      <c r="S71" s="12"/>
      <c r="T71" s="12"/>
      <c r="U71" s="12"/>
      <c r="V71" s="9"/>
      <c r="W71" s="9"/>
      <c r="X71" s="9"/>
      <c r="Y71" s="80"/>
    </row>
    <row r="72" spans="1:25" ht="16.5" x14ac:dyDescent="0.3">
      <c r="A72" s="6" t="s">
        <v>585</v>
      </c>
      <c r="B72" s="97"/>
      <c r="C72" s="15"/>
      <c r="D72" s="15"/>
      <c r="E72" s="15"/>
      <c r="F72" s="15"/>
      <c r="G72" s="15"/>
      <c r="H72" s="15"/>
      <c r="I72" s="15"/>
      <c r="J72" s="6"/>
      <c r="M72" s="22" t="s">
        <v>389</v>
      </c>
      <c r="N72" s="238">
        <v>2.4504999999999999E-2</v>
      </c>
      <c r="O72" s="12"/>
      <c r="P72" s="12"/>
      <c r="Q72" s="12"/>
      <c r="R72" s="12"/>
      <c r="S72" s="12"/>
      <c r="T72" s="12"/>
      <c r="U72" s="12"/>
      <c r="V72" s="9"/>
      <c r="W72" s="9"/>
      <c r="X72" s="9"/>
      <c r="Y72" s="80"/>
    </row>
    <row r="73" spans="1:25" ht="15" x14ac:dyDescent="0.25">
      <c r="A73" s="66" t="s">
        <v>45</v>
      </c>
      <c r="B73" s="98">
        <f>B67/B68</f>
        <v>2.0666666666666669</v>
      </c>
      <c r="C73" s="15"/>
      <c r="D73" s="15"/>
      <c r="E73" s="15"/>
      <c r="F73" s="15"/>
      <c r="G73" s="15"/>
      <c r="H73" s="15"/>
      <c r="I73" s="15"/>
      <c r="J73" s="6"/>
      <c r="M73" s="22"/>
      <c r="N73" s="101"/>
      <c r="O73" s="12"/>
      <c r="P73" s="12"/>
      <c r="Q73" s="12"/>
      <c r="R73" s="12"/>
      <c r="S73" s="12"/>
      <c r="T73" s="12"/>
      <c r="U73" s="12"/>
      <c r="V73" s="9"/>
      <c r="W73" s="9"/>
      <c r="X73" s="9"/>
      <c r="Y73" s="80"/>
    </row>
    <row r="74" spans="1:25" ht="15" x14ac:dyDescent="0.25">
      <c r="A74" s="6"/>
      <c r="B74" s="6"/>
      <c r="C74" s="6"/>
      <c r="D74" s="6"/>
      <c r="E74" s="6"/>
      <c r="F74" s="6"/>
      <c r="G74" s="6"/>
      <c r="H74" s="6"/>
      <c r="I74" s="6"/>
      <c r="J74" s="6"/>
      <c r="M74" s="31" t="s">
        <v>51</v>
      </c>
      <c r="N74" s="102"/>
      <c r="O74" s="93"/>
      <c r="P74" s="93"/>
      <c r="Q74" s="93"/>
      <c r="R74" s="93"/>
      <c r="S74" s="12"/>
      <c r="T74" s="12"/>
      <c r="U74" s="12"/>
      <c r="V74" s="9"/>
      <c r="W74" s="9"/>
      <c r="X74" s="9"/>
      <c r="Y74" s="80"/>
    </row>
    <row r="75" spans="1:25" ht="15" x14ac:dyDescent="0.25">
      <c r="A75" s="11" t="s">
        <v>46</v>
      </c>
      <c r="B75" s="11"/>
      <c r="C75" s="11"/>
      <c r="D75" s="11"/>
      <c r="E75" s="11"/>
      <c r="F75" s="11"/>
      <c r="G75" s="11"/>
      <c r="H75" s="11"/>
      <c r="I75" s="11"/>
      <c r="J75" s="6"/>
      <c r="M75" s="22"/>
      <c r="N75" s="101"/>
      <c r="O75" s="12"/>
      <c r="P75" s="12"/>
      <c r="Q75" s="12"/>
      <c r="R75" s="12"/>
      <c r="S75" s="12"/>
      <c r="T75" s="12"/>
      <c r="U75" s="12"/>
      <c r="V75" s="9"/>
      <c r="W75" s="9"/>
      <c r="X75" s="9"/>
      <c r="Y75" s="80"/>
    </row>
    <row r="76" spans="1:25" ht="16.5" x14ac:dyDescent="0.3">
      <c r="A76" s="11"/>
      <c r="B76" s="11"/>
      <c r="C76" s="11"/>
      <c r="D76" s="11"/>
      <c r="E76" s="11"/>
      <c r="F76" s="11"/>
      <c r="G76" s="11"/>
      <c r="H76" s="11"/>
      <c r="I76" s="11"/>
      <c r="J76" s="6"/>
      <c r="M76" s="9" t="s">
        <v>586</v>
      </c>
      <c r="N76" s="101"/>
      <c r="O76" s="103">
        <f>N67</f>
        <v>0.93</v>
      </c>
      <c r="P76" s="104" t="s">
        <v>575</v>
      </c>
      <c r="Q76" s="102">
        <f>N68</f>
        <v>0.45</v>
      </c>
      <c r="R76" s="12"/>
      <c r="S76" s="12"/>
      <c r="T76" s="12"/>
      <c r="U76" s="12"/>
      <c r="V76" s="9"/>
      <c r="W76" s="9"/>
      <c r="X76" s="9"/>
      <c r="Y76" s="80"/>
    </row>
    <row r="77" spans="1:25" ht="15" x14ac:dyDescent="0.25">
      <c r="A77" s="6"/>
      <c r="B77" s="6"/>
      <c r="C77" s="6"/>
      <c r="D77" s="6"/>
      <c r="E77" s="6"/>
      <c r="F77" s="6"/>
      <c r="G77" s="6"/>
      <c r="H77" s="6"/>
      <c r="I77" s="6"/>
      <c r="J77" s="6"/>
      <c r="M77" s="83" t="s">
        <v>45</v>
      </c>
      <c r="N77" s="99">
        <f>N67/N68</f>
        <v>2.0666666666666669</v>
      </c>
      <c r="O77" s="12"/>
      <c r="P77" s="12"/>
      <c r="Q77" s="12"/>
      <c r="R77" s="12"/>
      <c r="S77" s="12"/>
      <c r="T77" s="12"/>
      <c r="U77" s="12"/>
      <c r="V77" s="9"/>
      <c r="W77" s="9"/>
      <c r="X77" s="9"/>
      <c r="Y77" s="80"/>
    </row>
    <row r="78" spans="1:25" ht="15" x14ac:dyDescent="0.25">
      <c r="A78" s="6" t="s">
        <v>43</v>
      </c>
      <c r="B78" s="6" t="s">
        <v>44</v>
      </c>
      <c r="C78" s="6"/>
      <c r="D78" s="6"/>
      <c r="E78" s="6"/>
      <c r="F78" s="6"/>
      <c r="G78" s="6"/>
      <c r="H78" s="6"/>
      <c r="I78" s="6"/>
      <c r="J78" s="6"/>
      <c r="M78" s="9"/>
      <c r="N78" s="9"/>
      <c r="O78" s="9"/>
      <c r="P78" s="9"/>
      <c r="Q78" s="9"/>
      <c r="R78" s="9"/>
      <c r="S78" s="9"/>
      <c r="T78" s="9"/>
      <c r="U78" s="9"/>
      <c r="V78" s="9"/>
      <c r="W78" s="9"/>
      <c r="X78" s="9"/>
      <c r="Y78" s="80"/>
    </row>
    <row r="79" spans="1:25" ht="15" customHeight="1" x14ac:dyDescent="0.25">
      <c r="A79" s="6"/>
      <c r="B79" s="6"/>
      <c r="C79" s="6"/>
      <c r="D79" s="6"/>
      <c r="E79" s="6"/>
      <c r="F79" s="6"/>
      <c r="G79" s="6"/>
      <c r="H79" s="6"/>
      <c r="I79" s="6"/>
      <c r="J79" s="6"/>
      <c r="M79" s="235" t="s">
        <v>537</v>
      </c>
      <c r="N79" s="235"/>
      <c r="O79" s="235"/>
      <c r="P79" s="235"/>
      <c r="Q79" s="235"/>
      <c r="R79" s="235"/>
      <c r="S79" s="235"/>
      <c r="T79" s="235"/>
      <c r="U79" s="235"/>
      <c r="V79" s="235"/>
      <c r="W79" s="235"/>
      <c r="X79" s="235"/>
      <c r="Y79" s="80"/>
    </row>
    <row r="80" spans="1:25" ht="16.5" x14ac:dyDescent="0.3">
      <c r="A80" s="20" t="s">
        <v>374</v>
      </c>
      <c r="B80" s="6">
        <v>2.2999999999999998</v>
      </c>
      <c r="C80" s="6"/>
      <c r="D80" s="6"/>
      <c r="E80" s="6"/>
      <c r="F80" s="6"/>
      <c r="G80" s="6"/>
      <c r="H80" s="6"/>
      <c r="I80" s="6"/>
      <c r="J80" s="6"/>
      <c r="M80" s="235"/>
      <c r="N80" s="235"/>
      <c r="O80" s="235"/>
      <c r="P80" s="235"/>
      <c r="Q80" s="235"/>
      <c r="R80" s="235"/>
      <c r="S80" s="235"/>
      <c r="T80" s="235"/>
      <c r="U80" s="235"/>
      <c r="V80" s="235"/>
      <c r="W80" s="235"/>
      <c r="X80" s="235"/>
      <c r="Y80" s="80"/>
    </row>
    <row r="81" spans="1:25" ht="16.5" x14ac:dyDescent="0.3">
      <c r="A81" s="20" t="s">
        <v>375</v>
      </c>
      <c r="B81" s="6">
        <v>1.4</v>
      </c>
      <c r="C81" s="6"/>
      <c r="D81" s="6"/>
      <c r="E81" s="6"/>
      <c r="F81" s="6"/>
      <c r="G81" s="6"/>
      <c r="H81" s="6"/>
      <c r="I81" s="6"/>
      <c r="J81" s="6"/>
      <c r="M81" s="9"/>
      <c r="N81" s="9"/>
      <c r="O81" s="9"/>
      <c r="P81" s="9"/>
      <c r="Q81" s="9"/>
      <c r="R81" s="9"/>
      <c r="S81" s="9"/>
      <c r="T81" s="9"/>
      <c r="U81" s="9"/>
      <c r="V81" s="9"/>
      <c r="W81" s="9"/>
      <c r="X81" s="9"/>
      <c r="Y81" s="80"/>
    </row>
    <row r="82" spans="1:25" ht="16.5" x14ac:dyDescent="0.3">
      <c r="A82" s="20" t="s">
        <v>376</v>
      </c>
      <c r="B82" s="6">
        <v>1.1499999999999999</v>
      </c>
      <c r="C82" s="6"/>
      <c r="D82" s="6"/>
      <c r="E82" s="6"/>
      <c r="F82" s="6"/>
      <c r="G82" s="6"/>
      <c r="H82" s="6"/>
      <c r="I82" s="6"/>
      <c r="J82" s="6"/>
      <c r="M82" s="9" t="s">
        <v>43</v>
      </c>
      <c r="N82" s="22" t="s">
        <v>44</v>
      </c>
      <c r="O82" s="9"/>
      <c r="P82" s="9"/>
      <c r="Q82" s="9"/>
      <c r="R82" s="9"/>
      <c r="S82" s="9"/>
      <c r="T82" s="9"/>
      <c r="U82" s="9"/>
      <c r="V82" s="9"/>
      <c r="W82" s="9"/>
      <c r="X82" s="9"/>
      <c r="Y82" s="80"/>
    </row>
    <row r="83" spans="1:25" ht="16.5" x14ac:dyDescent="0.3">
      <c r="A83" s="20" t="s">
        <v>387</v>
      </c>
      <c r="B83" s="6">
        <v>0.68</v>
      </c>
      <c r="C83" s="6"/>
      <c r="D83" s="6"/>
      <c r="E83" s="6"/>
      <c r="F83" s="6"/>
      <c r="G83" s="6"/>
      <c r="H83" s="6"/>
      <c r="I83" s="6"/>
      <c r="J83" s="6"/>
      <c r="M83" s="22" t="s">
        <v>373</v>
      </c>
      <c r="N83" s="240">
        <v>3.36</v>
      </c>
      <c r="O83" s="9"/>
      <c r="P83" s="9"/>
      <c r="Q83" s="9"/>
      <c r="R83" s="9"/>
      <c r="S83" s="9"/>
      <c r="T83" s="9"/>
      <c r="U83" s="9"/>
      <c r="V83" s="9"/>
      <c r="W83" s="9"/>
      <c r="X83" s="9"/>
      <c r="Y83" s="80"/>
    </row>
    <row r="84" spans="1:25" ht="16.5" x14ac:dyDescent="0.3">
      <c r="A84" s="20" t="s">
        <v>388</v>
      </c>
      <c r="B84" s="6">
        <v>0.62</v>
      </c>
      <c r="C84" s="6"/>
      <c r="D84" s="6"/>
      <c r="E84" s="6"/>
      <c r="F84" s="6"/>
      <c r="G84" s="6"/>
      <c r="H84" s="6"/>
      <c r="I84" s="6"/>
      <c r="J84" s="6"/>
      <c r="M84" s="22" t="s">
        <v>374</v>
      </c>
      <c r="N84" s="233">
        <v>2.2999999999999998</v>
      </c>
      <c r="O84" s="9"/>
      <c r="P84" s="83" t="s">
        <v>538</v>
      </c>
      <c r="Q84" s="233">
        <v>250</v>
      </c>
      <c r="R84" s="105" t="s">
        <v>508</v>
      </c>
      <c r="S84" s="9"/>
      <c r="T84" s="9"/>
      <c r="U84" s="9"/>
      <c r="V84" s="9"/>
      <c r="W84" s="9"/>
      <c r="X84" s="9"/>
      <c r="Y84" s="80"/>
    </row>
    <row r="85" spans="1:25" ht="16.5" x14ac:dyDescent="0.3">
      <c r="A85" s="20" t="s">
        <v>389</v>
      </c>
      <c r="B85" s="6">
        <v>0.15</v>
      </c>
      <c r="C85" s="6"/>
      <c r="D85" s="6"/>
      <c r="E85" s="6"/>
      <c r="F85" s="6"/>
      <c r="G85" s="6"/>
      <c r="H85" s="6"/>
      <c r="I85" s="6"/>
      <c r="J85" s="6"/>
      <c r="M85" s="22" t="s">
        <v>375</v>
      </c>
      <c r="N85" s="233">
        <v>1.4</v>
      </c>
      <c r="O85" s="9"/>
      <c r="P85" s="9"/>
      <c r="Q85" s="9"/>
      <c r="R85" s="9"/>
      <c r="S85" s="9"/>
      <c r="T85" s="9"/>
      <c r="U85" s="9"/>
      <c r="V85" s="9"/>
      <c r="W85" s="9"/>
      <c r="X85" s="9"/>
      <c r="Y85" s="80"/>
    </row>
    <row r="86" spans="1:25" ht="16.5" x14ac:dyDescent="0.3">
      <c r="A86" s="20"/>
      <c r="B86" s="106"/>
      <c r="C86" s="6"/>
      <c r="D86" s="6"/>
      <c r="E86" s="6"/>
      <c r="F86" s="6"/>
      <c r="G86" s="6"/>
      <c r="H86" s="6"/>
      <c r="I86" s="6"/>
      <c r="J86" s="6"/>
      <c r="M86" s="22" t="s">
        <v>376</v>
      </c>
      <c r="N86" s="233">
        <v>1.1499999999999999</v>
      </c>
      <c r="O86" s="9"/>
      <c r="P86" s="9"/>
      <c r="Q86" s="9"/>
      <c r="R86" s="9"/>
      <c r="S86" s="9"/>
      <c r="T86" s="9"/>
      <c r="U86" s="9"/>
      <c r="V86" s="9"/>
      <c r="W86" s="9"/>
      <c r="X86" s="9"/>
      <c r="Y86" s="80"/>
    </row>
    <row r="87" spans="1:25" ht="16.5" x14ac:dyDescent="0.3">
      <c r="A87" s="96" t="s">
        <v>51</v>
      </c>
      <c r="B87" s="106"/>
      <c r="C87" s="6"/>
      <c r="D87" s="6"/>
      <c r="E87" s="6"/>
      <c r="F87" s="6"/>
      <c r="G87" s="6"/>
      <c r="H87" s="6"/>
      <c r="I87" s="6"/>
      <c r="J87" s="6"/>
      <c r="M87" s="22" t="s">
        <v>387</v>
      </c>
      <c r="N87" s="233">
        <v>0.68</v>
      </c>
      <c r="O87" s="9"/>
      <c r="P87" s="9"/>
      <c r="Q87" s="9"/>
      <c r="R87" s="9"/>
      <c r="S87" s="9"/>
      <c r="T87" s="9"/>
      <c r="U87" s="9"/>
      <c r="V87" s="9"/>
      <c r="W87" s="9"/>
      <c r="X87" s="9"/>
      <c r="Y87" s="80"/>
    </row>
    <row r="88" spans="1:25" ht="16.5" x14ac:dyDescent="0.3">
      <c r="A88" s="20"/>
      <c r="B88" s="106"/>
      <c r="C88" s="6"/>
      <c r="D88" s="6"/>
      <c r="E88" s="6"/>
      <c r="F88" s="6"/>
      <c r="G88" s="6"/>
      <c r="H88" s="6"/>
      <c r="I88" s="6"/>
      <c r="J88" s="6"/>
      <c r="M88" s="22" t="s">
        <v>388</v>
      </c>
      <c r="N88" s="233">
        <v>0.62</v>
      </c>
      <c r="O88" s="9"/>
      <c r="P88" s="9"/>
      <c r="Q88" s="9"/>
      <c r="R88" s="9"/>
      <c r="S88" s="9"/>
      <c r="T88" s="9"/>
      <c r="U88" s="9"/>
      <c r="V88" s="9"/>
      <c r="W88" s="9"/>
      <c r="X88" s="9"/>
      <c r="Y88" s="80"/>
    </row>
    <row r="89" spans="1:25" ht="16.5" x14ac:dyDescent="0.3">
      <c r="A89" s="6" t="s">
        <v>585</v>
      </c>
      <c r="B89" s="106"/>
      <c r="C89" s="6"/>
      <c r="D89" s="6"/>
      <c r="E89" s="6"/>
      <c r="F89" s="6"/>
      <c r="G89" s="6"/>
      <c r="H89" s="6"/>
      <c r="I89" s="6"/>
      <c r="J89" s="6"/>
      <c r="M89" s="22" t="s">
        <v>389</v>
      </c>
      <c r="N89" s="233">
        <v>0.15</v>
      </c>
      <c r="O89" s="9"/>
      <c r="P89" s="9"/>
      <c r="Q89" s="9"/>
      <c r="R89" s="9"/>
      <c r="S89" s="9"/>
      <c r="T89" s="9"/>
      <c r="U89" s="9"/>
      <c r="V89" s="9"/>
      <c r="W89" s="9"/>
      <c r="X89" s="9"/>
      <c r="Y89" s="80"/>
    </row>
    <row r="90" spans="1:25" ht="15" x14ac:dyDescent="0.25">
      <c r="A90" s="66" t="s">
        <v>45</v>
      </c>
      <c r="B90" s="106">
        <f>B80/B81</f>
        <v>1.6428571428571428</v>
      </c>
      <c r="C90" s="6"/>
      <c r="D90" s="6"/>
      <c r="E90" s="6"/>
      <c r="F90" s="6"/>
      <c r="G90" s="6"/>
      <c r="H90" s="6"/>
      <c r="I90" s="6"/>
      <c r="J90" s="6"/>
      <c r="M90" s="22"/>
      <c r="N90" s="107"/>
      <c r="O90" s="9"/>
      <c r="P90" s="9"/>
      <c r="Q90" s="9"/>
      <c r="R90" s="9"/>
      <c r="S90" s="9"/>
      <c r="T90" s="9"/>
      <c r="U90" s="9"/>
      <c r="V90" s="9"/>
      <c r="W90" s="9"/>
      <c r="X90" s="9"/>
      <c r="Y90" s="80"/>
    </row>
    <row r="91" spans="1:25" ht="15" x14ac:dyDescent="0.25">
      <c r="A91" s="6"/>
      <c r="B91" s="6"/>
      <c r="C91" s="6"/>
      <c r="D91" s="6"/>
      <c r="E91" s="6"/>
      <c r="F91" s="6"/>
      <c r="G91" s="6"/>
      <c r="H91" s="6"/>
      <c r="I91" s="6"/>
      <c r="J91" s="6"/>
      <c r="M91" s="31" t="s">
        <v>51</v>
      </c>
      <c r="N91" s="107"/>
      <c r="O91" s="9"/>
      <c r="P91" s="9"/>
      <c r="Q91" s="9"/>
      <c r="R91" s="9"/>
      <c r="S91" s="9"/>
      <c r="T91" s="9"/>
      <c r="U91" s="9"/>
      <c r="V91" s="9"/>
      <c r="W91" s="9"/>
      <c r="X91" s="9"/>
      <c r="Y91" s="80"/>
    </row>
    <row r="92" spans="1:25" ht="15" x14ac:dyDescent="0.25">
      <c r="A92" s="6" t="s">
        <v>52</v>
      </c>
      <c r="B92" s="6"/>
      <c r="C92" s="6"/>
      <c r="D92" s="6"/>
      <c r="E92" s="6"/>
      <c r="F92" s="6"/>
      <c r="G92" s="6"/>
      <c r="H92" s="6"/>
      <c r="I92" s="6"/>
      <c r="J92" s="6"/>
      <c r="M92" s="22"/>
      <c r="N92" s="107"/>
      <c r="O92" s="9"/>
      <c r="P92" s="9"/>
      <c r="Q92" s="9"/>
      <c r="R92" s="9"/>
      <c r="S92" s="9"/>
      <c r="T92" s="9"/>
      <c r="U92" s="9"/>
      <c r="V92" s="9"/>
      <c r="W92" s="9"/>
      <c r="X92" s="9"/>
      <c r="Y92" s="80"/>
    </row>
    <row r="93" spans="1:25" ht="16.5" x14ac:dyDescent="0.3">
      <c r="A93" s="6"/>
      <c r="B93" s="6"/>
      <c r="C93" s="6"/>
      <c r="D93" s="6"/>
      <c r="E93" s="6"/>
      <c r="F93" s="6"/>
      <c r="G93" s="6"/>
      <c r="H93" s="6"/>
      <c r="I93" s="6"/>
      <c r="J93" s="6"/>
      <c r="M93" s="9" t="s">
        <v>586</v>
      </c>
      <c r="N93" s="107"/>
      <c r="O93" s="9">
        <f>N84</f>
        <v>2.2999999999999998</v>
      </c>
      <c r="P93" s="108" t="s">
        <v>575</v>
      </c>
      <c r="Q93" s="31">
        <f>N85</f>
        <v>1.4</v>
      </c>
      <c r="R93" s="9"/>
      <c r="S93" s="9"/>
      <c r="T93" s="9"/>
      <c r="U93" s="9"/>
      <c r="V93" s="9"/>
      <c r="W93" s="9"/>
      <c r="X93" s="9"/>
      <c r="Y93" s="80"/>
    </row>
    <row r="94" spans="1:25" ht="16.5" x14ac:dyDescent="0.3">
      <c r="A94" s="6" t="s">
        <v>393</v>
      </c>
      <c r="B94" s="106">
        <f>AVERAGE(B90,B73)</f>
        <v>1.8547619047619048</v>
      </c>
      <c r="C94" s="6"/>
      <c r="D94" s="6"/>
      <c r="E94" s="6"/>
      <c r="F94" s="6"/>
      <c r="G94" s="6"/>
      <c r="H94" s="6"/>
      <c r="I94" s="6"/>
      <c r="J94" s="6"/>
      <c r="M94" s="83" t="s">
        <v>45</v>
      </c>
      <c r="N94" s="107">
        <f>N84/N85</f>
        <v>1.6428571428571428</v>
      </c>
      <c r="O94" s="9"/>
      <c r="P94" s="9"/>
      <c r="Q94" s="9"/>
      <c r="R94" s="9"/>
      <c r="S94" s="9"/>
      <c r="T94" s="9"/>
      <c r="U94" s="9"/>
      <c r="V94" s="9"/>
      <c r="W94" s="9"/>
      <c r="X94" s="9"/>
      <c r="Y94" s="80"/>
    </row>
    <row r="95" spans="1:25" ht="15" x14ac:dyDescent="0.25">
      <c r="A95" s="6"/>
      <c r="B95" s="6"/>
      <c r="C95" s="6"/>
      <c r="D95" s="6"/>
      <c r="E95" s="6"/>
      <c r="F95" s="6"/>
      <c r="G95" s="6"/>
      <c r="H95" s="6"/>
      <c r="I95" s="6"/>
      <c r="J95" s="6"/>
      <c r="M95" s="9"/>
      <c r="N95" s="9"/>
      <c r="O95" s="9"/>
      <c r="P95" s="9"/>
      <c r="Q95" s="9"/>
      <c r="R95" s="9"/>
      <c r="S95" s="9"/>
      <c r="T95" s="9"/>
      <c r="U95" s="9"/>
      <c r="V95" s="9"/>
      <c r="W95" s="9"/>
      <c r="X95" s="9"/>
      <c r="Y95" s="80"/>
    </row>
    <row r="96" spans="1:25" ht="16.5" x14ac:dyDescent="0.3">
      <c r="A96" s="6" t="s">
        <v>394</v>
      </c>
      <c r="B96" s="6"/>
      <c r="C96" s="6"/>
      <c r="D96" s="6"/>
      <c r="E96" s="6"/>
      <c r="F96" s="6"/>
      <c r="G96" s="6"/>
      <c r="H96" s="6"/>
      <c r="I96" s="6"/>
      <c r="J96" s="6"/>
      <c r="M96" s="9" t="s">
        <v>52</v>
      </c>
      <c r="N96" s="9"/>
      <c r="O96" s="9"/>
      <c r="P96" s="9"/>
      <c r="Q96" s="9"/>
      <c r="R96" s="9"/>
      <c r="S96" s="9"/>
      <c r="T96" s="9"/>
      <c r="U96" s="9"/>
      <c r="V96" s="9"/>
      <c r="W96" s="9"/>
      <c r="X96" s="9"/>
      <c r="Y96" s="80"/>
    </row>
    <row r="97" spans="1:25" ht="15" x14ac:dyDescent="0.25">
      <c r="A97" s="6"/>
      <c r="B97" s="6"/>
      <c r="C97" s="6"/>
      <c r="D97" s="6"/>
      <c r="E97" s="6"/>
      <c r="F97" s="6"/>
      <c r="G97" s="6"/>
      <c r="H97" s="6"/>
      <c r="I97" s="6"/>
      <c r="J97" s="6"/>
      <c r="M97" s="9"/>
      <c r="N97" s="9"/>
      <c r="O97" s="9"/>
      <c r="P97" s="9"/>
      <c r="Q97" s="9"/>
      <c r="R97" s="9"/>
      <c r="S97" s="9"/>
      <c r="T97" s="9"/>
      <c r="U97" s="9"/>
      <c r="V97" s="9"/>
      <c r="W97" s="9"/>
      <c r="X97" s="9"/>
      <c r="Y97" s="80"/>
    </row>
    <row r="98" spans="1:25" ht="16.5" x14ac:dyDescent="0.3">
      <c r="A98" s="6" t="s">
        <v>536</v>
      </c>
      <c r="B98" s="6"/>
      <c r="C98" s="6"/>
      <c r="D98" s="6"/>
      <c r="E98" s="6"/>
      <c r="F98" s="6"/>
      <c r="G98" s="6"/>
      <c r="H98" s="6"/>
      <c r="I98" s="6"/>
      <c r="J98" s="6"/>
      <c r="M98" s="9" t="s">
        <v>393</v>
      </c>
      <c r="N98" s="107">
        <f>AVERAGE(N94,N77)</f>
        <v>1.8547619047619048</v>
      </c>
      <c r="O98" s="9"/>
      <c r="P98" s="9"/>
      <c r="Q98" s="9"/>
      <c r="R98" s="9"/>
      <c r="S98" s="9"/>
      <c r="T98" s="9"/>
      <c r="U98" s="9"/>
      <c r="V98" s="9"/>
      <c r="W98" s="9"/>
      <c r="X98" s="9"/>
      <c r="Y98" s="80"/>
    </row>
    <row r="99" spans="1:25" ht="15" x14ac:dyDescent="0.25">
      <c r="A99" s="6"/>
      <c r="B99" s="6"/>
      <c r="C99" s="6"/>
      <c r="D99" s="6"/>
      <c r="E99" s="6"/>
      <c r="F99" s="6"/>
      <c r="G99" s="6"/>
      <c r="H99" s="6"/>
      <c r="I99" s="6"/>
      <c r="J99" s="6"/>
      <c r="M99" s="9"/>
      <c r="N99" s="9"/>
      <c r="O99" s="9"/>
      <c r="P99" s="9"/>
      <c r="Q99" s="9"/>
      <c r="R99" s="9"/>
      <c r="S99" s="9"/>
      <c r="T99" s="9"/>
      <c r="U99" s="9"/>
      <c r="V99" s="9"/>
      <c r="W99" s="9"/>
      <c r="X99" s="9"/>
      <c r="Y99" s="80"/>
    </row>
    <row r="100" spans="1:25" ht="16.5" x14ac:dyDescent="0.3">
      <c r="A100" s="6" t="s">
        <v>395</v>
      </c>
      <c r="B100" s="24">
        <f>(D51/F51)*(F52/D52)</f>
        <v>926.28375900407514</v>
      </c>
      <c r="C100" s="6"/>
      <c r="D100" s="6"/>
      <c r="E100" s="6"/>
      <c r="F100" s="6"/>
      <c r="G100" s="6"/>
      <c r="H100" s="6"/>
      <c r="I100" s="6"/>
      <c r="J100" s="6"/>
      <c r="M100" s="9" t="s">
        <v>394</v>
      </c>
      <c r="N100" s="9"/>
      <c r="O100" s="9"/>
      <c r="P100" s="9"/>
      <c r="Q100" s="9"/>
      <c r="R100" s="9"/>
      <c r="S100" s="9"/>
      <c r="T100" s="9"/>
      <c r="U100" s="9"/>
      <c r="V100" s="9"/>
      <c r="W100" s="9"/>
      <c r="X100" s="9"/>
      <c r="Y100" s="80"/>
    </row>
    <row r="101" spans="1:25" ht="15" x14ac:dyDescent="0.25">
      <c r="A101" s="6"/>
      <c r="B101" s="6"/>
      <c r="C101" s="6"/>
      <c r="D101" s="6"/>
      <c r="E101" s="6"/>
      <c r="F101" s="6"/>
      <c r="G101" s="6"/>
      <c r="H101" s="6"/>
      <c r="I101" s="6"/>
      <c r="J101" s="6"/>
      <c r="M101" s="9"/>
      <c r="N101" s="9"/>
      <c r="O101" s="9"/>
      <c r="P101" s="9"/>
      <c r="Q101" s="9"/>
      <c r="R101" s="9"/>
      <c r="S101" s="9"/>
      <c r="T101" s="9"/>
      <c r="U101" s="9"/>
      <c r="V101" s="9"/>
      <c r="W101" s="9"/>
      <c r="X101" s="9"/>
      <c r="Y101" s="80"/>
    </row>
    <row r="102" spans="1:25" ht="16.5" x14ac:dyDescent="0.3">
      <c r="A102" s="6" t="s">
        <v>53</v>
      </c>
      <c r="B102" s="6"/>
      <c r="C102" s="6"/>
      <c r="D102" s="6"/>
      <c r="E102" s="6"/>
      <c r="F102" s="6"/>
      <c r="G102" s="6"/>
      <c r="H102" s="6"/>
      <c r="I102" s="6"/>
      <c r="J102" s="6"/>
      <c r="M102" s="9" t="s">
        <v>536</v>
      </c>
      <c r="N102" s="9"/>
      <c r="O102" s="9"/>
      <c r="P102" s="9"/>
      <c r="Q102" s="9"/>
      <c r="R102" s="9"/>
      <c r="S102" s="9"/>
      <c r="T102" s="9"/>
      <c r="U102" s="9"/>
      <c r="V102" s="9"/>
      <c r="W102" s="9"/>
      <c r="X102" s="9"/>
      <c r="Y102" s="80"/>
    </row>
    <row r="103" spans="1:25" ht="15" x14ac:dyDescent="0.25">
      <c r="A103" s="6"/>
      <c r="B103" s="6"/>
      <c r="C103" s="6"/>
      <c r="D103" s="6"/>
      <c r="E103" s="6"/>
      <c r="F103" s="6"/>
      <c r="G103" s="6"/>
      <c r="H103" s="6"/>
      <c r="I103" s="6"/>
      <c r="J103" s="6"/>
      <c r="M103" s="9"/>
      <c r="N103" s="9"/>
      <c r="O103" s="9"/>
      <c r="P103" s="9"/>
      <c r="Q103" s="9"/>
      <c r="R103" s="9"/>
      <c r="S103" s="9"/>
      <c r="T103" s="9"/>
      <c r="U103" s="9"/>
      <c r="V103" s="9"/>
      <c r="W103" s="9"/>
      <c r="X103" s="9"/>
      <c r="Y103" s="80"/>
    </row>
    <row r="104" spans="1:25" ht="16.5" x14ac:dyDescent="0.3">
      <c r="A104" s="6" t="s">
        <v>589</v>
      </c>
      <c r="B104" s="6"/>
      <c r="C104" s="6"/>
      <c r="D104" s="6"/>
      <c r="E104" s="6"/>
      <c r="F104" s="6"/>
      <c r="G104" s="6"/>
      <c r="H104" s="6"/>
      <c r="I104" s="6"/>
      <c r="J104" s="6"/>
      <c r="M104" s="109" t="s">
        <v>588</v>
      </c>
      <c r="N104" s="110">
        <f>P51</f>
        <v>94.882883161698132</v>
      </c>
      <c r="O104" s="22" t="s">
        <v>573</v>
      </c>
      <c r="P104" s="110">
        <f>R52</f>
        <v>19.314721248905016</v>
      </c>
      <c r="Q104" s="9"/>
      <c r="R104" s="9"/>
      <c r="S104" s="9"/>
      <c r="T104" s="9"/>
      <c r="U104" s="9"/>
      <c r="V104" s="9"/>
      <c r="W104" s="9"/>
      <c r="X104" s="9"/>
      <c r="Y104" s="80"/>
    </row>
    <row r="105" spans="1:25" ht="15" x14ac:dyDescent="0.25">
      <c r="A105" s="6"/>
      <c r="B105" s="6"/>
      <c r="C105" s="6"/>
      <c r="D105" s="6"/>
      <c r="E105" s="6"/>
      <c r="F105" s="6"/>
      <c r="G105" s="6"/>
      <c r="H105" s="6"/>
      <c r="I105" s="6"/>
      <c r="J105" s="6"/>
      <c r="M105" s="9"/>
      <c r="N105" s="37">
        <f>R51</f>
        <v>1.957452133650361</v>
      </c>
      <c r="O105" s="9"/>
      <c r="P105" s="37">
        <f>P52</f>
        <v>1</v>
      </c>
      <c r="Q105" s="9"/>
      <c r="R105" s="9"/>
      <c r="S105" s="9"/>
      <c r="T105" s="9"/>
      <c r="U105" s="9"/>
      <c r="V105" s="9"/>
      <c r="W105" s="9"/>
      <c r="X105" s="9"/>
      <c r="Y105" s="80"/>
    </row>
    <row r="106" spans="1:25" ht="16.5" x14ac:dyDescent="0.3">
      <c r="A106" s="6" t="s">
        <v>590</v>
      </c>
      <c r="B106" s="111">
        <f>LOG(B100)/LOG(B94)</f>
        <v>11.058050302974252</v>
      </c>
      <c r="C106" s="6" t="s">
        <v>55</v>
      </c>
      <c r="D106" s="6"/>
      <c r="E106" s="6"/>
      <c r="F106" s="6"/>
      <c r="G106" s="6"/>
      <c r="H106" s="6"/>
      <c r="I106" s="6"/>
      <c r="J106" s="6"/>
      <c r="M106" s="9"/>
      <c r="N106" s="9"/>
      <c r="O106" s="9"/>
      <c r="P106" s="9"/>
      <c r="Q106" s="9"/>
      <c r="R106" s="9"/>
      <c r="S106" s="9"/>
      <c r="T106" s="9"/>
      <c r="U106" s="9"/>
      <c r="V106" s="9"/>
      <c r="W106" s="9"/>
      <c r="X106" s="9"/>
      <c r="Y106" s="80"/>
    </row>
    <row r="107" spans="1:25" ht="16.5" x14ac:dyDescent="0.3">
      <c r="A107" s="6"/>
      <c r="B107" s="6"/>
      <c r="C107" s="6"/>
      <c r="D107" s="6"/>
      <c r="E107" s="6"/>
      <c r="F107" s="6"/>
      <c r="G107" s="6"/>
      <c r="H107" s="6"/>
      <c r="I107" s="6"/>
      <c r="J107" s="6"/>
      <c r="M107" s="9" t="s">
        <v>395</v>
      </c>
      <c r="N107" s="30">
        <v>915.8</v>
      </c>
      <c r="O107" s="9"/>
      <c r="P107" s="9"/>
      <c r="Q107" s="9"/>
      <c r="R107" s="9"/>
      <c r="S107" s="9"/>
      <c r="T107" s="9"/>
      <c r="U107" s="9"/>
      <c r="V107" s="9"/>
      <c r="W107" s="9"/>
      <c r="X107" s="9"/>
      <c r="Y107" s="80"/>
    </row>
    <row r="108" spans="1:25" ht="15" x14ac:dyDescent="0.25">
      <c r="A108" s="6" t="s">
        <v>56</v>
      </c>
      <c r="B108" s="6"/>
      <c r="C108" s="6"/>
      <c r="D108" s="6"/>
      <c r="E108" s="6"/>
      <c r="F108" s="6"/>
      <c r="G108" s="6"/>
      <c r="H108" s="6"/>
      <c r="I108" s="6"/>
      <c r="J108" s="6"/>
      <c r="M108" s="9"/>
      <c r="N108" s="9"/>
      <c r="O108" s="9"/>
      <c r="P108" s="9"/>
      <c r="Q108" s="9"/>
      <c r="R108" s="9"/>
      <c r="S108" s="9"/>
      <c r="T108" s="9"/>
      <c r="U108" s="9"/>
      <c r="V108" s="9"/>
      <c r="W108" s="9"/>
      <c r="X108" s="9"/>
      <c r="Y108" s="80"/>
    </row>
    <row r="109" spans="1:25" ht="15" x14ac:dyDescent="0.25">
      <c r="A109" s="6"/>
      <c r="B109" s="6"/>
      <c r="C109" s="6"/>
      <c r="D109" s="6"/>
      <c r="E109" s="6"/>
      <c r="F109" s="6"/>
      <c r="G109" s="6"/>
      <c r="H109" s="6"/>
      <c r="I109" s="6"/>
      <c r="J109" s="6"/>
      <c r="M109" s="9" t="s">
        <v>53</v>
      </c>
      <c r="N109" s="9"/>
      <c r="O109" s="9"/>
      <c r="P109" s="9"/>
      <c r="Q109" s="9"/>
      <c r="R109" s="9"/>
      <c r="S109" s="9"/>
      <c r="T109" s="9"/>
      <c r="U109" s="9"/>
      <c r="V109" s="9"/>
      <c r="W109" s="9"/>
      <c r="X109" s="9"/>
      <c r="Y109" s="80"/>
    </row>
    <row r="110" spans="1:25" ht="18.75" x14ac:dyDescent="0.3">
      <c r="A110" s="6" t="s">
        <v>459</v>
      </c>
      <c r="B110" s="6"/>
      <c r="C110" s="6" t="s">
        <v>60</v>
      </c>
      <c r="D110" s="6"/>
      <c r="E110" s="6"/>
      <c r="F110" s="6"/>
      <c r="G110" s="6"/>
      <c r="H110" s="6"/>
      <c r="I110" s="6"/>
      <c r="J110" s="6"/>
      <c r="M110" s="9"/>
      <c r="N110" s="9"/>
      <c r="O110" s="9"/>
      <c r="P110" s="9"/>
      <c r="Q110" s="9"/>
      <c r="R110" s="9"/>
      <c r="S110" s="9"/>
      <c r="T110" s="9"/>
      <c r="U110" s="9"/>
      <c r="V110" s="9"/>
      <c r="W110" s="9"/>
      <c r="X110" s="9"/>
      <c r="Y110" s="80"/>
    </row>
    <row r="111" spans="1:25" ht="16.5" x14ac:dyDescent="0.3">
      <c r="A111" s="6"/>
      <c r="B111" s="6"/>
      <c r="C111" s="6"/>
      <c r="D111" s="6"/>
      <c r="E111" s="6"/>
      <c r="F111" s="6"/>
      <c r="G111" s="6"/>
      <c r="H111" s="6"/>
      <c r="I111" s="6"/>
      <c r="J111" s="6"/>
      <c r="M111" s="9" t="s">
        <v>671</v>
      </c>
      <c r="N111" s="9"/>
      <c r="O111" s="9"/>
      <c r="P111" s="37">
        <f>N107</f>
        <v>915.8</v>
      </c>
      <c r="Q111" s="108" t="s">
        <v>672</v>
      </c>
      <c r="R111" s="112">
        <f>N98</f>
        <v>1.8547619047619048</v>
      </c>
      <c r="S111" s="9"/>
      <c r="T111" s="9"/>
      <c r="U111" s="9"/>
      <c r="V111" s="9"/>
      <c r="W111" s="9"/>
      <c r="X111" s="9"/>
      <c r="Y111" s="80"/>
    </row>
    <row r="112" spans="1:25" ht="18.75" x14ac:dyDescent="0.3">
      <c r="A112" s="6" t="s">
        <v>460</v>
      </c>
      <c r="B112" s="6"/>
      <c r="C112" s="6" t="s">
        <v>61</v>
      </c>
      <c r="D112" s="6"/>
      <c r="E112" s="6"/>
      <c r="F112" s="6"/>
      <c r="G112" s="6"/>
      <c r="H112" s="6"/>
      <c r="I112" s="6"/>
      <c r="J112" s="6"/>
      <c r="M112" s="9"/>
      <c r="N112" s="9"/>
      <c r="O112" s="9"/>
      <c r="P112" s="9"/>
      <c r="Q112" s="9"/>
      <c r="R112" s="9"/>
      <c r="S112" s="9"/>
      <c r="T112" s="9"/>
      <c r="U112" s="9"/>
      <c r="V112" s="9"/>
      <c r="W112" s="9"/>
      <c r="X112" s="9"/>
      <c r="Y112" s="80"/>
    </row>
    <row r="113" spans="1:25" ht="16.5" x14ac:dyDescent="0.3">
      <c r="A113" s="6"/>
      <c r="B113" s="6"/>
      <c r="C113" s="6"/>
      <c r="D113" s="6"/>
      <c r="E113" s="6"/>
      <c r="F113" s="6"/>
      <c r="G113" s="6"/>
      <c r="H113" s="6"/>
      <c r="I113" s="6"/>
      <c r="J113" s="6"/>
      <c r="M113" s="9" t="s">
        <v>590</v>
      </c>
      <c r="N113" s="84">
        <f>LOG(N107)/LOG(N98)</f>
        <v>11.03962455474039</v>
      </c>
      <c r="O113" s="9" t="s">
        <v>55</v>
      </c>
      <c r="P113" s="9"/>
      <c r="Q113" s="9"/>
      <c r="R113" s="9"/>
      <c r="S113" s="9"/>
      <c r="T113" s="9"/>
      <c r="U113" s="9"/>
      <c r="V113" s="9"/>
      <c r="W113" s="9"/>
      <c r="X113" s="9"/>
      <c r="Y113" s="80"/>
    </row>
    <row r="114" spans="1:25" ht="15" x14ac:dyDescent="0.25">
      <c r="A114" s="6" t="s">
        <v>59</v>
      </c>
      <c r="B114" s="6"/>
      <c r="C114" s="6"/>
      <c r="D114" s="6"/>
      <c r="E114" s="6"/>
      <c r="F114" s="6"/>
      <c r="G114" s="6"/>
      <c r="H114" s="6"/>
      <c r="I114" s="6"/>
      <c r="J114" s="6"/>
      <c r="M114" s="9"/>
      <c r="N114" s="9"/>
      <c r="O114" s="9"/>
      <c r="P114" s="9"/>
      <c r="Q114" s="9"/>
      <c r="R114" s="9"/>
      <c r="S114" s="9"/>
      <c r="T114" s="9"/>
      <c r="U114" s="9"/>
      <c r="V114" s="9"/>
      <c r="W114" s="9"/>
      <c r="X114" s="9"/>
      <c r="Y114" s="80"/>
    </row>
    <row r="115" spans="1:25" ht="15" x14ac:dyDescent="0.25">
      <c r="A115" s="6"/>
      <c r="B115" s="6"/>
      <c r="C115" s="6"/>
      <c r="D115" s="6"/>
      <c r="E115" s="6"/>
      <c r="F115" s="6"/>
      <c r="G115" s="6"/>
      <c r="H115" s="6"/>
      <c r="I115" s="6"/>
      <c r="J115" s="6"/>
      <c r="M115" s="9" t="s">
        <v>56</v>
      </c>
      <c r="N115" s="9"/>
      <c r="O115" s="9"/>
      <c r="P115" s="9"/>
      <c r="Q115" s="9"/>
      <c r="R115" s="9"/>
      <c r="S115" s="9"/>
      <c r="T115" s="9"/>
      <c r="U115" s="9"/>
      <c r="V115" s="9"/>
      <c r="W115" s="9"/>
      <c r="X115" s="9"/>
      <c r="Y115" s="80"/>
    </row>
    <row r="116" spans="1:25" ht="15" x14ac:dyDescent="0.25">
      <c r="A116" s="6" t="s">
        <v>57</v>
      </c>
      <c r="B116" s="6">
        <v>0.79800000000000004</v>
      </c>
      <c r="C116" s="6"/>
      <c r="D116" s="6"/>
      <c r="E116" s="6"/>
      <c r="F116" s="6"/>
      <c r="G116" s="6"/>
      <c r="H116" s="6"/>
      <c r="I116" s="6"/>
      <c r="J116" s="6"/>
      <c r="M116" s="9"/>
      <c r="N116" s="9"/>
      <c r="O116" s="9"/>
      <c r="P116" s="9"/>
      <c r="Q116" s="9"/>
      <c r="R116" s="9"/>
      <c r="S116" s="9"/>
      <c r="T116" s="9"/>
      <c r="U116" s="9"/>
      <c r="V116" s="9"/>
      <c r="W116" s="9"/>
      <c r="X116" s="9"/>
      <c r="Y116" s="80"/>
    </row>
    <row r="117" spans="1:25" ht="18.75" x14ac:dyDescent="0.3">
      <c r="A117" s="6" t="s">
        <v>58</v>
      </c>
      <c r="B117" s="6">
        <v>1.7589999999999999</v>
      </c>
      <c r="C117" s="6"/>
      <c r="D117" s="6"/>
      <c r="E117" s="6"/>
      <c r="F117" s="6"/>
      <c r="G117" s="6"/>
      <c r="H117" s="6"/>
      <c r="I117" s="6"/>
      <c r="J117" s="6"/>
      <c r="M117" s="9" t="s">
        <v>591</v>
      </c>
      <c r="N117" s="84">
        <f>N67</f>
        <v>0.93</v>
      </c>
      <c r="O117" s="35" t="s">
        <v>592</v>
      </c>
      <c r="P117" s="9" t="s">
        <v>60</v>
      </c>
      <c r="Q117" s="9"/>
      <c r="R117" s="9"/>
      <c r="S117" s="9"/>
      <c r="T117" s="9"/>
      <c r="U117" s="9"/>
      <c r="V117" s="9"/>
      <c r="W117" s="9"/>
      <c r="X117" s="9"/>
      <c r="Y117" s="80"/>
    </row>
    <row r="118" spans="1:25" ht="15" x14ac:dyDescent="0.25">
      <c r="A118" s="6"/>
      <c r="B118" s="6"/>
      <c r="C118" s="6"/>
      <c r="D118" s="6"/>
      <c r="E118" s="6"/>
      <c r="F118" s="6"/>
      <c r="G118" s="6"/>
      <c r="H118" s="6"/>
      <c r="I118" s="6"/>
      <c r="J118" s="6"/>
      <c r="M118" s="9"/>
      <c r="N118" s="9"/>
      <c r="O118" s="9"/>
      <c r="P118" s="9"/>
      <c r="Q118" s="9"/>
      <c r="R118" s="9"/>
      <c r="S118" s="9"/>
      <c r="T118" s="9"/>
      <c r="U118" s="9"/>
      <c r="V118" s="9"/>
      <c r="W118" s="9"/>
      <c r="X118" s="9"/>
      <c r="Y118" s="80"/>
    </row>
    <row r="119" spans="1:25" ht="18.75" x14ac:dyDescent="0.3">
      <c r="A119" s="6" t="s">
        <v>62</v>
      </c>
      <c r="B119" s="6"/>
      <c r="C119" s="6"/>
      <c r="D119" s="6"/>
      <c r="E119" s="6"/>
      <c r="F119" s="6"/>
      <c r="G119" s="6"/>
      <c r="H119" s="6"/>
      <c r="I119" s="6"/>
      <c r="J119" s="6"/>
      <c r="M119" s="9" t="s">
        <v>591</v>
      </c>
      <c r="N119" s="9">
        <f>N84</f>
        <v>2.2999999999999998</v>
      </c>
      <c r="O119" s="35" t="s">
        <v>593</v>
      </c>
      <c r="P119" s="9" t="s">
        <v>61</v>
      </c>
      <c r="Q119" s="9"/>
      <c r="R119" s="9"/>
      <c r="S119" s="9"/>
      <c r="T119" s="9"/>
      <c r="U119" s="9"/>
      <c r="V119" s="9"/>
      <c r="W119" s="9"/>
      <c r="X119" s="9"/>
      <c r="Y119" s="80"/>
    </row>
    <row r="120" spans="1:25" ht="15" x14ac:dyDescent="0.25">
      <c r="A120" s="6"/>
      <c r="B120" s="6"/>
      <c r="C120" s="6"/>
      <c r="D120" s="6"/>
      <c r="E120" s="6"/>
      <c r="F120" s="6"/>
      <c r="G120" s="6"/>
      <c r="H120" s="6"/>
      <c r="I120" s="6"/>
      <c r="J120" s="6"/>
      <c r="M120" s="9"/>
      <c r="N120" s="9"/>
      <c r="O120" s="9"/>
      <c r="P120" s="9"/>
      <c r="Q120" s="9"/>
      <c r="R120" s="9"/>
      <c r="S120" s="9"/>
      <c r="T120" s="9"/>
      <c r="U120" s="9"/>
      <c r="V120" s="9"/>
      <c r="W120" s="9"/>
      <c r="X120" s="9"/>
      <c r="Y120" s="80"/>
    </row>
    <row r="121" spans="1:25" ht="15" x14ac:dyDescent="0.25">
      <c r="A121" s="6" t="s">
        <v>54</v>
      </c>
      <c r="B121" s="111">
        <f>LOG((E51/G51)*(G52/E52)^B116*(G57/E57)^(1-B116))/LOG(B117)</f>
        <v>11.040730720213306</v>
      </c>
      <c r="C121" s="6" t="s">
        <v>63</v>
      </c>
      <c r="D121" s="6"/>
      <c r="E121" s="6"/>
      <c r="F121" s="6"/>
      <c r="G121" s="6"/>
      <c r="H121" s="6"/>
      <c r="I121" s="6"/>
      <c r="J121" s="6"/>
      <c r="M121" s="9" t="s">
        <v>59</v>
      </c>
      <c r="N121" s="9"/>
      <c r="O121" s="9"/>
      <c r="P121" s="9"/>
      <c r="Q121" s="9"/>
      <c r="R121" s="9"/>
      <c r="S121" s="9"/>
      <c r="T121" s="9"/>
      <c r="U121" s="9"/>
      <c r="V121" s="9"/>
      <c r="W121" s="9"/>
      <c r="X121" s="9"/>
      <c r="Y121" s="80"/>
    </row>
    <row r="122" spans="1:25" ht="15" x14ac:dyDescent="0.25">
      <c r="A122" s="6"/>
      <c r="B122" s="6"/>
      <c r="C122" s="6"/>
      <c r="D122" s="6"/>
      <c r="E122" s="6"/>
      <c r="F122" s="6"/>
      <c r="G122" s="6"/>
      <c r="H122" s="6"/>
      <c r="I122" s="6"/>
      <c r="J122" s="6"/>
      <c r="M122" s="9"/>
      <c r="N122" s="9"/>
      <c r="O122" s="9"/>
      <c r="P122" s="9"/>
      <c r="Q122" s="9"/>
      <c r="R122" s="9"/>
      <c r="S122" s="9"/>
      <c r="T122" s="9"/>
      <c r="U122" s="9"/>
      <c r="V122" s="9"/>
      <c r="W122" s="9"/>
      <c r="X122" s="9"/>
      <c r="Y122" s="80"/>
    </row>
    <row r="123" spans="1:25" ht="15" x14ac:dyDescent="0.25">
      <c r="A123" s="6" t="s">
        <v>64</v>
      </c>
      <c r="B123" s="6"/>
      <c r="C123" s="6"/>
      <c r="D123" s="6"/>
      <c r="E123" s="6"/>
      <c r="F123" s="6"/>
      <c r="G123" s="6"/>
      <c r="H123" s="6"/>
      <c r="I123" s="6"/>
      <c r="J123" s="6"/>
      <c r="M123" s="9" t="s">
        <v>57</v>
      </c>
      <c r="N123" s="107">
        <f>LN(N67/N84)/LN(0.45/1.4)</f>
        <v>0.79779367861158168</v>
      </c>
      <c r="O123" s="9"/>
      <c r="P123" s="9"/>
      <c r="Q123" s="9"/>
      <c r="R123" s="9"/>
      <c r="S123" s="9"/>
      <c r="T123" s="9"/>
      <c r="U123" s="9"/>
      <c r="V123" s="9"/>
      <c r="W123" s="9"/>
      <c r="X123" s="9"/>
      <c r="Y123" s="80"/>
    </row>
    <row r="124" spans="1:25" ht="15" x14ac:dyDescent="0.25">
      <c r="A124" s="6"/>
      <c r="B124" s="6"/>
      <c r="C124" s="6"/>
      <c r="D124" s="6"/>
      <c r="E124" s="6"/>
      <c r="F124" s="6"/>
      <c r="G124" s="6"/>
      <c r="H124" s="6"/>
      <c r="I124" s="6"/>
      <c r="J124" s="6"/>
      <c r="M124" s="9" t="s">
        <v>58</v>
      </c>
      <c r="N124" s="107">
        <f>N67/0.45^N123</f>
        <v>1.7585220281614307</v>
      </c>
      <c r="O124" s="9"/>
      <c r="P124" s="9"/>
      <c r="Q124" s="9"/>
      <c r="R124" s="9"/>
      <c r="S124" s="9"/>
      <c r="T124" s="9"/>
      <c r="U124" s="9"/>
      <c r="V124" s="9"/>
      <c r="W124" s="9"/>
      <c r="X124" s="9"/>
      <c r="Y124" s="80"/>
    </row>
    <row r="125" spans="1:25" ht="15" x14ac:dyDescent="0.25">
      <c r="A125" s="6" t="s">
        <v>65</v>
      </c>
      <c r="B125" s="6"/>
      <c r="C125" s="6"/>
      <c r="D125" s="6"/>
      <c r="E125" s="6"/>
      <c r="F125" s="6"/>
      <c r="G125" s="6"/>
      <c r="H125" s="6"/>
      <c r="I125" s="6"/>
      <c r="J125" s="6"/>
      <c r="M125" s="9"/>
      <c r="N125" s="9"/>
      <c r="O125" s="9"/>
      <c r="P125" s="9"/>
      <c r="Q125" s="9"/>
      <c r="R125" s="9"/>
      <c r="S125" s="9"/>
      <c r="T125" s="9"/>
      <c r="U125" s="9"/>
      <c r="V125" s="9"/>
      <c r="W125" s="9"/>
      <c r="X125" s="9"/>
      <c r="Y125" s="80"/>
    </row>
    <row r="126" spans="1:25" ht="15" x14ac:dyDescent="0.25">
      <c r="A126" s="6"/>
      <c r="B126" s="6"/>
      <c r="C126" s="6"/>
      <c r="D126" s="6"/>
      <c r="E126" s="6"/>
      <c r="F126" s="6"/>
      <c r="G126" s="6"/>
      <c r="H126" s="6"/>
      <c r="I126" s="6"/>
      <c r="J126" s="6"/>
      <c r="M126" s="9" t="s">
        <v>62</v>
      </c>
      <c r="N126" s="9"/>
      <c r="O126" s="9"/>
      <c r="P126" s="9"/>
      <c r="Q126" s="9"/>
      <c r="R126" s="9"/>
      <c r="S126" s="9"/>
      <c r="T126" s="9"/>
      <c r="U126" s="9"/>
      <c r="V126" s="9"/>
      <c r="W126" s="9"/>
      <c r="X126" s="9"/>
      <c r="Y126" s="80"/>
    </row>
    <row r="127" spans="1:25" ht="15" x14ac:dyDescent="0.25">
      <c r="A127" s="6" t="s">
        <v>383</v>
      </c>
      <c r="B127" s="6"/>
      <c r="C127" s="6"/>
      <c r="D127" s="6"/>
      <c r="E127" s="6"/>
      <c r="F127" s="6"/>
      <c r="G127" s="6"/>
      <c r="H127" s="6"/>
      <c r="I127" s="6"/>
      <c r="J127" s="6"/>
      <c r="M127" s="9"/>
      <c r="N127" s="9"/>
      <c r="O127" s="9"/>
      <c r="P127" s="9"/>
      <c r="Q127" s="9"/>
      <c r="R127" s="9"/>
      <c r="S127" s="9"/>
      <c r="T127" s="9"/>
      <c r="U127" s="9"/>
      <c r="V127" s="9"/>
      <c r="W127" s="9"/>
      <c r="X127" s="9"/>
      <c r="Y127" s="80"/>
    </row>
    <row r="128" spans="1:25" ht="16.5" x14ac:dyDescent="0.3">
      <c r="A128" s="6"/>
      <c r="B128" s="6"/>
      <c r="C128" s="6"/>
      <c r="D128" s="6"/>
      <c r="E128" s="6"/>
      <c r="F128" s="113" t="s">
        <v>384</v>
      </c>
      <c r="G128" s="114"/>
      <c r="H128" s="115"/>
      <c r="I128" s="116"/>
      <c r="J128" s="116"/>
      <c r="M128" s="9" t="s">
        <v>590</v>
      </c>
      <c r="N128" s="84">
        <f>LOG((Q51/S51)*(S52/Q52)^N123*(S57/Q57)^(1-N123))/LOG(N124)</f>
        <v>11.060145153882198</v>
      </c>
      <c r="O128" s="9" t="s">
        <v>594</v>
      </c>
      <c r="P128" s="9"/>
      <c r="Q128" s="9"/>
      <c r="R128" s="9"/>
      <c r="S128" s="9"/>
      <c r="T128" s="9"/>
      <c r="U128" s="9"/>
      <c r="V128" s="9"/>
      <c r="W128" s="9"/>
      <c r="X128" s="9"/>
      <c r="Y128" s="80"/>
    </row>
    <row r="129" spans="1:31" ht="45" x14ac:dyDescent="0.25">
      <c r="A129" s="117"/>
      <c r="B129" s="118" t="s">
        <v>396</v>
      </c>
      <c r="C129" s="119" t="s">
        <v>66</v>
      </c>
      <c r="D129" s="119" t="s">
        <v>67</v>
      </c>
      <c r="E129" s="119" t="s">
        <v>68</v>
      </c>
      <c r="F129" s="120" t="s">
        <v>385</v>
      </c>
      <c r="G129" s="119" t="s">
        <v>386</v>
      </c>
      <c r="H129" s="120" t="s">
        <v>542</v>
      </c>
      <c r="I129" s="121"/>
      <c r="J129" s="121"/>
      <c r="M129" s="9"/>
      <c r="N129" s="84">
        <f>N113</f>
        <v>11.03962455474039</v>
      </c>
      <c r="O129" s="9" t="s">
        <v>595</v>
      </c>
      <c r="P129" s="9"/>
      <c r="Q129" s="9"/>
      <c r="R129" s="9"/>
      <c r="S129" s="9"/>
      <c r="T129" s="9"/>
      <c r="U129" s="9"/>
      <c r="V129" s="9"/>
      <c r="W129" s="9"/>
      <c r="X129" s="9"/>
      <c r="Y129" s="80"/>
    </row>
    <row r="130" spans="1:31" ht="16.5" x14ac:dyDescent="0.3">
      <c r="A130" s="20" t="s">
        <v>373</v>
      </c>
      <c r="B130" s="6">
        <f>C9/100</f>
        <v>2.07E-2</v>
      </c>
      <c r="C130" s="97">
        <v>2.8</v>
      </c>
      <c r="D130" s="6">
        <v>3.36</v>
      </c>
      <c r="E130" s="111">
        <f>AVERAGE((C130/$C$136),(D130/$D$136))</f>
        <v>68.331197714752093</v>
      </c>
      <c r="F130" s="122">
        <f>E130*B130/(E130-16)</f>
        <v>2.7028920690967389E-2</v>
      </c>
      <c r="G130" s="123">
        <f>E130*B130/(E130-15)</f>
        <v>2.6522108133793357E-2</v>
      </c>
      <c r="H130" s="122">
        <f>E130*B130/(E130-15.8)</f>
        <v>2.6926014525234271E-2</v>
      </c>
      <c r="I130" s="123"/>
      <c r="J130" s="123"/>
      <c r="M130" s="233" t="s">
        <v>596</v>
      </c>
      <c r="N130" s="9"/>
      <c r="O130" s="9"/>
      <c r="P130" s="9"/>
      <c r="Q130" s="9"/>
      <c r="R130" s="9"/>
      <c r="S130" s="9"/>
      <c r="T130" s="9"/>
      <c r="U130" s="9"/>
      <c r="V130" s="9"/>
      <c r="W130" s="9"/>
      <c r="X130" s="9"/>
      <c r="Y130" s="80"/>
    </row>
    <row r="131" spans="1:31" ht="16.5" x14ac:dyDescent="0.3">
      <c r="A131" s="20" t="s">
        <v>374</v>
      </c>
      <c r="B131" s="6">
        <f t="shared" ref="B131:B136" si="11">C10/100</f>
        <v>0.48670000000000002</v>
      </c>
      <c r="C131" s="97">
        <v>0.93</v>
      </c>
      <c r="D131" s="6">
        <v>2.2999999999999998</v>
      </c>
      <c r="E131" s="111">
        <f t="shared" ref="E131:E136" si="12">AVERAGE((C131/$C$136),(D131/$D$136))</f>
        <v>26.642385907637902</v>
      </c>
      <c r="F131" s="122">
        <f t="shared" ref="F131:F136" si="13">E131*B131/(E131-16)</f>
        <v>1.2184156197475633</v>
      </c>
      <c r="G131" s="123">
        <f t="shared" ref="G131:G136" si="14">E131*B131/(E131-15)</f>
        <v>1.113762189650539</v>
      </c>
      <c r="H131" s="122">
        <f t="shared" ref="H131:H136" si="15">E131*B131/(E131-15.8)</f>
        <v>1.1959405735699642</v>
      </c>
      <c r="I131" s="123"/>
      <c r="J131" s="123"/>
      <c r="M131" s="9"/>
      <c r="N131" s="9"/>
      <c r="O131" s="9"/>
      <c r="P131" s="9"/>
      <c r="Q131" s="9"/>
      <c r="R131" s="9"/>
      <c r="S131" s="9"/>
      <c r="T131" s="9"/>
      <c r="U131" s="9"/>
      <c r="V131" s="9"/>
      <c r="W131" s="9"/>
      <c r="X131" s="9"/>
      <c r="Y131" s="80"/>
    </row>
    <row r="132" spans="1:31" ht="16.5" x14ac:dyDescent="0.3">
      <c r="A132" s="20" t="s">
        <v>375</v>
      </c>
      <c r="B132" s="6">
        <f t="shared" si="11"/>
        <v>0.1011</v>
      </c>
      <c r="C132" s="97">
        <v>0.45</v>
      </c>
      <c r="D132" s="6">
        <v>1.4</v>
      </c>
      <c r="E132" s="111">
        <f t="shared" si="12"/>
        <v>13.848466299394683</v>
      </c>
      <c r="F132" s="122">
        <f t="shared" si="13"/>
        <v>-0.65073577163811158</v>
      </c>
      <c r="G132" s="123">
        <f t="shared" si="14"/>
        <v>-1.2158393125036937</v>
      </c>
      <c r="H132" s="122">
        <f t="shared" si="15"/>
        <v>-0.71742544975499656</v>
      </c>
      <c r="I132" s="123"/>
      <c r="J132" s="123"/>
      <c r="M132" s="9" t="s">
        <v>65</v>
      </c>
      <c r="N132" s="9"/>
      <c r="O132" s="9"/>
      <c r="P132" s="9"/>
      <c r="Q132" s="9"/>
      <c r="R132" s="9"/>
      <c r="S132" s="9"/>
      <c r="T132" s="9"/>
      <c r="U132" s="9"/>
      <c r="V132" s="9"/>
      <c r="W132" s="9"/>
      <c r="X132" s="9"/>
      <c r="Y132" s="80"/>
    </row>
    <row r="133" spans="1:31" ht="16.5" x14ac:dyDescent="0.3">
      <c r="A133" s="20" t="s">
        <v>376</v>
      </c>
      <c r="B133" s="6">
        <f t="shared" si="11"/>
        <v>0.24079999999999999</v>
      </c>
      <c r="C133" s="97">
        <v>0.35116700000000001</v>
      </c>
      <c r="D133" s="6">
        <v>1.1499999999999999</v>
      </c>
      <c r="E133" s="111">
        <f t="shared" si="12"/>
        <v>10.998544514724887</v>
      </c>
      <c r="F133" s="122">
        <f t="shared" si="13"/>
        <v>-0.52953575752960458</v>
      </c>
      <c r="G133" s="123">
        <f t="shared" si="14"/>
        <v>-0.66187154371496493</v>
      </c>
      <c r="H133" s="122">
        <f t="shared" si="15"/>
        <v>-0.55159305907716905</v>
      </c>
      <c r="I133" s="123"/>
      <c r="J133" s="123"/>
      <c r="M133" s="9"/>
      <c r="N133" s="9"/>
      <c r="O133" s="9"/>
      <c r="P133" s="9"/>
      <c r="Q133" s="9"/>
      <c r="R133" s="9"/>
      <c r="S133" s="9"/>
      <c r="T133" s="9"/>
      <c r="U133" s="9"/>
      <c r="V133" s="9"/>
      <c r="W133" s="9"/>
      <c r="X133" s="9"/>
      <c r="Y133" s="80"/>
    </row>
    <row r="134" spans="1:31" ht="16.5" x14ac:dyDescent="0.3">
      <c r="A134" s="20" t="s">
        <v>387</v>
      </c>
      <c r="B134" s="6">
        <f t="shared" si="11"/>
        <v>5.4100000000000002E-2</v>
      </c>
      <c r="C134" s="97">
        <v>0.17460000000000001</v>
      </c>
      <c r="D134" s="6">
        <v>0.68</v>
      </c>
      <c r="E134" s="111">
        <f t="shared" si="12"/>
        <v>5.8292049241651371</v>
      </c>
      <c r="F134" s="122">
        <f t="shared" si="13"/>
        <v>-3.1006424182767028E-2</v>
      </c>
      <c r="G134" s="123">
        <f t="shared" si="14"/>
        <v>-3.438742047876641E-2</v>
      </c>
      <c r="H134" s="122">
        <f t="shared" si="15"/>
        <v>-3.1628369051695561E-2</v>
      </c>
      <c r="I134" s="123"/>
      <c r="J134" s="123"/>
      <c r="M134" s="9" t="s">
        <v>383</v>
      </c>
      <c r="N134" s="9"/>
      <c r="O134" s="9"/>
      <c r="P134" s="9"/>
      <c r="Q134" s="9"/>
      <c r="R134" s="9"/>
      <c r="S134" s="9"/>
      <c r="T134" s="9"/>
      <c r="U134" s="9"/>
      <c r="V134" s="9"/>
      <c r="W134" s="9"/>
      <c r="X134" s="9"/>
      <c r="Y134" s="80"/>
    </row>
    <row r="135" spans="1:31" ht="16.5" x14ac:dyDescent="0.3">
      <c r="A135" s="20" t="s">
        <v>388</v>
      </c>
      <c r="B135" s="6">
        <f t="shared" si="11"/>
        <v>4.8099999999999997E-2</v>
      </c>
      <c r="C135" s="97">
        <v>0.14369999999999999</v>
      </c>
      <c r="D135" s="6">
        <v>0.62</v>
      </c>
      <c r="E135" s="111">
        <f t="shared" si="12"/>
        <v>4.9987213493844802</v>
      </c>
      <c r="F135" s="122">
        <f t="shared" si="13"/>
        <v>-2.1855504668263356E-2</v>
      </c>
      <c r="G135" s="123">
        <f t="shared" si="14"/>
        <v>-2.4040775715272758E-2</v>
      </c>
      <c r="H135" s="122">
        <f t="shared" si="15"/>
        <v>-2.2260188324249173E-2</v>
      </c>
      <c r="I135" s="123"/>
      <c r="J135" s="123"/>
      <c r="M135" s="233" t="s">
        <v>544</v>
      </c>
      <c r="N135" s="9"/>
      <c r="O135" s="9"/>
      <c r="P135" s="9"/>
      <c r="Q135" s="9"/>
      <c r="R135" s="9"/>
      <c r="S135" s="9"/>
      <c r="T135" s="9"/>
      <c r="U135" s="9"/>
      <c r="V135" s="9"/>
      <c r="W135" s="9"/>
      <c r="X135" s="9"/>
      <c r="Y135" s="80"/>
    </row>
    <row r="136" spans="1:31" ht="16.5" x14ac:dyDescent="0.3">
      <c r="A136" s="20" t="s">
        <v>389</v>
      </c>
      <c r="B136" s="85">
        <f t="shared" si="11"/>
        <v>4.8499999999999995E-2</v>
      </c>
      <c r="C136" s="124">
        <v>2.4504999999999999E-2</v>
      </c>
      <c r="D136" s="85">
        <v>0.15</v>
      </c>
      <c r="E136" s="125">
        <f t="shared" si="12"/>
        <v>1</v>
      </c>
      <c r="F136" s="126">
        <f t="shared" si="13"/>
        <v>-3.2333333333333329E-3</v>
      </c>
      <c r="G136" s="85">
        <f t="shared" si="14"/>
        <v>-3.464285714285714E-3</v>
      </c>
      <c r="H136" s="126">
        <f t="shared" si="15"/>
        <v>-3.2770270270270265E-3</v>
      </c>
      <c r="I136" s="123"/>
      <c r="J136" s="123"/>
      <c r="M136" s="233" t="s">
        <v>567</v>
      </c>
      <c r="N136" s="9"/>
      <c r="O136" s="9"/>
      <c r="P136" s="9"/>
      <c r="Q136" s="9"/>
      <c r="R136" s="9"/>
      <c r="S136" s="9"/>
      <c r="T136" s="9"/>
      <c r="U136" s="9"/>
      <c r="V136" s="9"/>
      <c r="W136" s="9"/>
      <c r="X136" s="9"/>
      <c r="Y136" s="80"/>
    </row>
    <row r="137" spans="1:31" ht="15" x14ac:dyDescent="0.25">
      <c r="A137" s="20" t="s">
        <v>29</v>
      </c>
      <c r="B137" s="6"/>
      <c r="C137" s="6"/>
      <c r="D137" s="6"/>
      <c r="E137" s="6"/>
      <c r="F137" s="6">
        <f>SUM(F130:F136)</f>
        <v>9.0777490864507124E-3</v>
      </c>
      <c r="G137" s="6">
        <f>SUM(G130:G136)</f>
        <v>-0.79931904034265111</v>
      </c>
      <c r="H137" s="6">
        <f>SUM(H130:H136)</f>
        <v>-0.1033175051399388</v>
      </c>
      <c r="I137" s="123"/>
      <c r="J137" s="123"/>
      <c r="M137" s="9"/>
      <c r="N137" s="127" t="s">
        <v>396</v>
      </c>
      <c r="O137" s="128" t="s">
        <v>66</v>
      </c>
      <c r="P137" s="127" t="s">
        <v>67</v>
      </c>
      <c r="Q137" s="129" t="s">
        <v>68</v>
      </c>
      <c r="R137" s="130" t="s">
        <v>384</v>
      </c>
      <c r="S137" s="131"/>
      <c r="T137" s="132"/>
      <c r="U137" s="133"/>
      <c r="V137" s="133"/>
      <c r="W137" s="133"/>
      <c r="X137" s="133"/>
      <c r="Y137" s="80"/>
    </row>
    <row r="138" spans="1:31" ht="16.5" customHeight="1" x14ac:dyDescent="0.25">
      <c r="A138" s="6"/>
      <c r="B138" s="6"/>
      <c r="C138" s="6"/>
      <c r="D138" s="6"/>
      <c r="E138" s="6"/>
      <c r="F138" s="6"/>
      <c r="G138" s="6"/>
      <c r="H138" s="6"/>
      <c r="I138" s="6"/>
      <c r="J138" s="6"/>
      <c r="M138" s="9"/>
      <c r="N138" s="134"/>
      <c r="O138" s="135"/>
      <c r="P138" s="134"/>
      <c r="Q138" s="136"/>
      <c r="R138" s="130" t="s">
        <v>457</v>
      </c>
      <c r="S138" s="131"/>
      <c r="T138" s="132"/>
      <c r="U138" s="137"/>
      <c r="V138" s="137"/>
      <c r="W138" s="137"/>
      <c r="X138" s="137"/>
      <c r="Y138" s="80"/>
    </row>
    <row r="139" spans="1:31" s="138" customFormat="1" ht="15.75" customHeight="1" x14ac:dyDescent="0.25">
      <c r="A139" s="96" t="s">
        <v>543</v>
      </c>
      <c r="B139" s="6"/>
      <c r="C139" s="6"/>
      <c r="D139" s="6"/>
      <c r="E139" s="6"/>
      <c r="F139" s="6"/>
      <c r="G139" s="6"/>
      <c r="H139" s="6"/>
      <c r="I139" s="6"/>
      <c r="J139" s="6"/>
      <c r="M139" s="139"/>
      <c r="N139" s="140"/>
      <c r="O139" s="141"/>
      <c r="P139" s="140"/>
      <c r="Q139" s="142"/>
      <c r="R139" s="241">
        <v>15</v>
      </c>
      <c r="S139" s="242">
        <v>16</v>
      </c>
      <c r="T139" s="243">
        <v>15.8</v>
      </c>
      <c r="U139" s="143"/>
      <c r="V139" s="143"/>
      <c r="W139" s="143"/>
      <c r="X139" s="143"/>
      <c r="Y139" s="144"/>
      <c r="Z139" s="145"/>
      <c r="AA139" s="145"/>
    </row>
    <row r="140" spans="1:31" ht="16.5" x14ac:dyDescent="0.3">
      <c r="A140" s="96"/>
      <c r="B140" s="6"/>
      <c r="C140" s="6"/>
      <c r="D140" s="6"/>
      <c r="E140" s="6"/>
      <c r="F140" s="6"/>
      <c r="G140" s="6"/>
      <c r="H140" s="6"/>
      <c r="I140" s="6"/>
      <c r="J140" s="6"/>
      <c r="M140" s="22" t="s">
        <v>373</v>
      </c>
      <c r="N140" s="146">
        <f>O9/100</f>
        <v>2.0696958028494413E-2</v>
      </c>
      <c r="O140" s="147">
        <f t="shared" ref="O140:O145" si="16">N66</f>
        <v>2.8</v>
      </c>
      <c r="P140" s="148">
        <f t="shared" ref="P140:P146" si="17">N83</f>
        <v>3.36</v>
      </c>
      <c r="Q140" s="149">
        <f>AVERAGE((O140/$C$136),(P140/$D$136))</f>
        <v>68.331197714752093</v>
      </c>
      <c r="R140" s="150">
        <f>Q140*N140/(Q140-$R$139)</f>
        <v>2.6518210573541617E-2</v>
      </c>
      <c r="S140" s="151">
        <f>Q140*N140/(Q140-$S$139)</f>
        <v>2.7024948652002723E-2</v>
      </c>
      <c r="T140" s="152">
        <f t="shared" ref="T140:T145" si="18">Q140*N140/(Q140-$T$139)</f>
        <v>2.6922057608860128E-2</v>
      </c>
      <c r="U140" s="153"/>
      <c r="V140" s="153"/>
      <c r="W140" s="153"/>
      <c r="X140" s="153"/>
      <c r="Y140" s="154"/>
      <c r="AB140" s="155"/>
      <c r="AC140" s="155"/>
      <c r="AD140" s="155"/>
      <c r="AE140" s="155"/>
    </row>
    <row r="141" spans="1:31" ht="16.5" x14ac:dyDescent="0.3">
      <c r="A141" s="6" t="s">
        <v>673</v>
      </c>
      <c r="B141" s="6"/>
      <c r="C141" s="6"/>
      <c r="D141" s="6"/>
      <c r="E141" s="6"/>
      <c r="F141" s="6"/>
      <c r="G141" s="6"/>
      <c r="H141" s="6"/>
      <c r="I141" s="6"/>
      <c r="J141" s="6"/>
      <c r="M141" s="22" t="s">
        <v>374</v>
      </c>
      <c r="N141" s="150">
        <f t="shared" ref="N141:N146" si="19">O10/100</f>
        <v>0.4867154408933384</v>
      </c>
      <c r="O141" s="156">
        <f t="shared" si="16"/>
        <v>0.93</v>
      </c>
      <c r="P141" s="153">
        <f t="shared" si="17"/>
        <v>2.2999999999999998</v>
      </c>
      <c r="Q141" s="157">
        <f t="shared" ref="Q141:Q146" si="20">AVERAGE((O141/$C$136),(P141/$D$136))</f>
        <v>26.642385907637902</v>
      </c>
      <c r="R141" s="150">
        <f t="shared" ref="R141:R145" si="21">Q141*N141/(Q141-$R$139)</f>
        <v>1.1137975245245368</v>
      </c>
      <c r="S141" s="151">
        <f t="shared" ref="S141:S145" si="22">Q141*N141/(Q141-$S$139)</f>
        <v>1.2184542748238452</v>
      </c>
      <c r="T141" s="152">
        <f>Q141*N141/(Q141-$T$139)</f>
        <v>1.1959785156098974</v>
      </c>
      <c r="U141" s="153"/>
      <c r="V141" s="153"/>
      <c r="W141" s="153"/>
      <c r="X141" s="153"/>
      <c r="Y141" s="80"/>
      <c r="AB141" s="36"/>
      <c r="AC141" s="36"/>
      <c r="AD141" s="36"/>
      <c r="AE141" s="36"/>
    </row>
    <row r="142" spans="1:31" ht="16.5" x14ac:dyDescent="0.3">
      <c r="A142" s="6" t="s">
        <v>69</v>
      </c>
      <c r="B142" s="106">
        <f>(E130*(D50/100)/(E130-15.9))+(E131*(D51/100)/(E131-15.9))+(E132*(D52/100)/(E132-15.9))-1</f>
        <v>1.3384336744441687</v>
      </c>
      <c r="C142" s="6"/>
      <c r="D142" s="6"/>
      <c r="E142" s="6"/>
      <c r="F142" s="6"/>
      <c r="G142" s="6"/>
      <c r="H142" s="6"/>
      <c r="I142" s="6"/>
      <c r="J142" s="6"/>
      <c r="M142" s="22" t="s">
        <v>375</v>
      </c>
      <c r="N142" s="150">
        <f t="shared" si="19"/>
        <v>0.10107816711590295</v>
      </c>
      <c r="O142" s="156">
        <f t="shared" si="16"/>
        <v>0.45</v>
      </c>
      <c r="P142" s="153">
        <f t="shared" si="17"/>
        <v>1.4</v>
      </c>
      <c r="Q142" s="157">
        <f t="shared" si="20"/>
        <v>13.848466299394683</v>
      </c>
      <c r="R142" s="150">
        <f t="shared" si="21"/>
        <v>-1.2155767479261417</v>
      </c>
      <c r="S142" s="151">
        <f t="shared" si="22"/>
        <v>-0.65059524306560934</v>
      </c>
      <c r="T142" s="152">
        <f t="shared" si="18"/>
        <v>-0.71727051932282271</v>
      </c>
      <c r="U142" s="153"/>
      <c r="V142" s="153"/>
      <c r="W142" s="153"/>
      <c r="X142" s="153"/>
      <c r="Y142" s="80"/>
    </row>
    <row r="143" spans="1:31" ht="16.5" x14ac:dyDescent="0.3">
      <c r="A143" s="6"/>
      <c r="B143" s="6"/>
      <c r="C143" s="6"/>
      <c r="D143" s="6"/>
      <c r="E143" s="6"/>
      <c r="F143" s="6"/>
      <c r="G143" s="6"/>
      <c r="H143" s="6"/>
      <c r="I143" s="6"/>
      <c r="J143" s="6"/>
      <c r="M143" s="22" t="s">
        <v>376</v>
      </c>
      <c r="N143" s="150">
        <f t="shared" si="19"/>
        <v>0.24075856757797454</v>
      </c>
      <c r="O143" s="156">
        <f t="shared" si="16"/>
        <v>0.35116700000000001</v>
      </c>
      <c r="P143" s="153">
        <f t="shared" si="17"/>
        <v>1.1499999999999999</v>
      </c>
      <c r="Q143" s="157">
        <f t="shared" si="20"/>
        <v>10.998544514724887</v>
      </c>
      <c r="R143" s="150">
        <f t="shared" si="21"/>
        <v>-0.66175766106909351</v>
      </c>
      <c r="S143" s="151">
        <f>Q143*N143/(Q143-$S$139)</f>
        <v>-0.52944464478465636</v>
      </c>
      <c r="T143" s="152">
        <f t="shared" si="18"/>
        <v>-0.55149815111865574</v>
      </c>
      <c r="U143" s="153"/>
      <c r="V143" s="153"/>
      <c r="W143" s="153"/>
      <c r="X143" s="153"/>
      <c r="Y143" s="80"/>
    </row>
    <row r="144" spans="1:31" ht="16.5" x14ac:dyDescent="0.3">
      <c r="A144" s="6" t="s">
        <v>599</v>
      </c>
      <c r="B144" s="6"/>
      <c r="C144" s="6"/>
      <c r="D144" s="6"/>
      <c r="E144" s="6"/>
      <c r="F144" s="6"/>
      <c r="G144" s="6"/>
      <c r="H144" s="6"/>
      <c r="I144" s="6"/>
      <c r="J144" s="6"/>
      <c r="M144" s="22" t="s">
        <v>387</v>
      </c>
      <c r="N144" s="150">
        <f t="shared" si="19"/>
        <v>5.410088563727377E-2</v>
      </c>
      <c r="O144" s="156">
        <f t="shared" si="16"/>
        <v>0.17460000000000001</v>
      </c>
      <c r="P144" s="153">
        <f t="shared" si="17"/>
        <v>0.68</v>
      </c>
      <c r="Q144" s="157">
        <f t="shared" si="20"/>
        <v>5.8292049241651371</v>
      </c>
      <c r="R144" s="150">
        <f t="shared" si="21"/>
        <v>-3.4387983413726203E-2</v>
      </c>
      <c r="S144" s="151">
        <f t="shared" si="22"/>
        <v>-3.1006931769550439E-2</v>
      </c>
      <c r="T144" s="152">
        <f t="shared" si="18"/>
        <v>-3.1628886819949548E-2</v>
      </c>
      <c r="U144" s="153"/>
      <c r="V144" s="153"/>
      <c r="W144" s="153"/>
      <c r="X144" s="153"/>
      <c r="Y144" s="80"/>
    </row>
    <row r="145" spans="1:27" ht="16.5" x14ac:dyDescent="0.3">
      <c r="A145" s="6"/>
      <c r="B145" s="6"/>
      <c r="C145" s="6"/>
      <c r="D145" s="6"/>
      <c r="E145" s="6"/>
      <c r="F145" s="6"/>
      <c r="G145" s="6"/>
      <c r="H145" s="6"/>
      <c r="I145" s="6"/>
      <c r="J145" s="6"/>
      <c r="M145" s="22" t="s">
        <v>388</v>
      </c>
      <c r="N145" s="150">
        <f t="shared" si="19"/>
        <v>4.8132460531382357E-2</v>
      </c>
      <c r="O145" s="156">
        <f t="shared" si="16"/>
        <v>0.14369999999999999</v>
      </c>
      <c r="P145" s="153">
        <f t="shared" si="17"/>
        <v>0.62</v>
      </c>
      <c r="Q145" s="157">
        <f t="shared" si="20"/>
        <v>4.9987213493844802</v>
      </c>
      <c r="R145" s="150">
        <f t="shared" si="21"/>
        <v>-2.4056999755908137E-2</v>
      </c>
      <c r="S145" s="151">
        <f t="shared" si="22"/>
        <v>-2.1870253967539062E-2</v>
      </c>
      <c r="T145" s="152">
        <f t="shared" si="18"/>
        <v>-2.2275210726363029E-2</v>
      </c>
      <c r="U145" s="153"/>
      <c r="V145" s="153"/>
      <c r="W145" s="153"/>
      <c r="X145" s="153"/>
      <c r="Y145" s="80"/>
    </row>
    <row r="146" spans="1:27" ht="16.5" x14ac:dyDescent="0.3">
      <c r="A146" s="6"/>
      <c r="B146" s="6" t="s">
        <v>674</v>
      </c>
      <c r="C146" s="6"/>
      <c r="D146" s="6"/>
      <c r="E146" s="6"/>
      <c r="F146" s="6"/>
      <c r="G146" s="6"/>
      <c r="H146" s="6"/>
      <c r="I146" s="6"/>
      <c r="J146" s="6"/>
      <c r="M146" s="22" t="s">
        <v>389</v>
      </c>
      <c r="N146" s="158">
        <f t="shared" si="19"/>
        <v>4.8517520215633415E-2</v>
      </c>
      <c r="O146" s="159">
        <v>2.4504999999999999E-2</v>
      </c>
      <c r="P146" s="160">
        <f t="shared" si="17"/>
        <v>0.15</v>
      </c>
      <c r="Q146" s="161">
        <f t="shared" si="20"/>
        <v>1</v>
      </c>
      <c r="R146" s="158">
        <f>Q146*N146/(Q146-$R$139)</f>
        <v>-3.4655371582595295E-3</v>
      </c>
      <c r="S146" s="162">
        <f>Q146*N146/(Q146-$S$139)</f>
        <v>-3.2345013477088945E-3</v>
      </c>
      <c r="T146" s="163">
        <f>Q146*N146/(Q146-$T$139)</f>
        <v>-3.278210825380636E-3</v>
      </c>
      <c r="U146" s="153"/>
      <c r="V146" s="153"/>
      <c r="W146" s="153"/>
      <c r="X146" s="153"/>
      <c r="Y146" s="80"/>
    </row>
    <row r="147" spans="1:27" ht="15" x14ac:dyDescent="0.25">
      <c r="A147" s="6"/>
      <c r="B147" s="6" t="s">
        <v>70</v>
      </c>
      <c r="C147" s="6">
        <f>1.3*B142</f>
        <v>1.7399637767774194</v>
      </c>
      <c r="D147" s="6"/>
      <c r="E147" s="6"/>
      <c r="F147" s="6"/>
      <c r="G147" s="6"/>
      <c r="H147" s="6"/>
      <c r="I147" s="6"/>
      <c r="J147" s="6"/>
      <c r="M147" s="22" t="s">
        <v>29</v>
      </c>
      <c r="N147" s="9"/>
      <c r="O147" s="9"/>
      <c r="P147" s="9"/>
      <c r="Q147" s="9"/>
      <c r="R147" s="164">
        <f>SUM(R140:R146)</f>
        <v>-0.7989291942250506</v>
      </c>
      <c r="S147" s="165">
        <f>SUM(S140:S146)</f>
        <v>9.3276485407837346E-3</v>
      </c>
      <c r="T147" s="166">
        <f>SUM(T140:T146)</f>
        <v>-0.10305040559441422</v>
      </c>
      <c r="U147" s="153"/>
      <c r="V147" s="153"/>
      <c r="W147" s="153"/>
      <c r="X147" s="153"/>
      <c r="Y147" s="80"/>
    </row>
    <row r="148" spans="1:27" ht="15" x14ac:dyDescent="0.25">
      <c r="A148" s="6"/>
      <c r="B148" s="6"/>
      <c r="C148" s="6"/>
      <c r="D148" s="6"/>
      <c r="E148" s="6"/>
      <c r="F148" s="6"/>
      <c r="G148" s="6"/>
      <c r="H148" s="6"/>
      <c r="I148" s="6"/>
      <c r="J148" s="6"/>
      <c r="M148" s="9"/>
      <c r="N148" s="9"/>
      <c r="O148" s="9"/>
      <c r="P148" s="9"/>
      <c r="Q148" s="9"/>
      <c r="R148" s="9"/>
      <c r="S148" s="9"/>
      <c r="T148" s="9"/>
      <c r="U148" s="9"/>
      <c r="V148" s="9"/>
      <c r="W148" s="9"/>
      <c r="X148" s="9"/>
      <c r="Y148" s="80"/>
    </row>
    <row r="149" spans="1:27" ht="16.5" x14ac:dyDescent="0.3">
      <c r="A149" s="6" t="s">
        <v>397</v>
      </c>
      <c r="B149" s="6"/>
      <c r="C149" s="6"/>
      <c r="D149" s="6">
        <f>C147/(C147+1)</f>
        <v>0.63503167141277317</v>
      </c>
      <c r="E149" s="6"/>
      <c r="F149" s="6"/>
      <c r="G149" s="6"/>
      <c r="H149" s="6"/>
      <c r="I149" s="6"/>
      <c r="J149" s="6"/>
      <c r="M149" s="31" t="s">
        <v>476</v>
      </c>
      <c r="N149" s="9"/>
      <c r="O149" s="9"/>
      <c r="P149" s="9"/>
      <c r="Q149" s="9"/>
      <c r="R149" s="9"/>
      <c r="S149" s="9"/>
      <c r="T149" s="9"/>
      <c r="U149" s="9"/>
      <c r="V149" s="9"/>
      <c r="W149" s="9"/>
      <c r="X149" s="9"/>
      <c r="Y149" s="80"/>
      <c r="Z149" s="155"/>
      <c r="AA149" s="155"/>
    </row>
    <row r="150" spans="1:27" ht="16.5" x14ac:dyDescent="0.3">
      <c r="A150" s="6" t="s">
        <v>398</v>
      </c>
      <c r="B150" s="6"/>
      <c r="C150" s="6"/>
      <c r="D150" s="6">
        <f>B142/(B142+1)</f>
        <v>0.57236332553340696</v>
      </c>
      <c r="E150" s="6"/>
      <c r="F150" s="6"/>
      <c r="G150" s="6"/>
      <c r="H150" s="6"/>
      <c r="I150" s="6"/>
      <c r="J150" s="6"/>
      <c r="M150" s="31"/>
      <c r="N150" s="9"/>
      <c r="O150" s="9"/>
      <c r="P150" s="9"/>
      <c r="Q150" s="9"/>
      <c r="R150" s="9"/>
      <c r="S150" s="9"/>
      <c r="T150" s="9"/>
      <c r="U150" s="9"/>
      <c r="V150" s="9"/>
      <c r="W150" s="9"/>
      <c r="X150" s="9"/>
      <c r="Y150" s="80"/>
      <c r="Z150" s="36"/>
      <c r="AA150" s="36"/>
    </row>
    <row r="151" spans="1:27" ht="15" x14ac:dyDescent="0.25">
      <c r="A151" s="6"/>
      <c r="B151" s="6"/>
      <c r="C151" s="6"/>
      <c r="D151" s="6"/>
      <c r="E151" s="6"/>
      <c r="F151" s="6"/>
      <c r="G151" s="6"/>
      <c r="H151" s="6"/>
      <c r="I151" s="6"/>
      <c r="J151" s="6"/>
      <c r="M151" s="31"/>
      <c r="N151" s="9" t="s">
        <v>477</v>
      </c>
      <c r="O151" s="84">
        <f>INTERCEPT(R139:T139,R147:T147)</f>
        <v>15.95893618243548</v>
      </c>
      <c r="P151" s="9"/>
      <c r="Q151" s="9"/>
      <c r="R151" s="9"/>
      <c r="S151" s="9"/>
      <c r="T151" s="9"/>
      <c r="U151" s="9"/>
      <c r="V151" s="9"/>
      <c r="W151" s="9"/>
      <c r="X151" s="9"/>
      <c r="Y151" s="167"/>
    </row>
    <row r="152" spans="1:27" ht="15" x14ac:dyDescent="0.25">
      <c r="A152" s="6" t="s">
        <v>71</v>
      </c>
      <c r="B152" s="6"/>
      <c r="C152" s="6"/>
      <c r="D152" s="6"/>
      <c r="E152" s="6"/>
      <c r="F152" s="6"/>
      <c r="G152" s="6"/>
      <c r="H152" s="6"/>
      <c r="I152" s="6"/>
      <c r="J152" s="6"/>
      <c r="M152" s="31"/>
      <c r="N152" s="9" t="s">
        <v>478</v>
      </c>
      <c r="O152" s="9"/>
      <c r="P152" s="9"/>
      <c r="Q152" s="9"/>
      <c r="R152" s="9"/>
      <c r="S152" s="9"/>
      <c r="T152" s="9"/>
      <c r="U152" s="9"/>
      <c r="V152" s="9"/>
      <c r="W152" s="9"/>
      <c r="X152" s="9"/>
      <c r="Y152" s="80"/>
    </row>
    <row r="153" spans="1:27" ht="15" x14ac:dyDescent="0.25">
      <c r="A153" s="6"/>
      <c r="B153" s="6"/>
      <c r="C153" s="6"/>
      <c r="D153" s="6"/>
      <c r="E153" s="6"/>
      <c r="F153" s="6"/>
      <c r="G153" s="6"/>
      <c r="H153" s="6"/>
      <c r="I153" s="6"/>
      <c r="J153" s="6"/>
      <c r="M153" s="9"/>
      <c r="N153" s="9"/>
      <c r="O153" s="9"/>
      <c r="P153" s="9"/>
      <c r="Q153" s="9"/>
      <c r="R153" s="9"/>
      <c r="S153" s="9"/>
      <c r="T153" s="9"/>
      <c r="U153" s="9"/>
      <c r="V153" s="9"/>
      <c r="W153" s="9"/>
      <c r="X153" s="9"/>
      <c r="Y153" s="80"/>
    </row>
    <row r="154" spans="1:27" ht="16.5" x14ac:dyDescent="0.3">
      <c r="A154" s="66" t="s">
        <v>540</v>
      </c>
      <c r="B154" s="6">
        <v>0.54</v>
      </c>
      <c r="C154" s="6"/>
      <c r="D154" s="6"/>
      <c r="E154" s="6"/>
      <c r="F154" s="6"/>
      <c r="G154" s="6"/>
      <c r="H154" s="6"/>
      <c r="I154" s="6"/>
      <c r="J154" s="6"/>
      <c r="M154" s="9" t="s">
        <v>673</v>
      </c>
      <c r="N154" s="9"/>
      <c r="O154" s="9"/>
      <c r="P154" s="9"/>
      <c r="Q154" s="9"/>
      <c r="R154" s="9"/>
      <c r="S154" s="9"/>
      <c r="T154" s="9"/>
      <c r="U154" s="9"/>
      <c r="V154" s="9"/>
      <c r="W154" s="9"/>
      <c r="X154" s="9"/>
      <c r="Y154" s="80"/>
    </row>
    <row r="155" spans="1:27" ht="15" x14ac:dyDescent="0.25">
      <c r="A155" s="6"/>
      <c r="B155" s="6"/>
      <c r="C155" s="6"/>
      <c r="D155" s="6"/>
      <c r="E155" s="6"/>
      <c r="F155" s="6"/>
      <c r="G155" s="6"/>
      <c r="H155" s="6"/>
      <c r="I155" s="6"/>
      <c r="J155" s="6"/>
      <c r="M155" s="9"/>
      <c r="N155" s="9"/>
      <c r="O155" s="9"/>
      <c r="P155" s="9"/>
      <c r="Q155" s="9"/>
      <c r="R155" s="9"/>
      <c r="S155" s="9"/>
      <c r="T155" s="9"/>
      <c r="U155" s="9"/>
      <c r="V155" s="9"/>
      <c r="W155" s="9"/>
      <c r="X155" s="9"/>
      <c r="Y155" s="80"/>
    </row>
    <row r="156" spans="1:27" ht="16.5" x14ac:dyDescent="0.3">
      <c r="A156" s="66" t="s">
        <v>72</v>
      </c>
      <c r="B156" s="168">
        <f>B106/B154</f>
        <v>20.477870931433799</v>
      </c>
      <c r="C156" s="6" t="s">
        <v>73</v>
      </c>
      <c r="D156" s="6"/>
      <c r="E156" s="6"/>
      <c r="F156" s="6"/>
      <c r="G156" s="6"/>
      <c r="H156" s="6"/>
      <c r="I156" s="6"/>
      <c r="J156" s="6"/>
      <c r="M156" s="9" t="s">
        <v>598</v>
      </c>
      <c r="N156" s="107">
        <f>(Q140*(P50/100)/(Q140-O151))+(Q141*(P51/100)/(Q141-O151))+(Q142*(P52/100)/(Q142-O151))-1</f>
        <v>1.3542882154225202</v>
      </c>
      <c r="O156" s="9"/>
      <c r="P156" s="9"/>
      <c r="Q156" s="9"/>
      <c r="R156" s="9"/>
      <c r="S156" s="9"/>
      <c r="T156" s="9"/>
      <c r="U156" s="9"/>
      <c r="V156" s="9"/>
      <c r="W156" s="9"/>
      <c r="X156" s="9"/>
      <c r="Y156" s="80"/>
    </row>
    <row r="157" spans="1:27" ht="15" x14ac:dyDescent="0.25">
      <c r="A157" s="6"/>
      <c r="B157" s="6"/>
      <c r="C157" s="6"/>
      <c r="D157" s="6"/>
      <c r="E157" s="6"/>
      <c r="F157" s="6"/>
      <c r="G157" s="6"/>
      <c r="H157" s="6"/>
      <c r="I157" s="6"/>
      <c r="J157" s="6"/>
      <c r="M157" s="9"/>
      <c r="N157" s="9"/>
      <c r="O157" s="9"/>
      <c r="P157" s="9"/>
      <c r="Q157" s="9"/>
      <c r="R157" s="9"/>
      <c r="S157" s="9"/>
      <c r="T157" s="9"/>
      <c r="U157" s="9"/>
      <c r="V157" s="9"/>
      <c r="W157" s="9"/>
      <c r="X157" s="9"/>
      <c r="Y157" s="80"/>
    </row>
    <row r="158" spans="1:27" ht="16.5" x14ac:dyDescent="0.3">
      <c r="A158" s="6" t="s">
        <v>74</v>
      </c>
      <c r="B158" s="6"/>
      <c r="C158" s="6"/>
      <c r="D158" s="6"/>
      <c r="E158" s="6"/>
      <c r="F158" s="6"/>
      <c r="G158" s="6"/>
      <c r="H158" s="6"/>
      <c r="I158" s="6"/>
      <c r="J158" s="6"/>
      <c r="M158" s="9" t="s">
        <v>599</v>
      </c>
      <c r="N158" s="9"/>
      <c r="O158" s="9"/>
      <c r="P158" s="9"/>
      <c r="Q158" s="9"/>
      <c r="R158" s="9"/>
      <c r="S158" s="9"/>
      <c r="T158" s="9"/>
      <c r="U158" s="9"/>
      <c r="V158" s="9"/>
      <c r="W158" s="9"/>
      <c r="X158" s="9"/>
      <c r="Y158" s="80"/>
    </row>
    <row r="159" spans="1:27" ht="15" x14ac:dyDescent="0.25">
      <c r="M159" s="9"/>
      <c r="N159" s="9"/>
      <c r="O159" s="9"/>
      <c r="P159" s="9"/>
      <c r="Q159" s="9"/>
      <c r="R159" s="9"/>
      <c r="S159" s="9"/>
      <c r="T159" s="9"/>
      <c r="U159" s="9"/>
      <c r="V159" s="9"/>
      <c r="W159" s="9"/>
      <c r="X159" s="9"/>
      <c r="Y159" s="80"/>
    </row>
    <row r="160" spans="1:27" ht="15" x14ac:dyDescent="0.25">
      <c r="M160" s="9"/>
      <c r="N160" s="9" t="s">
        <v>597</v>
      </c>
      <c r="O160" s="9">
        <f>S6</f>
        <v>1.3</v>
      </c>
      <c r="P160" s="22" t="s">
        <v>573</v>
      </c>
      <c r="Q160" s="169">
        <f>N156</f>
        <v>1.3542882154225202</v>
      </c>
      <c r="R160" s="9"/>
      <c r="S160" s="9"/>
      <c r="T160" s="9"/>
      <c r="U160" s="9"/>
      <c r="V160" s="9"/>
      <c r="W160" s="9"/>
      <c r="X160" s="9"/>
      <c r="Y160" s="80"/>
    </row>
    <row r="161" spans="1:27" ht="15" x14ac:dyDescent="0.25">
      <c r="B161" s="170"/>
      <c r="C161" s="170"/>
      <c r="D161" s="170"/>
      <c r="E161" s="170"/>
      <c r="F161" s="170"/>
      <c r="G161" s="170"/>
      <c r="H161" s="170"/>
      <c r="M161" s="9"/>
      <c r="N161" s="9" t="s">
        <v>70</v>
      </c>
      <c r="O161" s="107">
        <f>S6*N156</f>
        <v>1.7605746800492763</v>
      </c>
      <c r="P161" s="9"/>
      <c r="Q161" s="9"/>
      <c r="R161" s="9"/>
      <c r="S161" s="9"/>
      <c r="T161" s="9"/>
      <c r="U161" s="9"/>
      <c r="V161" s="9"/>
      <c r="W161" s="9"/>
      <c r="X161" s="9"/>
      <c r="Y161" s="80"/>
    </row>
    <row r="162" spans="1:27" ht="15" x14ac:dyDescent="0.25">
      <c r="B162" s="170"/>
      <c r="C162" s="170"/>
      <c r="D162" s="171"/>
      <c r="E162" s="171"/>
      <c r="F162" s="172"/>
      <c r="G162" s="170"/>
      <c r="H162" s="170"/>
      <c r="M162" s="9"/>
      <c r="N162" s="9"/>
      <c r="O162" s="9"/>
      <c r="P162" s="9"/>
      <c r="Q162" s="9"/>
      <c r="R162" s="9"/>
      <c r="S162" s="9"/>
      <c r="T162" s="9"/>
      <c r="U162" s="9"/>
      <c r="V162" s="9"/>
      <c r="W162" s="9"/>
      <c r="X162" s="9"/>
      <c r="Y162" s="80"/>
    </row>
    <row r="163" spans="1:27" ht="16.5" x14ac:dyDescent="0.3">
      <c r="B163" s="170"/>
      <c r="C163" s="170"/>
      <c r="D163" s="171"/>
      <c r="E163" s="171"/>
      <c r="F163" s="172"/>
      <c r="G163" s="170"/>
      <c r="H163" s="170"/>
      <c r="M163" s="9" t="s">
        <v>397</v>
      </c>
      <c r="N163" s="9"/>
      <c r="O163" s="9"/>
      <c r="P163" s="107">
        <f>O161/(O161+1)</f>
        <v>0.63775658480568609</v>
      </c>
      <c r="Q163" s="9"/>
      <c r="R163" s="9"/>
      <c r="S163" s="9"/>
      <c r="T163" s="9"/>
      <c r="U163" s="9"/>
      <c r="V163" s="9"/>
      <c r="W163" s="9"/>
      <c r="X163" s="9"/>
      <c r="Y163" s="80"/>
    </row>
    <row r="164" spans="1:27" ht="16.5" x14ac:dyDescent="0.3">
      <c r="B164" s="170"/>
      <c r="C164" s="170"/>
      <c r="D164" s="171"/>
      <c r="E164" s="171"/>
      <c r="F164" s="172"/>
      <c r="G164" s="170"/>
      <c r="H164" s="170"/>
      <c r="M164" s="9" t="s">
        <v>398</v>
      </c>
      <c r="N164" s="9"/>
      <c r="O164" s="9"/>
      <c r="P164" s="107">
        <f>N156/(N156+1)</f>
        <v>0.57524316969809419</v>
      </c>
      <c r="Q164" s="9"/>
      <c r="R164" s="9"/>
      <c r="S164" s="9"/>
      <c r="T164" s="9"/>
      <c r="U164" s="9"/>
      <c r="V164" s="9"/>
      <c r="W164" s="9"/>
      <c r="X164" s="9"/>
      <c r="Y164" s="80"/>
      <c r="AA164" s="173"/>
    </row>
    <row r="165" spans="1:27" ht="15" x14ac:dyDescent="0.25">
      <c r="B165" s="170"/>
      <c r="C165" s="170"/>
      <c r="D165" s="171"/>
      <c r="E165" s="171"/>
      <c r="F165" s="172"/>
      <c r="G165" s="170"/>
      <c r="H165" s="170"/>
      <c r="M165" s="9"/>
      <c r="N165" s="9"/>
      <c r="O165" s="9"/>
      <c r="P165" s="9"/>
      <c r="Q165" s="9"/>
      <c r="R165" s="9"/>
      <c r="S165" s="9"/>
      <c r="T165" s="9"/>
      <c r="U165" s="9"/>
      <c r="V165" s="9"/>
      <c r="W165" s="9"/>
      <c r="X165" s="9"/>
      <c r="Y165" s="80"/>
    </row>
    <row r="166" spans="1:27" ht="17.25" x14ac:dyDescent="0.3">
      <c r="B166" s="170"/>
      <c r="C166" s="170"/>
      <c r="D166" s="171"/>
      <c r="E166" s="171"/>
      <c r="F166" s="172"/>
      <c r="G166" s="170"/>
      <c r="H166" s="170"/>
      <c r="M166" s="233" t="s">
        <v>541</v>
      </c>
      <c r="N166" s="9"/>
      <c r="O166" s="9"/>
      <c r="P166" s="9"/>
      <c r="Q166" s="9"/>
      <c r="R166" s="9"/>
      <c r="S166" s="9"/>
      <c r="T166" s="9"/>
      <c r="U166" s="9"/>
      <c r="V166" s="9"/>
      <c r="W166" s="9"/>
      <c r="X166" s="9"/>
      <c r="Y166" s="80"/>
    </row>
    <row r="167" spans="1:27" ht="15" x14ac:dyDescent="0.25">
      <c r="B167" s="170"/>
      <c r="C167" s="170"/>
      <c r="D167" s="171"/>
      <c r="E167" s="171"/>
      <c r="F167" s="172"/>
      <c r="G167" s="170"/>
      <c r="H167" s="170"/>
      <c r="M167" s="9"/>
      <c r="N167" s="9"/>
      <c r="O167" s="9"/>
      <c r="P167" s="9"/>
      <c r="Q167" s="9"/>
      <c r="R167" s="9"/>
      <c r="S167" s="9"/>
      <c r="T167" s="9"/>
      <c r="U167" s="9"/>
      <c r="V167" s="9"/>
      <c r="W167" s="9"/>
      <c r="X167" s="9"/>
      <c r="Y167" s="80"/>
    </row>
    <row r="168" spans="1:27" ht="16.5" x14ac:dyDescent="0.3">
      <c r="B168" s="170"/>
      <c r="C168" s="170"/>
      <c r="D168" s="171"/>
      <c r="E168" s="171"/>
      <c r="F168" s="172"/>
      <c r="G168" s="170"/>
      <c r="H168" s="170"/>
      <c r="M168" s="83" t="s">
        <v>540</v>
      </c>
      <c r="N168" s="233">
        <v>0.54</v>
      </c>
      <c r="O168" s="9"/>
      <c r="P168" s="9"/>
      <c r="Q168" s="9"/>
      <c r="R168" s="9"/>
      <c r="S168" s="9"/>
      <c r="T168" s="9"/>
      <c r="U168" s="9"/>
      <c r="V168" s="9"/>
      <c r="W168" s="9"/>
      <c r="X168" s="9"/>
      <c r="Y168" s="80"/>
    </row>
    <row r="169" spans="1:27" ht="15" x14ac:dyDescent="0.25">
      <c r="M169" s="9"/>
      <c r="N169" s="9"/>
      <c r="O169" s="9"/>
      <c r="P169" s="9"/>
      <c r="Q169" s="9"/>
      <c r="R169" s="9"/>
      <c r="S169" s="9"/>
      <c r="T169" s="9"/>
      <c r="U169" s="9"/>
      <c r="V169" s="9"/>
      <c r="W169" s="9"/>
      <c r="X169" s="9"/>
      <c r="Y169" s="80"/>
    </row>
    <row r="170" spans="1:27" ht="15" x14ac:dyDescent="0.25">
      <c r="M170" s="83" t="s">
        <v>72</v>
      </c>
      <c r="N170" s="174">
        <f>N113/N168</f>
        <v>20.443749175445166</v>
      </c>
      <c r="O170" s="9" t="s">
        <v>73</v>
      </c>
      <c r="P170" s="9"/>
      <c r="Q170" s="9"/>
      <c r="R170" s="9"/>
      <c r="S170" s="9"/>
      <c r="T170" s="9"/>
      <c r="U170" s="9"/>
      <c r="V170" s="9"/>
      <c r="W170" s="9"/>
      <c r="X170" s="9"/>
      <c r="Y170" s="80"/>
    </row>
    <row r="171" spans="1:27" ht="15" x14ac:dyDescent="0.25">
      <c r="M171" s="9"/>
      <c r="N171" s="9"/>
      <c r="O171" s="9"/>
      <c r="P171" s="9"/>
      <c r="Q171" s="9"/>
      <c r="R171" s="9"/>
      <c r="S171" s="9"/>
      <c r="T171" s="9"/>
      <c r="U171" s="9"/>
      <c r="V171" s="9"/>
      <c r="W171" s="9"/>
      <c r="X171" s="9"/>
      <c r="Y171" s="80"/>
      <c r="AA171" s="173"/>
    </row>
    <row r="172" spans="1:27" ht="15" x14ac:dyDescent="0.25">
      <c r="M172" s="9" t="s">
        <v>545</v>
      </c>
      <c r="N172" s="9"/>
      <c r="O172" s="9"/>
      <c r="P172" s="9"/>
      <c r="Q172" s="9"/>
      <c r="R172" s="9"/>
      <c r="S172" s="9"/>
      <c r="T172" s="9"/>
      <c r="U172" s="9"/>
      <c r="V172" s="9"/>
      <c r="W172" s="9"/>
      <c r="X172" s="9"/>
      <c r="Y172" s="80"/>
    </row>
    <row r="174" spans="1:27" ht="15" x14ac:dyDescent="0.25">
      <c r="A174" s="77" t="s">
        <v>718</v>
      </c>
    </row>
    <row r="175" spans="1:27" ht="15" x14ac:dyDescent="0.25">
      <c r="A175" s="77" t="s">
        <v>719</v>
      </c>
    </row>
    <row r="176" spans="1:27" ht="15" x14ac:dyDescent="0.25">
      <c r="A176" s="77" t="s">
        <v>720</v>
      </c>
    </row>
    <row r="177" spans="1:1" ht="15" x14ac:dyDescent="0.25">
      <c r="A177" s="77" t="s">
        <v>721</v>
      </c>
    </row>
    <row r="178" spans="1:1" ht="15" x14ac:dyDescent="0.25">
      <c r="A178" s="77" t="s">
        <v>722</v>
      </c>
    </row>
  </sheetData>
  <sheetProtection password="F030" sheet="1" objects="1" scenarios="1"/>
  <mergeCells count="21">
    <mergeCell ref="N137:N139"/>
    <mergeCell ref="R48:S48"/>
    <mergeCell ref="O137:O139"/>
    <mergeCell ref="P137:P139"/>
    <mergeCell ref="A59:I60"/>
    <mergeCell ref="A75:I76"/>
    <mergeCell ref="A62:H62"/>
    <mergeCell ref="F128:H128"/>
    <mergeCell ref="M79:X80"/>
    <mergeCell ref="M62:Y63"/>
    <mergeCell ref="Q137:Q139"/>
    <mergeCell ref="M59:U60"/>
    <mergeCell ref="R137:T137"/>
    <mergeCell ref="R138:T138"/>
    <mergeCell ref="A3:H4"/>
    <mergeCell ref="B48:C48"/>
    <mergeCell ref="D48:E48"/>
    <mergeCell ref="F48:G48"/>
    <mergeCell ref="M2:X3"/>
    <mergeCell ref="N48:O48"/>
    <mergeCell ref="P48:Q48"/>
  </mergeCells>
  <phoneticPr fontId="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topLeftCell="C32" zoomScale="80" zoomScaleNormal="80" workbookViewId="0">
      <selection activeCell="N48" sqref="N48"/>
    </sheetView>
  </sheetViews>
  <sheetFormatPr defaultRowHeight="12.75" x14ac:dyDescent="0.2"/>
  <cols>
    <col min="1" max="1" width="19" style="7" customWidth="1"/>
    <col min="2" max="2" width="12.28515625" style="7" customWidth="1"/>
    <col min="3" max="3" width="13" style="7" customWidth="1"/>
    <col min="4" max="4" width="9.140625" style="7"/>
    <col min="5" max="5" width="10.140625" style="7" customWidth="1"/>
    <col min="6" max="11" width="9.140625" style="7"/>
    <col min="12" max="12" width="18.85546875" style="7" customWidth="1"/>
    <col min="13" max="13" width="12.5703125" style="7" customWidth="1"/>
    <col min="14" max="15" width="9.140625" style="7"/>
    <col min="16" max="16" width="12.5703125" style="7" customWidth="1"/>
    <col min="17" max="16384" width="9.140625" style="7"/>
  </cols>
  <sheetData>
    <row r="1" spans="1:20" ht="15" x14ac:dyDescent="0.25">
      <c r="A1" s="5" t="s">
        <v>493</v>
      </c>
      <c r="B1" s="6"/>
      <c r="C1" s="6"/>
      <c r="D1" s="6"/>
      <c r="E1" s="6"/>
      <c r="F1" s="6"/>
      <c r="G1" s="6"/>
      <c r="H1" s="6"/>
      <c r="I1" s="6"/>
      <c r="L1" s="8" t="s">
        <v>651</v>
      </c>
      <c r="M1" s="9"/>
      <c r="N1" s="9"/>
      <c r="O1" s="9"/>
      <c r="P1" s="9"/>
      <c r="Q1" s="9"/>
      <c r="R1" s="9"/>
      <c r="S1" s="9"/>
      <c r="T1" s="9"/>
    </row>
    <row r="2" spans="1:20" ht="15" x14ac:dyDescent="0.25">
      <c r="A2" s="6" t="s">
        <v>75</v>
      </c>
      <c r="B2" s="6"/>
      <c r="C2" s="6"/>
      <c r="D2" s="6"/>
      <c r="E2" s="6"/>
      <c r="F2" s="6"/>
      <c r="G2" s="6"/>
      <c r="H2" s="6"/>
      <c r="I2" s="6"/>
      <c r="L2" s="9" t="s">
        <v>461</v>
      </c>
      <c r="M2" s="9"/>
      <c r="N2" s="9"/>
      <c r="O2" s="9"/>
      <c r="P2" s="9"/>
      <c r="Q2" s="9"/>
      <c r="R2" s="9"/>
      <c r="S2" s="9"/>
      <c r="T2" s="9"/>
    </row>
    <row r="3" spans="1:20" ht="15" x14ac:dyDescent="0.25">
      <c r="A3" s="6"/>
      <c r="B3" s="6"/>
      <c r="C3" s="6"/>
      <c r="D3" s="6"/>
      <c r="E3" s="6"/>
      <c r="F3" s="6"/>
      <c r="G3" s="6"/>
      <c r="H3" s="6"/>
      <c r="I3" s="6"/>
      <c r="L3" s="82" t="s">
        <v>475</v>
      </c>
      <c r="M3" s="9"/>
      <c r="N3" s="9"/>
      <c r="O3" s="9"/>
      <c r="P3" s="9"/>
      <c r="Q3" s="9"/>
      <c r="R3" s="9"/>
      <c r="S3" s="9"/>
      <c r="T3" s="9"/>
    </row>
    <row r="4" spans="1:20" ht="18" x14ac:dyDescent="0.25">
      <c r="A4" s="6" t="s">
        <v>76</v>
      </c>
      <c r="B4" s="6">
        <v>70418</v>
      </c>
      <c r="C4" s="6" t="s">
        <v>399</v>
      </c>
      <c r="D4" s="106">
        <f>B4/3600</f>
        <v>19.560555555555556</v>
      </c>
      <c r="E4" s="6" t="s">
        <v>400</v>
      </c>
      <c r="F4" s="6"/>
      <c r="G4" s="6"/>
      <c r="H4" s="6"/>
      <c r="I4" s="6"/>
      <c r="L4" s="9" t="s">
        <v>76</v>
      </c>
      <c r="M4" s="233">
        <v>70418</v>
      </c>
      <c r="N4" s="9" t="s">
        <v>399</v>
      </c>
      <c r="O4" s="107">
        <f>M4/3600</f>
        <v>19.560555555555556</v>
      </c>
      <c r="P4" s="9" t="s">
        <v>400</v>
      </c>
      <c r="Q4" s="9"/>
      <c r="R4" s="9"/>
      <c r="S4" s="9"/>
      <c r="T4" s="9"/>
    </row>
    <row r="5" spans="1:20" ht="18" x14ac:dyDescent="0.25">
      <c r="A5" s="6" t="s">
        <v>77</v>
      </c>
      <c r="B5" s="6">
        <v>3</v>
      </c>
      <c r="C5" s="6" t="s">
        <v>401</v>
      </c>
      <c r="D5" s="6"/>
      <c r="E5" s="6"/>
      <c r="F5" s="6"/>
      <c r="G5" s="6"/>
      <c r="H5" s="6"/>
      <c r="I5" s="6"/>
      <c r="L5" s="9" t="s">
        <v>77</v>
      </c>
      <c r="M5" s="233">
        <v>3</v>
      </c>
      <c r="N5" s="9" t="s">
        <v>401</v>
      </c>
      <c r="O5" s="9"/>
      <c r="P5" s="9"/>
      <c r="Q5" s="9"/>
      <c r="R5" s="9"/>
      <c r="S5" s="9"/>
      <c r="T5" s="9"/>
    </row>
    <row r="6" spans="1:20" ht="15" x14ac:dyDescent="0.25">
      <c r="A6" s="6" t="s">
        <v>78</v>
      </c>
      <c r="B6" s="6">
        <v>1190</v>
      </c>
      <c r="C6" s="6" t="s">
        <v>79</v>
      </c>
      <c r="D6" s="6"/>
      <c r="E6" s="6"/>
      <c r="F6" s="6"/>
      <c r="G6" s="6"/>
      <c r="H6" s="6"/>
      <c r="I6" s="6"/>
      <c r="L6" s="9" t="s">
        <v>78</v>
      </c>
      <c r="M6" s="233">
        <v>1190</v>
      </c>
      <c r="N6" s="9" t="s">
        <v>79</v>
      </c>
      <c r="O6" s="9"/>
      <c r="P6" s="9"/>
      <c r="Q6" s="9"/>
      <c r="R6" s="9"/>
      <c r="S6" s="9"/>
      <c r="T6" s="9"/>
    </row>
    <row r="7" spans="1:20" ht="18" x14ac:dyDescent="0.25">
      <c r="A7" s="6" t="s">
        <v>80</v>
      </c>
      <c r="B7" s="6">
        <v>28.8</v>
      </c>
      <c r="C7" s="6" t="s">
        <v>401</v>
      </c>
      <c r="D7" s="6"/>
      <c r="E7" s="6"/>
      <c r="F7" s="6"/>
      <c r="G7" s="6"/>
      <c r="H7" s="6"/>
      <c r="I7" s="6"/>
      <c r="L7" s="9" t="s">
        <v>80</v>
      </c>
      <c r="M7" s="233">
        <v>28.8</v>
      </c>
      <c r="N7" s="9" t="s">
        <v>401</v>
      </c>
      <c r="O7" s="9"/>
      <c r="P7" s="9"/>
      <c r="Q7" s="9"/>
      <c r="R7" s="9"/>
      <c r="S7" s="9"/>
      <c r="T7" s="9"/>
    </row>
    <row r="8" spans="1:20" ht="15" x14ac:dyDescent="0.25">
      <c r="A8" s="6" t="s">
        <v>81</v>
      </c>
      <c r="B8" s="6">
        <v>3.3</v>
      </c>
      <c r="C8" s="6" t="s">
        <v>82</v>
      </c>
      <c r="D8" s="6"/>
      <c r="E8" s="6"/>
      <c r="F8" s="6"/>
      <c r="G8" s="6"/>
      <c r="H8" s="6"/>
      <c r="I8" s="6"/>
      <c r="L8" s="9" t="s">
        <v>81</v>
      </c>
      <c r="M8" s="233">
        <v>3.3</v>
      </c>
      <c r="N8" s="9" t="s">
        <v>82</v>
      </c>
      <c r="O8" s="9"/>
      <c r="P8" s="9"/>
      <c r="Q8" s="9"/>
      <c r="R8" s="9"/>
      <c r="S8" s="9"/>
      <c r="T8" s="9"/>
    </row>
    <row r="9" spans="1:20" ht="15" x14ac:dyDescent="0.25">
      <c r="A9" s="6" t="s">
        <v>83</v>
      </c>
      <c r="B9" s="6">
        <v>24</v>
      </c>
      <c r="C9" s="6" t="s">
        <v>84</v>
      </c>
      <c r="D9" s="6"/>
      <c r="E9" s="6"/>
      <c r="F9" s="6"/>
      <c r="G9" s="6"/>
      <c r="H9" s="6"/>
      <c r="I9" s="6"/>
      <c r="L9" s="9" t="s">
        <v>83</v>
      </c>
      <c r="M9" s="233">
        <v>24</v>
      </c>
      <c r="N9" s="9" t="s">
        <v>84</v>
      </c>
      <c r="O9" s="9"/>
      <c r="P9" s="9"/>
      <c r="Q9" s="9"/>
      <c r="R9" s="9"/>
      <c r="S9" s="9"/>
      <c r="T9" s="9"/>
    </row>
    <row r="10" spans="1:20" ht="15" x14ac:dyDescent="0.25">
      <c r="A10" s="6"/>
      <c r="B10" s="6"/>
      <c r="C10" s="6"/>
      <c r="D10" s="6"/>
      <c r="E10" s="6"/>
      <c r="F10" s="6"/>
      <c r="G10" s="6"/>
      <c r="H10" s="6"/>
      <c r="I10" s="6"/>
      <c r="L10" s="9"/>
      <c r="M10" s="9"/>
      <c r="N10" s="9"/>
      <c r="O10" s="9"/>
      <c r="P10" s="9"/>
      <c r="Q10" s="9"/>
      <c r="R10" s="9"/>
      <c r="S10" s="9"/>
      <c r="T10" s="9"/>
    </row>
    <row r="11" spans="1:20" ht="15" x14ac:dyDescent="0.25">
      <c r="A11" s="6" t="s">
        <v>85</v>
      </c>
      <c r="B11" s="6"/>
      <c r="C11" s="6"/>
      <c r="D11" s="6"/>
      <c r="E11" s="6"/>
      <c r="F11" s="6"/>
      <c r="G11" s="6"/>
      <c r="H11" s="6"/>
      <c r="I11" s="6"/>
      <c r="L11" s="9" t="s">
        <v>85</v>
      </c>
      <c r="M11" s="9"/>
      <c r="N11" s="9"/>
      <c r="O11" s="9"/>
      <c r="P11" s="9"/>
      <c r="Q11" s="9"/>
      <c r="R11" s="9"/>
      <c r="S11" s="9"/>
      <c r="T11" s="9"/>
    </row>
    <row r="12" spans="1:20" ht="15" x14ac:dyDescent="0.25">
      <c r="A12" s="6"/>
      <c r="B12" s="6"/>
      <c r="C12" s="6"/>
      <c r="D12" s="6"/>
      <c r="E12" s="6"/>
      <c r="F12" s="6"/>
      <c r="G12" s="6"/>
      <c r="H12" s="6"/>
      <c r="I12" s="6"/>
      <c r="L12" s="9"/>
      <c r="M12" s="9"/>
      <c r="N12" s="9"/>
      <c r="O12" s="9"/>
      <c r="P12" s="9"/>
      <c r="Q12" s="9"/>
      <c r="R12" s="9"/>
      <c r="S12" s="9"/>
      <c r="T12" s="9"/>
    </row>
    <row r="13" spans="1:20" ht="15" x14ac:dyDescent="0.25">
      <c r="A13" s="5" t="s">
        <v>86</v>
      </c>
      <c r="B13" s="6"/>
      <c r="C13" s="6"/>
      <c r="D13" s="6"/>
      <c r="E13" s="6"/>
      <c r="F13" s="6"/>
      <c r="G13" s="6"/>
      <c r="H13" s="6"/>
      <c r="I13" s="6"/>
      <c r="L13" s="8" t="s">
        <v>86</v>
      </c>
      <c r="M13" s="9"/>
      <c r="N13" s="9"/>
      <c r="O13" s="9"/>
      <c r="P13" s="9"/>
      <c r="Q13" s="9"/>
      <c r="R13" s="9"/>
      <c r="S13" s="9"/>
      <c r="T13" s="9"/>
    </row>
    <row r="14" spans="1:20" ht="15" x14ac:dyDescent="0.25">
      <c r="A14" s="6"/>
      <c r="B14" s="6"/>
      <c r="C14" s="6"/>
      <c r="D14" s="6"/>
      <c r="E14" s="6"/>
      <c r="F14" s="6"/>
      <c r="G14" s="6"/>
      <c r="H14" s="6"/>
      <c r="I14" s="6"/>
      <c r="L14" s="9"/>
      <c r="M14" s="9"/>
      <c r="N14" s="9"/>
      <c r="O14" s="9"/>
      <c r="P14" s="9"/>
      <c r="Q14" s="9"/>
      <c r="R14" s="9"/>
      <c r="S14" s="9"/>
      <c r="T14" s="9"/>
    </row>
    <row r="15" spans="1:20" ht="15" x14ac:dyDescent="0.25">
      <c r="A15" s="6" t="s">
        <v>87</v>
      </c>
      <c r="B15" s="6"/>
      <c r="C15" s="6"/>
      <c r="D15" s="6"/>
      <c r="E15" s="6"/>
      <c r="F15" s="6"/>
      <c r="G15" s="6"/>
      <c r="H15" s="6"/>
      <c r="I15" s="6"/>
      <c r="L15" s="82" t="s">
        <v>0</v>
      </c>
      <c r="M15" s="9"/>
      <c r="N15" s="9"/>
      <c r="O15" s="9"/>
      <c r="P15" s="9"/>
      <c r="Q15" s="9"/>
      <c r="R15" s="9"/>
      <c r="S15" s="9"/>
      <c r="T15" s="9"/>
    </row>
    <row r="16" spans="1:20" ht="15" x14ac:dyDescent="0.25">
      <c r="A16" s="6"/>
      <c r="B16" s="6"/>
      <c r="C16" s="6"/>
      <c r="D16" s="6"/>
      <c r="E16" s="6"/>
      <c r="F16" s="6"/>
      <c r="G16" s="6"/>
      <c r="H16" s="6"/>
      <c r="I16" s="6"/>
      <c r="L16" s="83" t="s">
        <v>133</v>
      </c>
      <c r="M16" s="233">
        <v>430</v>
      </c>
      <c r="N16" s="9" t="s">
        <v>1</v>
      </c>
      <c r="O16" s="9"/>
      <c r="P16" s="9"/>
      <c r="Q16" s="9"/>
      <c r="R16" s="9"/>
      <c r="S16" s="9"/>
      <c r="T16" s="9"/>
    </row>
    <row r="17" spans="1:20" ht="16.5" x14ac:dyDescent="0.3">
      <c r="A17" s="6" t="s">
        <v>402</v>
      </c>
      <c r="B17" s="6"/>
      <c r="C17" s="6"/>
      <c r="D17" s="6"/>
      <c r="E17" s="6"/>
      <c r="F17" s="6"/>
      <c r="G17" s="6"/>
      <c r="H17" s="6"/>
      <c r="I17" s="6"/>
      <c r="L17" s="9" t="s">
        <v>402</v>
      </c>
      <c r="M17" s="9"/>
      <c r="N17" s="9"/>
      <c r="O17" s="9"/>
      <c r="P17" s="9"/>
      <c r="Q17" s="9"/>
      <c r="R17" s="9"/>
      <c r="S17" s="9"/>
      <c r="T17" s="9"/>
    </row>
    <row r="18" spans="1:20" ht="15" x14ac:dyDescent="0.25">
      <c r="A18" s="6"/>
      <c r="B18" s="6"/>
      <c r="C18" s="6"/>
      <c r="D18" s="6"/>
      <c r="E18" s="6"/>
      <c r="F18" s="6"/>
      <c r="G18" s="6"/>
      <c r="H18" s="6"/>
      <c r="I18" s="6"/>
      <c r="L18" s="9"/>
      <c r="M18" s="9"/>
      <c r="N18" s="9"/>
      <c r="O18" s="9"/>
      <c r="P18" s="9"/>
      <c r="Q18" s="9"/>
      <c r="R18" s="9"/>
      <c r="S18" s="9"/>
      <c r="T18" s="9"/>
    </row>
    <row r="19" spans="1:20" ht="16.5" x14ac:dyDescent="0.3">
      <c r="A19" s="6"/>
      <c r="B19" s="6" t="s">
        <v>2</v>
      </c>
      <c r="C19" s="175">
        <f>425*SQRT((B7-B5)/B5)</f>
        <v>1246.3446553822903</v>
      </c>
      <c r="D19" s="6" t="s">
        <v>88</v>
      </c>
      <c r="E19" s="6"/>
      <c r="F19" s="6"/>
      <c r="G19" s="6"/>
      <c r="H19" s="6"/>
      <c r="I19" s="6"/>
      <c r="L19" s="9"/>
      <c r="M19" s="9" t="s">
        <v>2</v>
      </c>
      <c r="N19" s="176">
        <f>M16*SQRT((M7-M5)/M5)</f>
        <v>1261.0075336809055</v>
      </c>
      <c r="O19" s="9" t="s">
        <v>88</v>
      </c>
      <c r="P19" s="9"/>
      <c r="Q19" s="9"/>
      <c r="R19" s="9"/>
      <c r="S19" s="9"/>
      <c r="T19" s="9"/>
    </row>
    <row r="20" spans="1:20" ht="15" x14ac:dyDescent="0.25">
      <c r="A20" s="6"/>
      <c r="B20" s="6"/>
      <c r="C20" s="6"/>
      <c r="D20" s="6"/>
      <c r="E20" s="6"/>
      <c r="F20" s="6"/>
      <c r="G20" s="6"/>
      <c r="H20" s="6"/>
      <c r="I20" s="6"/>
      <c r="L20" s="9"/>
      <c r="M20" s="9"/>
      <c r="N20" s="9"/>
      <c r="O20" s="9"/>
      <c r="P20" s="9"/>
      <c r="Q20" s="9"/>
      <c r="R20" s="9"/>
      <c r="S20" s="9"/>
      <c r="T20" s="9"/>
    </row>
    <row r="21" spans="1:20" ht="15" x14ac:dyDescent="0.25">
      <c r="A21" s="6" t="s">
        <v>89</v>
      </c>
      <c r="B21" s="6"/>
      <c r="C21" s="6"/>
      <c r="D21" s="6"/>
      <c r="E21" s="6"/>
      <c r="F21" s="6"/>
      <c r="G21" s="6"/>
      <c r="H21" s="6"/>
      <c r="I21" s="6"/>
      <c r="L21" s="9" t="s">
        <v>89</v>
      </c>
      <c r="M21" s="9"/>
      <c r="N21" s="9"/>
      <c r="O21" s="9"/>
      <c r="P21" s="9"/>
      <c r="Q21" s="9"/>
      <c r="R21" s="9"/>
      <c r="S21" s="9"/>
      <c r="T21" s="9"/>
    </row>
    <row r="22" spans="1:20" ht="15" x14ac:dyDescent="0.25">
      <c r="A22" s="6"/>
      <c r="B22" s="6"/>
      <c r="C22" s="6"/>
      <c r="D22" s="6"/>
      <c r="E22" s="6"/>
      <c r="F22" s="6"/>
      <c r="G22" s="6"/>
      <c r="H22" s="6"/>
      <c r="I22" s="6"/>
      <c r="L22" s="9"/>
      <c r="M22" s="9"/>
      <c r="N22" s="9"/>
      <c r="O22" s="9"/>
      <c r="P22" s="9"/>
      <c r="Q22" s="9"/>
      <c r="R22" s="9"/>
      <c r="S22" s="9"/>
      <c r="T22" s="9"/>
    </row>
    <row r="23" spans="1:20" ht="15" x14ac:dyDescent="0.25">
      <c r="A23" s="6"/>
      <c r="B23" s="6" t="s">
        <v>90</v>
      </c>
      <c r="C23" s="111">
        <f>SQRT(B4/(C19*0.7854))</f>
        <v>8.4815908189467581</v>
      </c>
      <c r="D23" s="6" t="s">
        <v>91</v>
      </c>
      <c r="E23" s="6"/>
      <c r="F23" s="6"/>
      <c r="G23" s="6"/>
      <c r="H23" s="6"/>
      <c r="I23" s="6"/>
      <c r="L23" s="9"/>
      <c r="M23" s="9" t="s">
        <v>90</v>
      </c>
      <c r="N23" s="84">
        <f>SQRT(M4/(N19*0.7854))</f>
        <v>8.4321350572948042</v>
      </c>
      <c r="O23" s="9" t="s">
        <v>91</v>
      </c>
      <c r="P23" s="9"/>
      <c r="Q23" s="9"/>
      <c r="R23" s="9"/>
      <c r="S23" s="9"/>
      <c r="T23" s="9"/>
    </row>
    <row r="24" spans="1:20" ht="15" x14ac:dyDescent="0.25">
      <c r="A24" s="6"/>
      <c r="B24" s="6"/>
      <c r="C24" s="175">
        <f>C23*12</f>
        <v>101.7790898273611</v>
      </c>
      <c r="D24" s="6" t="s">
        <v>84</v>
      </c>
      <c r="E24" s="6"/>
      <c r="F24" s="6"/>
      <c r="G24" s="6"/>
      <c r="H24" s="6"/>
      <c r="I24" s="6"/>
      <c r="L24" s="9"/>
      <c r="M24" s="9"/>
      <c r="N24" s="176">
        <f>N23*12</f>
        <v>101.18562068753765</v>
      </c>
      <c r="O24" s="9" t="s">
        <v>84</v>
      </c>
      <c r="P24" s="9"/>
      <c r="Q24" s="9"/>
      <c r="R24" s="9"/>
      <c r="S24" s="9"/>
      <c r="T24" s="9"/>
    </row>
    <row r="25" spans="1:20" ht="15" x14ac:dyDescent="0.25">
      <c r="A25" s="6"/>
      <c r="B25" s="6"/>
      <c r="C25" s="6"/>
      <c r="D25" s="6"/>
      <c r="E25" s="6"/>
      <c r="F25" s="6"/>
      <c r="G25" s="6"/>
      <c r="H25" s="6"/>
      <c r="I25" s="6"/>
      <c r="L25" s="9"/>
      <c r="M25" s="9"/>
      <c r="N25" s="9"/>
      <c r="O25" s="9"/>
      <c r="P25" s="9"/>
      <c r="Q25" s="9"/>
      <c r="R25" s="9"/>
      <c r="S25" s="9"/>
      <c r="T25" s="9"/>
    </row>
    <row r="26" spans="1:20" ht="15" x14ac:dyDescent="0.25">
      <c r="A26" s="5" t="s">
        <v>92</v>
      </c>
      <c r="B26" s="6"/>
      <c r="C26" s="6"/>
      <c r="D26" s="6"/>
      <c r="E26" s="6"/>
      <c r="F26" s="6"/>
      <c r="G26" s="6"/>
      <c r="H26" s="6"/>
      <c r="I26" s="6"/>
      <c r="L26" s="8" t="s">
        <v>92</v>
      </c>
      <c r="M26" s="9"/>
      <c r="N26" s="9"/>
      <c r="O26" s="9"/>
      <c r="P26" s="9"/>
      <c r="Q26" s="9"/>
      <c r="R26" s="9"/>
      <c r="S26" s="9"/>
      <c r="T26" s="9"/>
    </row>
    <row r="27" spans="1:20" ht="15" x14ac:dyDescent="0.25">
      <c r="A27" s="6"/>
      <c r="B27" s="6"/>
      <c r="C27" s="6"/>
      <c r="D27" s="6"/>
      <c r="E27" s="6"/>
      <c r="F27" s="6"/>
      <c r="G27" s="6"/>
      <c r="H27" s="6"/>
      <c r="I27" s="6"/>
      <c r="L27" s="9"/>
      <c r="M27" s="9"/>
      <c r="N27" s="9"/>
      <c r="O27" s="9"/>
      <c r="P27" s="9"/>
      <c r="Q27" s="9"/>
      <c r="R27" s="9"/>
      <c r="S27" s="9"/>
      <c r="T27" s="9"/>
    </row>
    <row r="28" spans="1:20" ht="16.5" x14ac:dyDescent="0.3">
      <c r="A28" s="6" t="s">
        <v>403</v>
      </c>
      <c r="B28" s="6"/>
      <c r="C28" s="6"/>
      <c r="D28" s="6"/>
      <c r="E28" s="6"/>
      <c r="F28" s="6"/>
      <c r="G28" s="6"/>
      <c r="H28" s="6"/>
      <c r="I28" s="6"/>
      <c r="L28" s="9" t="s">
        <v>403</v>
      </c>
      <c r="M28" s="9"/>
      <c r="N28" s="9"/>
      <c r="O28" s="9"/>
      <c r="P28" s="9"/>
      <c r="Q28" s="9"/>
      <c r="R28" s="9"/>
      <c r="S28" s="9"/>
      <c r="T28" s="9"/>
    </row>
    <row r="29" spans="1:20" ht="15" x14ac:dyDescent="0.25">
      <c r="A29" s="6"/>
      <c r="B29" s="6"/>
      <c r="C29" s="6"/>
      <c r="D29" s="6"/>
      <c r="E29" s="6"/>
      <c r="F29" s="6"/>
      <c r="G29" s="6"/>
      <c r="H29" s="6"/>
      <c r="I29" s="6"/>
      <c r="L29" s="9"/>
      <c r="M29" s="9"/>
      <c r="N29" s="9"/>
      <c r="O29" s="9"/>
      <c r="P29" s="9"/>
      <c r="Q29" s="9"/>
      <c r="R29" s="9"/>
      <c r="S29" s="9"/>
      <c r="T29" s="9"/>
    </row>
    <row r="30" spans="1:20" ht="18.75" x14ac:dyDescent="0.3">
      <c r="A30" s="6"/>
      <c r="B30" s="6" t="s">
        <v>464</v>
      </c>
      <c r="C30" s="111">
        <f>D4*SQRT(B5/(B7-B5))</f>
        <v>6.6700940828933062</v>
      </c>
      <c r="D30" s="6" t="s">
        <v>400</v>
      </c>
      <c r="E30" s="6"/>
      <c r="F30" s="6"/>
      <c r="G30" s="6"/>
      <c r="H30" s="6"/>
      <c r="I30" s="6"/>
      <c r="L30" s="9"/>
      <c r="M30" s="9" t="s">
        <v>463</v>
      </c>
      <c r="N30" s="84">
        <f>O4*SQRT(M5/(M7-M5))</f>
        <v>6.6700940828933062</v>
      </c>
      <c r="O30" s="9" t="s">
        <v>400</v>
      </c>
      <c r="P30" s="177" t="s">
        <v>689</v>
      </c>
      <c r="Q30" s="177"/>
      <c r="R30" s="9" t="s">
        <v>400</v>
      </c>
      <c r="S30" s="9"/>
      <c r="T30" s="9"/>
    </row>
    <row r="31" spans="1:20" ht="15" x14ac:dyDescent="0.25">
      <c r="A31" s="6"/>
      <c r="B31" s="6"/>
      <c r="C31" s="6"/>
      <c r="D31" s="6"/>
      <c r="E31" s="6"/>
      <c r="F31" s="6"/>
      <c r="G31" s="6"/>
      <c r="H31" s="6"/>
      <c r="I31" s="6"/>
      <c r="L31" s="9"/>
      <c r="M31" s="9"/>
      <c r="N31" s="9"/>
      <c r="O31" s="9"/>
      <c r="P31" s="9"/>
      <c r="Q31" s="9"/>
      <c r="R31" s="9"/>
      <c r="S31" s="9"/>
      <c r="T31" s="9"/>
    </row>
    <row r="32" spans="1:20" ht="15" x14ac:dyDescent="0.25">
      <c r="A32" s="6" t="s">
        <v>93</v>
      </c>
      <c r="B32" s="6"/>
      <c r="C32" s="6"/>
      <c r="D32" s="6"/>
      <c r="E32" s="6"/>
      <c r="F32" s="6"/>
      <c r="G32" s="6"/>
      <c r="H32" s="6"/>
      <c r="I32" s="6"/>
      <c r="K32" s="244"/>
      <c r="L32" s="82" t="s">
        <v>3</v>
      </c>
      <c r="M32" s="9"/>
      <c r="N32" s="9"/>
      <c r="O32" s="9"/>
      <c r="P32" s="9"/>
      <c r="Q32" s="9"/>
      <c r="R32" s="9"/>
      <c r="S32" s="9"/>
      <c r="T32" s="9"/>
    </row>
    <row r="33" spans="1:20" ht="15" x14ac:dyDescent="0.25">
      <c r="A33" s="6"/>
      <c r="B33" s="6"/>
      <c r="C33" s="6"/>
      <c r="D33" s="6"/>
      <c r="E33" s="6"/>
      <c r="F33" s="6"/>
      <c r="G33" s="6"/>
      <c r="H33" s="6"/>
      <c r="I33" s="6"/>
      <c r="L33" s="9"/>
      <c r="M33" s="9"/>
      <c r="N33" s="9"/>
      <c r="O33" s="9"/>
      <c r="P33" s="9"/>
      <c r="Q33" s="9"/>
      <c r="R33" s="9"/>
      <c r="S33" s="9"/>
      <c r="T33" s="9"/>
    </row>
    <row r="34" spans="1:20" ht="15" x14ac:dyDescent="0.25">
      <c r="A34" s="6"/>
      <c r="B34" s="6" t="s">
        <v>94</v>
      </c>
      <c r="C34" s="6">
        <v>9.25</v>
      </c>
      <c r="D34" s="6" t="s">
        <v>96</v>
      </c>
      <c r="E34" s="6"/>
      <c r="F34" s="6"/>
      <c r="G34" s="6"/>
      <c r="H34" s="6"/>
      <c r="I34" s="6"/>
      <c r="L34" s="9"/>
      <c r="M34" s="9" t="s">
        <v>94</v>
      </c>
      <c r="N34" s="233">
        <v>9.5</v>
      </c>
      <c r="O34" s="9" t="s">
        <v>96</v>
      </c>
      <c r="P34" s="31" t="s">
        <v>690</v>
      </c>
      <c r="Q34" s="9"/>
      <c r="R34" s="9"/>
      <c r="S34" s="9"/>
      <c r="T34" s="9"/>
    </row>
    <row r="35" spans="1:20" ht="15" x14ac:dyDescent="0.25">
      <c r="A35" s="6"/>
      <c r="B35" s="6"/>
      <c r="C35" s="6">
        <f>C34*12</f>
        <v>111</v>
      </c>
      <c r="D35" s="6" t="s">
        <v>97</v>
      </c>
      <c r="E35" s="6"/>
      <c r="F35" s="6"/>
      <c r="G35" s="6"/>
      <c r="H35" s="6"/>
      <c r="I35" s="6"/>
      <c r="L35" s="9"/>
      <c r="M35" s="9"/>
      <c r="N35" s="9">
        <f>N34*12</f>
        <v>114</v>
      </c>
      <c r="O35" s="9" t="s">
        <v>97</v>
      </c>
      <c r="P35" s="31" t="s">
        <v>691</v>
      </c>
      <c r="Q35" s="9"/>
      <c r="R35" s="9"/>
      <c r="S35" s="9"/>
      <c r="T35" s="9"/>
    </row>
    <row r="36" spans="1:20" ht="15" x14ac:dyDescent="0.25">
      <c r="A36" s="6"/>
      <c r="B36" s="6" t="s">
        <v>95</v>
      </c>
      <c r="C36" s="6">
        <v>7.1</v>
      </c>
      <c r="D36" s="6" t="s">
        <v>96</v>
      </c>
      <c r="E36" s="6"/>
      <c r="F36" s="6"/>
      <c r="G36" s="6"/>
      <c r="H36" s="6"/>
      <c r="I36" s="6"/>
      <c r="L36" s="9"/>
      <c r="M36" s="9" t="s">
        <v>95</v>
      </c>
      <c r="N36" s="233">
        <v>7.5</v>
      </c>
      <c r="O36" s="9" t="s">
        <v>96</v>
      </c>
      <c r="P36" s="31" t="s">
        <v>692</v>
      </c>
      <c r="Q36" s="9"/>
      <c r="R36" s="9"/>
      <c r="S36" s="9"/>
      <c r="T36" s="9"/>
    </row>
    <row r="37" spans="1:20" ht="15" x14ac:dyDescent="0.25">
      <c r="A37" s="6"/>
      <c r="B37" s="6"/>
      <c r="C37" s="6">
        <f>C36*12</f>
        <v>85.199999999999989</v>
      </c>
      <c r="D37" s="6" t="s">
        <v>97</v>
      </c>
      <c r="E37" s="6"/>
      <c r="F37" s="6"/>
      <c r="G37" s="6"/>
      <c r="H37" s="6"/>
      <c r="I37" s="6"/>
      <c r="L37" s="9"/>
      <c r="M37" s="9"/>
      <c r="N37" s="9">
        <f>N36*12</f>
        <v>90</v>
      </c>
      <c r="O37" s="9" t="s">
        <v>97</v>
      </c>
      <c r="P37" s="31" t="s">
        <v>693</v>
      </c>
      <c r="Q37" s="9"/>
      <c r="R37" s="9"/>
      <c r="S37" s="9"/>
      <c r="T37" s="9"/>
    </row>
    <row r="38" spans="1:20" ht="15" x14ac:dyDescent="0.25">
      <c r="A38" s="6"/>
      <c r="B38" s="6"/>
      <c r="C38" s="6"/>
      <c r="D38" s="6"/>
      <c r="E38" s="6"/>
      <c r="F38" s="6"/>
      <c r="G38" s="6"/>
      <c r="H38" s="6"/>
      <c r="I38" s="6"/>
      <c r="L38" s="9"/>
      <c r="M38" s="9"/>
      <c r="N38" s="9"/>
      <c r="O38" s="9"/>
      <c r="P38" s="9"/>
      <c r="Q38" s="9"/>
      <c r="R38" s="9"/>
      <c r="S38" s="9"/>
      <c r="T38" s="9"/>
    </row>
    <row r="39" spans="1:20" ht="15" x14ac:dyDescent="0.25">
      <c r="A39" s="5" t="s">
        <v>98</v>
      </c>
      <c r="B39" s="6"/>
      <c r="C39" s="6"/>
      <c r="D39" s="6"/>
      <c r="E39" s="6"/>
      <c r="F39" s="6"/>
      <c r="G39" s="6"/>
      <c r="H39" s="6"/>
      <c r="I39" s="6"/>
      <c r="L39" s="8" t="s">
        <v>98</v>
      </c>
      <c r="M39" s="9"/>
      <c r="N39" s="9"/>
      <c r="O39" s="9"/>
      <c r="P39" s="9"/>
      <c r="Q39" s="9"/>
      <c r="R39" s="9"/>
      <c r="S39" s="9"/>
      <c r="T39" s="9"/>
    </row>
    <row r="40" spans="1:20" ht="15" x14ac:dyDescent="0.25">
      <c r="A40" s="6"/>
      <c r="B40" s="6"/>
      <c r="C40" s="6"/>
      <c r="D40" s="6"/>
      <c r="E40" s="6"/>
      <c r="F40" s="6"/>
      <c r="G40" s="6"/>
      <c r="H40" s="6"/>
      <c r="I40" s="6"/>
      <c r="L40" s="9"/>
      <c r="M40" s="9"/>
      <c r="N40" s="9"/>
      <c r="O40" s="9"/>
      <c r="P40" s="9"/>
      <c r="Q40" s="9"/>
      <c r="R40" s="9"/>
      <c r="S40" s="9"/>
      <c r="T40" s="9"/>
    </row>
    <row r="41" spans="1:20" ht="15" x14ac:dyDescent="0.25">
      <c r="A41" s="6" t="s">
        <v>100</v>
      </c>
      <c r="B41" s="6"/>
      <c r="C41" s="6"/>
      <c r="D41" s="6"/>
      <c r="E41" s="6"/>
      <c r="F41" s="6"/>
      <c r="G41" s="6"/>
      <c r="H41" s="6"/>
      <c r="I41" s="6"/>
      <c r="L41" s="9" t="s">
        <v>100</v>
      </c>
      <c r="M41" s="9"/>
      <c r="N41" s="9"/>
      <c r="O41" s="9"/>
      <c r="P41" s="9"/>
      <c r="Q41" s="9"/>
      <c r="R41" s="9"/>
      <c r="S41" s="9"/>
      <c r="T41" s="9"/>
    </row>
    <row r="42" spans="1:20" ht="15" x14ac:dyDescent="0.25">
      <c r="A42" s="6"/>
      <c r="B42" s="6"/>
      <c r="C42" s="6"/>
      <c r="D42" s="6"/>
      <c r="E42" s="6"/>
      <c r="F42" s="6"/>
      <c r="G42" s="6"/>
      <c r="H42" s="6"/>
      <c r="I42" s="6"/>
      <c r="L42" s="9"/>
      <c r="M42" s="9"/>
      <c r="N42" s="9"/>
      <c r="O42" s="9"/>
      <c r="P42" s="9"/>
      <c r="Q42" s="9"/>
      <c r="R42" s="9"/>
      <c r="S42" s="9"/>
      <c r="T42" s="9"/>
    </row>
    <row r="43" spans="1:20" ht="15" x14ac:dyDescent="0.25">
      <c r="A43" s="6"/>
      <c r="B43" s="6" t="s">
        <v>101</v>
      </c>
      <c r="C43" s="111">
        <f>1.21/(B5^0.32)</f>
        <v>0.85134691926818484</v>
      </c>
      <c r="D43" s="6"/>
      <c r="E43" s="6"/>
      <c r="F43" s="6"/>
      <c r="G43" s="6"/>
      <c r="H43" s="6"/>
      <c r="I43" s="6"/>
      <c r="L43" s="9"/>
      <c r="M43" s="9" t="s">
        <v>101</v>
      </c>
      <c r="N43" s="84">
        <f>1.21/(M5^0.32)</f>
        <v>0.85134691926818484</v>
      </c>
      <c r="O43" s="9"/>
      <c r="P43" s="9"/>
      <c r="Q43" s="9"/>
      <c r="R43" s="9"/>
      <c r="S43" s="9"/>
      <c r="T43" s="9"/>
    </row>
    <row r="44" spans="1:20" ht="15" x14ac:dyDescent="0.25">
      <c r="A44" s="6"/>
      <c r="B44" s="6"/>
      <c r="C44" s="6"/>
      <c r="D44" s="6"/>
      <c r="E44" s="6"/>
      <c r="F44" s="6"/>
      <c r="G44" s="6"/>
      <c r="H44" s="6"/>
      <c r="I44" s="6"/>
      <c r="L44" s="9"/>
      <c r="M44" s="9"/>
      <c r="N44" s="9"/>
      <c r="O44" s="9"/>
      <c r="P44" s="9"/>
      <c r="Q44" s="9"/>
      <c r="R44" s="9"/>
      <c r="S44" s="9"/>
      <c r="T44" s="9"/>
    </row>
    <row r="45" spans="1:20" ht="18" x14ac:dyDescent="0.3">
      <c r="A45" s="6"/>
      <c r="B45" s="6"/>
      <c r="C45" s="6"/>
      <c r="D45" s="6"/>
      <c r="E45" s="6"/>
      <c r="F45" s="6"/>
      <c r="G45" s="6"/>
      <c r="H45" s="6"/>
      <c r="I45" s="6"/>
      <c r="L45" s="82" t="s">
        <v>485</v>
      </c>
      <c r="M45" s="9"/>
      <c r="N45" s="9"/>
      <c r="O45" s="9"/>
      <c r="P45" s="9"/>
      <c r="Q45" s="9"/>
      <c r="R45" s="9"/>
      <c r="S45" s="9"/>
      <c r="T45" s="9"/>
    </row>
    <row r="46" spans="1:20" ht="15" x14ac:dyDescent="0.25">
      <c r="A46" s="6" t="s">
        <v>102</v>
      </c>
      <c r="B46" s="6"/>
      <c r="C46" s="6"/>
      <c r="D46" s="6"/>
      <c r="E46" s="6"/>
      <c r="F46" s="6"/>
      <c r="G46" s="6"/>
      <c r="H46" s="6"/>
      <c r="I46" s="6"/>
      <c r="L46" s="9"/>
      <c r="M46" s="9"/>
      <c r="N46" s="9"/>
      <c r="O46" s="9"/>
      <c r="P46" s="9"/>
      <c r="Q46" s="9"/>
      <c r="R46" s="9"/>
      <c r="S46" s="9"/>
      <c r="T46" s="9"/>
    </row>
    <row r="47" spans="1:20" ht="18.75" x14ac:dyDescent="0.3">
      <c r="A47" s="6"/>
      <c r="B47" s="6"/>
      <c r="C47" s="6"/>
      <c r="D47" s="6"/>
      <c r="E47" s="6"/>
      <c r="F47" s="6"/>
      <c r="G47" s="6"/>
      <c r="H47" s="6"/>
      <c r="I47" s="6"/>
      <c r="L47" s="9"/>
      <c r="M47" s="105" t="s">
        <v>4</v>
      </c>
      <c r="N47" s="9">
        <f>M7-M5</f>
        <v>25.8</v>
      </c>
      <c r="O47" s="9" t="s">
        <v>401</v>
      </c>
      <c r="P47" s="9"/>
      <c r="Q47" s="9"/>
      <c r="R47" s="9"/>
      <c r="S47" s="9"/>
      <c r="T47" s="9"/>
    </row>
    <row r="48" spans="1:20" ht="18.75" x14ac:dyDescent="0.3">
      <c r="A48" s="6"/>
      <c r="B48" s="6" t="s">
        <v>404</v>
      </c>
      <c r="C48" s="6">
        <v>185</v>
      </c>
      <c r="D48" s="6" t="s">
        <v>405</v>
      </c>
      <c r="E48" s="6"/>
      <c r="F48" s="6"/>
      <c r="G48" s="6"/>
      <c r="H48" s="6"/>
      <c r="I48" s="6"/>
      <c r="L48" s="9"/>
      <c r="M48" s="9" t="s">
        <v>404</v>
      </c>
      <c r="N48" s="233">
        <v>186</v>
      </c>
      <c r="O48" s="9" t="s">
        <v>405</v>
      </c>
      <c r="P48" s="9"/>
      <c r="Q48" s="9"/>
      <c r="R48" s="9"/>
      <c r="S48" s="9"/>
      <c r="T48" s="9"/>
    </row>
    <row r="49" spans="1:20" ht="15" x14ac:dyDescent="0.25">
      <c r="A49" s="6"/>
      <c r="B49" s="6"/>
      <c r="C49" s="6"/>
      <c r="D49" s="6"/>
      <c r="E49" s="6"/>
      <c r="F49" s="6"/>
      <c r="G49" s="6"/>
      <c r="H49" s="6"/>
      <c r="I49" s="6"/>
      <c r="L49" s="9"/>
      <c r="M49" s="9"/>
      <c r="N49" s="9"/>
      <c r="O49" s="9"/>
      <c r="P49" s="9"/>
      <c r="Q49" s="9"/>
      <c r="R49" s="9"/>
      <c r="S49" s="9"/>
      <c r="T49" s="9"/>
    </row>
    <row r="50" spans="1:20" ht="16.5" x14ac:dyDescent="0.3">
      <c r="A50" s="6" t="s">
        <v>103</v>
      </c>
      <c r="B50" s="6"/>
      <c r="C50" s="6"/>
      <c r="D50" s="6"/>
      <c r="E50" s="6"/>
      <c r="F50" s="6"/>
      <c r="G50" s="6"/>
      <c r="H50" s="6"/>
      <c r="I50" s="6"/>
      <c r="L50" s="83" t="s">
        <v>600</v>
      </c>
      <c r="M50" s="22">
        <f>N48</f>
        <v>186</v>
      </c>
      <c r="N50" s="22" t="s">
        <v>573</v>
      </c>
      <c r="O50" s="178">
        <f>N43</f>
        <v>0.85134691926818484</v>
      </c>
      <c r="P50" s="9"/>
      <c r="Q50" s="9"/>
      <c r="R50" s="9"/>
      <c r="S50" s="9"/>
      <c r="T50" s="9"/>
    </row>
    <row r="51" spans="1:20" ht="15" x14ac:dyDescent="0.25">
      <c r="A51" s="6"/>
      <c r="B51" s="6"/>
      <c r="C51" s="6"/>
      <c r="D51" s="6"/>
      <c r="E51" s="6"/>
      <c r="F51" s="6"/>
      <c r="G51" s="6"/>
      <c r="H51" s="6"/>
      <c r="I51" s="6"/>
      <c r="L51" s="9"/>
      <c r="M51" s="9"/>
      <c r="N51" s="9"/>
      <c r="O51" s="9"/>
      <c r="P51" s="9"/>
      <c r="Q51" s="9"/>
      <c r="R51" s="9"/>
      <c r="S51" s="9"/>
      <c r="T51" s="9"/>
    </row>
    <row r="52" spans="1:20" ht="18.75" x14ac:dyDescent="0.3">
      <c r="A52" s="6"/>
      <c r="B52" s="6" t="s">
        <v>465</v>
      </c>
      <c r="C52" s="24">
        <f>C48*C43</f>
        <v>157.49918006461419</v>
      </c>
      <c r="D52" s="6" t="s">
        <v>405</v>
      </c>
      <c r="E52" s="6"/>
      <c r="F52" s="6"/>
      <c r="G52" s="6"/>
      <c r="H52" s="6"/>
      <c r="I52" s="6"/>
      <c r="L52" s="9"/>
      <c r="M52" s="9" t="s">
        <v>465</v>
      </c>
      <c r="N52" s="30">
        <f>N48*N43</f>
        <v>158.35052698388239</v>
      </c>
      <c r="O52" s="9" t="s">
        <v>405</v>
      </c>
      <c r="P52" s="9"/>
      <c r="Q52" s="9"/>
      <c r="R52" s="9"/>
      <c r="S52" s="9"/>
      <c r="T52" s="9"/>
    </row>
    <row r="53" spans="1:20" ht="15" x14ac:dyDescent="0.25">
      <c r="A53" s="6"/>
      <c r="B53" s="6"/>
      <c r="C53" s="6"/>
      <c r="D53" s="6"/>
      <c r="E53" s="6"/>
      <c r="F53" s="6"/>
      <c r="G53" s="6"/>
      <c r="H53" s="6"/>
      <c r="I53" s="6"/>
      <c r="L53" s="9"/>
      <c r="M53" s="9"/>
      <c r="N53" s="9"/>
      <c r="O53" s="9"/>
      <c r="P53" s="9"/>
      <c r="Q53" s="9"/>
      <c r="R53" s="9"/>
      <c r="S53" s="9"/>
      <c r="T53" s="9"/>
    </row>
    <row r="54" spans="1:20" ht="17.25" x14ac:dyDescent="0.3">
      <c r="A54" s="6" t="s">
        <v>406</v>
      </c>
      <c r="B54" s="6"/>
      <c r="C54" s="6"/>
      <c r="D54" s="6"/>
      <c r="E54" s="6"/>
      <c r="F54" s="6"/>
      <c r="G54" s="6"/>
      <c r="H54" s="6"/>
      <c r="I54" s="6"/>
      <c r="L54" s="82" t="s">
        <v>486</v>
      </c>
      <c r="M54" s="9"/>
      <c r="N54" s="9"/>
      <c r="O54" s="9"/>
      <c r="P54" s="9"/>
      <c r="Q54" s="9"/>
      <c r="R54" s="9"/>
      <c r="S54" s="9"/>
      <c r="T54" s="9"/>
    </row>
    <row r="55" spans="1:20" ht="18.75" x14ac:dyDescent="0.3">
      <c r="A55" s="6"/>
      <c r="B55" s="6"/>
      <c r="C55" s="6"/>
      <c r="D55" s="6"/>
      <c r="E55" s="6"/>
      <c r="F55" s="6"/>
      <c r="G55" s="6"/>
      <c r="H55" s="6"/>
      <c r="I55" s="6"/>
      <c r="L55" s="179"/>
      <c r="M55" s="9" t="s">
        <v>5</v>
      </c>
      <c r="N55" s="233">
        <v>0.41199999999999998</v>
      </c>
      <c r="O55" s="9"/>
      <c r="P55" s="31" t="s">
        <v>694</v>
      </c>
      <c r="Q55" s="9"/>
      <c r="R55" s="9"/>
      <c r="S55" s="9"/>
      <c r="T55" s="9"/>
    </row>
    <row r="56" spans="1:20" ht="15" x14ac:dyDescent="0.25">
      <c r="A56" s="6"/>
      <c r="B56" s="6"/>
      <c r="C56" s="6"/>
      <c r="D56" s="6"/>
      <c r="E56" s="6"/>
      <c r="F56" s="6"/>
      <c r="G56" s="6"/>
      <c r="H56" s="6"/>
      <c r="I56" s="6"/>
      <c r="L56" s="9"/>
      <c r="M56" s="9"/>
      <c r="N56" s="9"/>
      <c r="O56" s="9"/>
      <c r="P56" s="31"/>
      <c r="Q56" s="9"/>
      <c r="R56" s="9"/>
      <c r="S56" s="9"/>
      <c r="T56" s="9"/>
    </row>
    <row r="57" spans="1:20" ht="16.5" x14ac:dyDescent="0.3">
      <c r="A57" s="6" t="s">
        <v>407</v>
      </c>
      <c r="B57" s="6"/>
      <c r="C57" s="6"/>
      <c r="D57" s="6"/>
      <c r="E57" s="6"/>
      <c r="F57" s="6"/>
      <c r="G57" s="6"/>
      <c r="H57" s="6"/>
      <c r="I57" s="6"/>
      <c r="L57" s="83" t="s">
        <v>601</v>
      </c>
      <c r="M57" s="22">
        <f>N55</f>
        <v>0.41199999999999998</v>
      </c>
      <c r="N57" s="22" t="s">
        <v>573</v>
      </c>
      <c r="O57" s="178">
        <f>N43</f>
        <v>0.85134691926818484</v>
      </c>
      <c r="P57" s="9"/>
      <c r="Q57" s="9"/>
      <c r="R57" s="9"/>
      <c r="S57" s="9"/>
      <c r="T57" s="9"/>
    </row>
    <row r="58" spans="1:20" ht="15" x14ac:dyDescent="0.25">
      <c r="A58" s="6"/>
      <c r="B58" s="6"/>
      <c r="C58" s="6"/>
      <c r="D58" s="6"/>
      <c r="E58" s="6"/>
      <c r="F58" s="6"/>
      <c r="G58" s="6"/>
      <c r="H58" s="6"/>
      <c r="I58" s="6"/>
      <c r="L58" s="9"/>
      <c r="M58" s="9"/>
      <c r="N58" s="9"/>
      <c r="O58" s="9"/>
      <c r="P58" s="9"/>
      <c r="Q58" s="9"/>
      <c r="R58" s="9"/>
      <c r="S58" s="9"/>
      <c r="T58" s="9"/>
    </row>
    <row r="59" spans="1:20" ht="15" x14ac:dyDescent="0.25">
      <c r="A59" s="6"/>
      <c r="B59" s="6" t="s">
        <v>104</v>
      </c>
      <c r="C59" s="106">
        <f>0.41*C43</f>
        <v>0.34905223689995579</v>
      </c>
      <c r="D59" s="6" t="s">
        <v>105</v>
      </c>
      <c r="E59" s="6"/>
      <c r="F59" s="6"/>
      <c r="G59" s="6"/>
      <c r="H59" s="6"/>
      <c r="I59" s="6"/>
      <c r="L59" s="9"/>
      <c r="M59" s="9" t="s">
        <v>104</v>
      </c>
      <c r="N59" s="107">
        <f>N55*N43</f>
        <v>0.35075493073849212</v>
      </c>
      <c r="O59" s="9" t="s">
        <v>105</v>
      </c>
      <c r="P59" s="9"/>
      <c r="Q59" s="9"/>
      <c r="R59" s="9"/>
      <c r="S59" s="9"/>
      <c r="T59" s="9"/>
    </row>
    <row r="60" spans="1:20" ht="15" x14ac:dyDescent="0.25">
      <c r="A60" s="6"/>
      <c r="B60" s="6"/>
      <c r="C60" s="6"/>
      <c r="D60" s="6"/>
      <c r="E60" s="6"/>
      <c r="F60" s="6"/>
      <c r="G60" s="6"/>
      <c r="H60" s="6"/>
      <c r="I60" s="6"/>
      <c r="L60" s="9"/>
      <c r="M60" s="9"/>
      <c r="N60" s="9"/>
      <c r="O60" s="9"/>
      <c r="P60" s="9"/>
      <c r="Q60" s="9"/>
      <c r="R60" s="9"/>
      <c r="S60" s="9"/>
      <c r="T60" s="9"/>
    </row>
    <row r="61" spans="1:20" ht="16.5" x14ac:dyDescent="0.3">
      <c r="A61" s="6" t="s">
        <v>462</v>
      </c>
      <c r="B61" s="6"/>
      <c r="C61" s="6"/>
      <c r="D61" s="6"/>
      <c r="E61" s="6"/>
      <c r="F61" s="6"/>
      <c r="G61" s="6"/>
      <c r="H61" s="6"/>
      <c r="I61" s="6"/>
      <c r="L61" s="9" t="s">
        <v>462</v>
      </c>
      <c r="M61" s="9"/>
      <c r="N61" s="9"/>
      <c r="O61" s="9"/>
      <c r="P61" s="9"/>
      <c r="Q61" s="9"/>
      <c r="R61" s="9"/>
      <c r="S61" s="9"/>
      <c r="T61" s="9"/>
    </row>
    <row r="62" spans="1:20" ht="15" x14ac:dyDescent="0.25">
      <c r="A62" s="6"/>
      <c r="B62" s="6"/>
      <c r="C62" s="6"/>
      <c r="D62" s="6"/>
      <c r="E62" s="6"/>
      <c r="F62" s="6"/>
      <c r="G62" s="6"/>
      <c r="H62" s="6"/>
      <c r="I62" s="6"/>
      <c r="L62" s="9"/>
      <c r="M62" s="9"/>
      <c r="N62" s="9"/>
      <c r="O62" s="9"/>
      <c r="P62" s="9"/>
      <c r="Q62" s="9"/>
      <c r="R62" s="9"/>
      <c r="S62" s="9"/>
      <c r="T62" s="9"/>
    </row>
    <row r="63" spans="1:20" ht="16.5" x14ac:dyDescent="0.3">
      <c r="A63" s="6"/>
      <c r="B63" s="6" t="s">
        <v>408</v>
      </c>
      <c r="C63" s="6"/>
      <c r="D63" s="6"/>
      <c r="E63" s="6"/>
      <c r="F63" s="6"/>
      <c r="G63" s="6"/>
      <c r="H63" s="6"/>
      <c r="I63" s="6"/>
      <c r="L63" s="83" t="s">
        <v>602</v>
      </c>
      <c r="M63" s="22">
        <f>N34</f>
        <v>9.5</v>
      </c>
      <c r="N63" s="35" t="s">
        <v>603</v>
      </c>
      <c r="O63" s="9" t="s">
        <v>604</v>
      </c>
      <c r="P63" s="9"/>
      <c r="Q63" s="9"/>
      <c r="R63" s="9"/>
      <c r="S63" s="9"/>
      <c r="T63" s="9"/>
    </row>
    <row r="64" spans="1:20" ht="15" x14ac:dyDescent="0.25">
      <c r="A64" s="6"/>
      <c r="B64" s="6"/>
      <c r="C64" s="6"/>
      <c r="D64" s="6"/>
      <c r="E64" s="6"/>
      <c r="F64" s="6"/>
      <c r="G64" s="6"/>
      <c r="H64" s="6"/>
      <c r="I64" s="6"/>
      <c r="L64" s="83" t="s">
        <v>602</v>
      </c>
      <c r="M64" s="22">
        <f>N36</f>
        <v>7.5</v>
      </c>
      <c r="N64" s="35" t="s">
        <v>605</v>
      </c>
      <c r="O64" s="9" t="s">
        <v>606</v>
      </c>
      <c r="P64" s="9"/>
      <c r="Q64" s="9"/>
      <c r="R64" s="9"/>
      <c r="S64" s="9"/>
      <c r="T64" s="9"/>
    </row>
    <row r="65" spans="1:20" ht="15" x14ac:dyDescent="0.25">
      <c r="A65" s="6"/>
      <c r="B65" s="6"/>
      <c r="C65" s="6"/>
      <c r="D65" s="6"/>
      <c r="E65" s="6"/>
      <c r="F65" s="6"/>
      <c r="G65" s="6"/>
      <c r="H65" s="6"/>
      <c r="I65" s="6"/>
      <c r="L65" s="9"/>
      <c r="M65" s="9"/>
      <c r="N65" s="9"/>
      <c r="O65" s="9"/>
      <c r="P65" s="9"/>
      <c r="Q65" s="9"/>
      <c r="R65" s="9"/>
      <c r="S65" s="9"/>
      <c r="T65" s="9"/>
    </row>
    <row r="66" spans="1:20" ht="15" x14ac:dyDescent="0.25">
      <c r="A66" s="6"/>
      <c r="B66" s="6" t="s">
        <v>106</v>
      </c>
      <c r="C66" s="6">
        <f>9*9.25</f>
        <v>83.25</v>
      </c>
      <c r="D66" s="6" t="s">
        <v>96</v>
      </c>
      <c r="E66" s="6" t="s">
        <v>107</v>
      </c>
      <c r="F66" s="6"/>
      <c r="G66" s="6"/>
      <c r="H66" s="6"/>
      <c r="I66" s="6"/>
      <c r="L66" s="9"/>
      <c r="M66" s="9" t="s">
        <v>106</v>
      </c>
      <c r="N66" s="9">
        <f>9*N34</f>
        <v>85.5</v>
      </c>
      <c r="O66" s="9" t="s">
        <v>96</v>
      </c>
      <c r="P66" s="9" t="s">
        <v>107</v>
      </c>
      <c r="Q66" s="9"/>
      <c r="R66" s="9"/>
      <c r="S66" s="9"/>
      <c r="T66" s="9"/>
    </row>
    <row r="67" spans="1:20" ht="15" x14ac:dyDescent="0.25">
      <c r="A67" s="6"/>
      <c r="B67" s="6"/>
      <c r="C67" s="6">
        <f>9*7.1/2</f>
        <v>31.95</v>
      </c>
      <c r="D67" s="6" t="s">
        <v>96</v>
      </c>
      <c r="E67" s="6" t="s">
        <v>108</v>
      </c>
      <c r="F67" s="6"/>
      <c r="G67" s="6"/>
      <c r="H67" s="6"/>
      <c r="I67" s="6"/>
      <c r="L67" s="9"/>
      <c r="M67" s="9"/>
      <c r="N67" s="9">
        <f>9*N36/2</f>
        <v>33.75</v>
      </c>
      <c r="O67" s="9" t="s">
        <v>96</v>
      </c>
      <c r="P67" s="9" t="s">
        <v>108</v>
      </c>
      <c r="Q67" s="9"/>
      <c r="R67" s="9"/>
      <c r="S67" s="9"/>
      <c r="T67" s="9"/>
    </row>
    <row r="68" spans="1:20" ht="15" x14ac:dyDescent="0.25">
      <c r="A68" s="6"/>
      <c r="B68" s="6"/>
      <c r="C68" s="6"/>
      <c r="D68" s="6"/>
      <c r="E68" s="6"/>
      <c r="F68" s="6"/>
      <c r="G68" s="6"/>
      <c r="H68" s="6"/>
      <c r="I68" s="6"/>
      <c r="L68" s="9"/>
      <c r="M68" s="9"/>
      <c r="N68" s="9"/>
      <c r="O68" s="9"/>
      <c r="P68" s="9"/>
      <c r="Q68" s="9"/>
      <c r="R68" s="9"/>
      <c r="S68" s="9"/>
      <c r="T68" s="9"/>
    </row>
    <row r="69" spans="1:20" ht="15" x14ac:dyDescent="0.25">
      <c r="A69" s="6" t="s">
        <v>109</v>
      </c>
      <c r="B69" s="6"/>
      <c r="C69" s="6"/>
      <c r="D69" s="6"/>
      <c r="E69" s="6"/>
      <c r="F69" s="6"/>
      <c r="G69" s="6"/>
      <c r="H69" s="6"/>
      <c r="I69" s="6"/>
      <c r="L69" s="9" t="s">
        <v>109</v>
      </c>
      <c r="M69" s="9"/>
      <c r="N69" s="9"/>
      <c r="O69" s="9"/>
      <c r="P69" s="9"/>
      <c r="Q69" s="9"/>
      <c r="R69" s="9"/>
      <c r="S69" s="9"/>
      <c r="T69" s="9"/>
    </row>
    <row r="70" spans="1:20" ht="15" x14ac:dyDescent="0.25">
      <c r="A70" s="6"/>
      <c r="B70" s="6"/>
      <c r="C70" s="6"/>
      <c r="D70" s="6"/>
      <c r="E70" s="6"/>
      <c r="F70" s="6"/>
      <c r="G70" s="6"/>
      <c r="H70" s="6"/>
      <c r="I70" s="6"/>
      <c r="L70" s="9"/>
      <c r="M70" s="9"/>
      <c r="N70" s="9"/>
      <c r="O70" s="9"/>
      <c r="P70" s="9"/>
      <c r="Q70" s="9"/>
      <c r="R70" s="9"/>
      <c r="S70" s="9"/>
      <c r="T70" s="9"/>
    </row>
    <row r="71" spans="1:20" ht="18" x14ac:dyDescent="0.25">
      <c r="A71" s="6"/>
      <c r="B71" s="6" t="s">
        <v>110</v>
      </c>
      <c r="C71" s="111">
        <f>(C30+B6*(C66/13000))/(C59*0.82)</f>
        <v>49.928479825933422</v>
      </c>
      <c r="D71" s="6" t="s">
        <v>409</v>
      </c>
      <c r="E71" s="6" t="s">
        <v>107</v>
      </c>
      <c r="F71" s="6"/>
      <c r="G71" s="6"/>
      <c r="H71" s="6"/>
      <c r="I71" s="6"/>
      <c r="L71" s="9"/>
      <c r="M71" s="9" t="s">
        <v>110</v>
      </c>
      <c r="N71" s="84">
        <f>(N30+M6*(N66/13000))/(N59*0.82)</f>
        <v>50.402200017301752</v>
      </c>
      <c r="O71" s="9" t="s">
        <v>409</v>
      </c>
      <c r="P71" s="9" t="s">
        <v>107</v>
      </c>
      <c r="Q71" s="9"/>
      <c r="R71" s="9"/>
      <c r="S71" s="9"/>
      <c r="T71" s="9"/>
    </row>
    <row r="72" spans="1:20" ht="18" x14ac:dyDescent="0.25">
      <c r="A72" s="6"/>
      <c r="B72" s="6"/>
      <c r="C72" s="111">
        <f>(C30+B6*(C67/13000))/(C59*0.82)</f>
        <v>33.521951363250437</v>
      </c>
      <c r="D72" s="6" t="s">
        <v>409</v>
      </c>
      <c r="E72" s="6" t="s">
        <v>108</v>
      </c>
      <c r="F72" s="6"/>
      <c r="G72" s="6"/>
      <c r="H72" s="6"/>
      <c r="I72" s="6"/>
      <c r="L72" s="9"/>
      <c r="M72" s="9"/>
      <c r="N72" s="84">
        <f>(N30+M6*(N67/13000))/(N59*0.82)</f>
        <v>33.932096606138771</v>
      </c>
      <c r="O72" s="9" t="s">
        <v>409</v>
      </c>
      <c r="P72" s="9" t="s">
        <v>108</v>
      </c>
      <c r="Q72" s="9"/>
      <c r="R72" s="9"/>
      <c r="S72" s="9"/>
      <c r="T72" s="9"/>
    </row>
    <row r="73" spans="1:20" ht="15" x14ac:dyDescent="0.25">
      <c r="A73" s="6"/>
      <c r="B73" s="6"/>
      <c r="C73" s="6"/>
      <c r="D73" s="6"/>
      <c r="E73" s="6"/>
      <c r="F73" s="6"/>
      <c r="G73" s="6"/>
      <c r="H73" s="6"/>
      <c r="I73" s="6"/>
      <c r="L73" s="9"/>
      <c r="M73" s="9"/>
      <c r="N73" s="9"/>
      <c r="O73" s="9"/>
      <c r="P73" s="9"/>
      <c r="Q73" s="9"/>
      <c r="R73" s="9"/>
      <c r="S73" s="9"/>
      <c r="T73" s="9"/>
    </row>
    <row r="74" spans="1:20" ht="18" customHeight="1" x14ac:dyDescent="0.2">
      <c r="A74" s="11" t="s">
        <v>111</v>
      </c>
      <c r="B74" s="11"/>
      <c r="C74" s="11"/>
      <c r="D74" s="11"/>
      <c r="E74" s="11"/>
      <c r="F74" s="11"/>
      <c r="G74" s="11"/>
      <c r="H74" s="11"/>
      <c r="I74" s="11"/>
      <c r="L74" s="33" t="s">
        <v>111</v>
      </c>
      <c r="M74" s="33"/>
      <c r="N74" s="33"/>
      <c r="O74" s="33"/>
      <c r="P74" s="33"/>
      <c r="Q74" s="33"/>
      <c r="R74" s="33"/>
      <c r="S74" s="33"/>
      <c r="T74" s="33"/>
    </row>
    <row r="75" spans="1:20" x14ac:dyDescent="0.2">
      <c r="A75" s="11"/>
      <c r="B75" s="11"/>
      <c r="C75" s="11"/>
      <c r="D75" s="11"/>
      <c r="E75" s="11"/>
      <c r="F75" s="11"/>
      <c r="G75" s="11"/>
      <c r="H75" s="11"/>
      <c r="I75" s="11"/>
      <c r="L75" s="33"/>
      <c r="M75" s="33"/>
      <c r="N75" s="33"/>
      <c r="O75" s="33"/>
      <c r="P75" s="33"/>
      <c r="Q75" s="33"/>
      <c r="R75" s="33"/>
      <c r="S75" s="33"/>
      <c r="T75" s="33"/>
    </row>
    <row r="76" spans="1:20" ht="15" x14ac:dyDescent="0.25">
      <c r="A76" s="6"/>
      <c r="B76" s="6"/>
      <c r="C76" s="6"/>
      <c r="D76" s="6"/>
      <c r="E76" s="6"/>
      <c r="F76" s="6"/>
      <c r="G76" s="6"/>
      <c r="H76" s="6"/>
      <c r="I76" s="6"/>
      <c r="L76" s="9"/>
      <c r="M76" s="9"/>
      <c r="N76" s="9"/>
      <c r="O76" s="9"/>
      <c r="P76" s="9"/>
      <c r="Q76" s="9"/>
      <c r="R76" s="9"/>
      <c r="S76" s="9"/>
      <c r="T76" s="9"/>
    </row>
    <row r="77" spans="1:20" ht="18" x14ac:dyDescent="0.25">
      <c r="A77" s="6"/>
      <c r="B77" s="6" t="s">
        <v>112</v>
      </c>
      <c r="C77" s="111">
        <f>B6/(C52*0.82)</f>
        <v>9.214140109172364</v>
      </c>
      <c r="D77" s="6" t="s">
        <v>409</v>
      </c>
      <c r="E77" s="6"/>
      <c r="F77" s="6"/>
      <c r="G77" s="6"/>
      <c r="H77" s="6"/>
      <c r="I77" s="6"/>
      <c r="L77" s="9"/>
      <c r="M77" s="9" t="s">
        <v>112</v>
      </c>
      <c r="N77" s="84">
        <f>M6/(N52*0.82)</f>
        <v>9.1646017214886406</v>
      </c>
      <c r="O77" s="9" t="s">
        <v>409</v>
      </c>
      <c r="P77" s="9" t="s">
        <v>679</v>
      </c>
      <c r="Q77" s="9"/>
      <c r="R77" s="9"/>
      <c r="S77" s="9"/>
      <c r="T77" s="9"/>
    </row>
    <row r="78" spans="1:20" ht="15" x14ac:dyDescent="0.25">
      <c r="A78" s="6"/>
      <c r="B78" s="6"/>
      <c r="C78" s="6"/>
      <c r="D78" s="6"/>
      <c r="E78" s="6"/>
      <c r="F78" s="6"/>
      <c r="G78" s="6"/>
      <c r="H78" s="6"/>
      <c r="I78" s="6"/>
      <c r="L78" s="9"/>
      <c r="M78" s="9"/>
      <c r="N78" s="9"/>
      <c r="O78" s="9"/>
      <c r="P78" s="9"/>
      <c r="Q78" s="9"/>
      <c r="R78" s="9"/>
      <c r="S78" s="9"/>
      <c r="T78" s="9"/>
    </row>
    <row r="79" spans="1:20" ht="15" x14ac:dyDescent="0.25">
      <c r="A79" s="6"/>
      <c r="B79" s="6" t="s">
        <v>113</v>
      </c>
      <c r="C79" s="111">
        <f>C77/C71</f>
        <v>0.18454677853793647</v>
      </c>
      <c r="D79" s="6" t="s">
        <v>114</v>
      </c>
      <c r="E79" s="6"/>
      <c r="F79" s="6"/>
      <c r="G79" s="6"/>
      <c r="H79" s="6"/>
      <c r="I79" s="6"/>
      <c r="L79" s="9"/>
      <c r="M79" s="9" t="s">
        <v>113</v>
      </c>
      <c r="N79" s="84">
        <f>N77/N71</f>
        <v>0.18182939868384065</v>
      </c>
      <c r="O79" s="9" t="s">
        <v>114</v>
      </c>
      <c r="P79" s="9"/>
      <c r="Q79" s="9"/>
      <c r="R79" s="9"/>
      <c r="S79" s="9"/>
      <c r="T79" s="9"/>
    </row>
    <row r="80" spans="1:20" ht="15" x14ac:dyDescent="0.25">
      <c r="A80" s="6"/>
      <c r="B80" s="6"/>
      <c r="C80" s="111">
        <f>C77/C72</f>
        <v>0.2748688466648655</v>
      </c>
      <c r="D80" s="6" t="s">
        <v>115</v>
      </c>
      <c r="E80" s="6"/>
      <c r="F80" s="6"/>
      <c r="G80" s="6"/>
      <c r="H80" s="6"/>
      <c r="I80" s="6"/>
      <c r="L80" s="9"/>
      <c r="M80" s="9"/>
      <c r="N80" s="84">
        <f>N77/N72</f>
        <v>0.27008651507347886</v>
      </c>
      <c r="O80" s="9" t="s">
        <v>115</v>
      </c>
      <c r="P80" s="9"/>
      <c r="Q80" s="9"/>
      <c r="R80" s="9"/>
      <c r="S80" s="9"/>
      <c r="T80" s="9"/>
    </row>
    <row r="81" spans="1:20" ht="15" x14ac:dyDescent="0.25">
      <c r="A81" s="6"/>
      <c r="B81" s="6"/>
      <c r="C81" s="6"/>
      <c r="D81" s="6"/>
      <c r="E81" s="6"/>
      <c r="F81" s="6"/>
      <c r="G81" s="6"/>
      <c r="H81" s="6"/>
      <c r="I81" s="6"/>
      <c r="L81" s="9"/>
      <c r="M81" s="9"/>
      <c r="N81" s="9"/>
      <c r="O81" s="9"/>
      <c r="P81" s="9"/>
      <c r="Q81" s="9"/>
      <c r="R81" s="9"/>
      <c r="S81" s="9"/>
      <c r="T81" s="9"/>
    </row>
    <row r="82" spans="1:20" ht="15" x14ac:dyDescent="0.25">
      <c r="A82" s="6" t="s">
        <v>116</v>
      </c>
      <c r="B82" s="6"/>
      <c r="C82" s="6"/>
      <c r="D82" s="6"/>
      <c r="E82" s="6"/>
      <c r="F82" s="6"/>
      <c r="G82" s="6"/>
      <c r="H82" s="6"/>
      <c r="I82" s="6"/>
      <c r="L82" s="9" t="s">
        <v>116</v>
      </c>
      <c r="M82" s="9"/>
      <c r="N82" s="9"/>
      <c r="O82" s="9"/>
      <c r="P82" s="9"/>
      <c r="Q82" s="9"/>
      <c r="R82" s="9"/>
      <c r="S82" s="9"/>
      <c r="T82" s="9"/>
    </row>
    <row r="83" spans="1:20" ht="15" x14ac:dyDescent="0.25">
      <c r="A83" s="6"/>
      <c r="B83" s="6"/>
      <c r="C83" s="6"/>
      <c r="D83" s="6"/>
      <c r="E83" s="6"/>
      <c r="F83" s="6"/>
      <c r="G83" s="6"/>
      <c r="H83" s="6"/>
      <c r="I83" s="6"/>
      <c r="L83" s="9"/>
      <c r="M83" s="9"/>
      <c r="N83" s="9"/>
      <c r="O83" s="9"/>
      <c r="P83" s="9"/>
      <c r="Q83" s="9"/>
      <c r="R83" s="9"/>
      <c r="S83" s="9"/>
      <c r="T83" s="9"/>
    </row>
    <row r="84" spans="1:20" ht="15" x14ac:dyDescent="0.25">
      <c r="A84" s="6" t="s">
        <v>120</v>
      </c>
      <c r="B84" s="6"/>
      <c r="C84" s="6"/>
      <c r="D84" s="6"/>
      <c r="E84" s="6"/>
      <c r="F84" s="6"/>
      <c r="G84" s="6"/>
      <c r="H84" s="6"/>
      <c r="I84" s="6"/>
      <c r="L84" s="9" t="s">
        <v>120</v>
      </c>
      <c r="M84" s="9"/>
      <c r="N84" s="9"/>
      <c r="O84" s="9"/>
      <c r="P84" s="9"/>
      <c r="Q84" s="9"/>
      <c r="R84" s="9"/>
      <c r="S84" s="9"/>
      <c r="T84" s="9"/>
    </row>
    <row r="85" spans="1:20" ht="15" x14ac:dyDescent="0.25">
      <c r="A85" s="6"/>
      <c r="B85" s="6"/>
      <c r="C85" s="6"/>
      <c r="D85" s="6"/>
      <c r="E85" s="6"/>
      <c r="F85" s="6"/>
      <c r="G85" s="6"/>
      <c r="H85" s="6"/>
      <c r="I85" s="6"/>
      <c r="L85" s="9"/>
      <c r="M85" s="9"/>
      <c r="N85" s="9"/>
      <c r="O85" s="9"/>
      <c r="P85" s="9"/>
      <c r="Q85" s="9"/>
      <c r="R85" s="9"/>
      <c r="S85" s="9"/>
      <c r="T85" s="9"/>
    </row>
    <row r="86" spans="1:20" ht="18" x14ac:dyDescent="0.25">
      <c r="A86" s="6"/>
      <c r="B86" s="6" t="s">
        <v>117</v>
      </c>
      <c r="C86" s="111">
        <f>C71+2*C77</f>
        <v>68.356760044278147</v>
      </c>
      <c r="D86" s="6" t="s">
        <v>409</v>
      </c>
      <c r="E86" s="6" t="s">
        <v>107</v>
      </c>
      <c r="F86" s="6"/>
      <c r="G86" s="6"/>
      <c r="H86" s="6"/>
      <c r="I86" s="6"/>
      <c r="L86" s="9"/>
      <c r="M86" s="9" t="s">
        <v>117</v>
      </c>
      <c r="N86" s="84">
        <f>N71+2*N77</f>
        <v>68.73140346027904</v>
      </c>
      <c r="O86" s="9" t="s">
        <v>409</v>
      </c>
      <c r="P86" s="9" t="s">
        <v>107</v>
      </c>
      <c r="Q86" s="9"/>
      <c r="R86" s="9"/>
      <c r="S86" s="9"/>
      <c r="T86" s="9"/>
    </row>
    <row r="87" spans="1:20" ht="18" x14ac:dyDescent="0.25">
      <c r="A87" s="6"/>
      <c r="B87" s="6"/>
      <c r="C87" s="111">
        <f>C72+2*C77</f>
        <v>51.950231581595162</v>
      </c>
      <c r="D87" s="6" t="s">
        <v>409</v>
      </c>
      <c r="E87" s="6" t="s">
        <v>108</v>
      </c>
      <c r="F87" s="6"/>
      <c r="G87" s="6"/>
      <c r="H87" s="6"/>
      <c r="I87" s="6"/>
      <c r="L87" s="9"/>
      <c r="M87" s="9"/>
      <c r="N87" s="84">
        <f>N72+2*N77</f>
        <v>52.261300049116052</v>
      </c>
      <c r="O87" s="9" t="s">
        <v>409</v>
      </c>
      <c r="P87" s="9" t="s">
        <v>108</v>
      </c>
      <c r="Q87" s="9"/>
      <c r="R87" s="9"/>
      <c r="S87" s="9"/>
      <c r="T87" s="9"/>
    </row>
    <row r="88" spans="1:20" ht="15" x14ac:dyDescent="0.25">
      <c r="A88" s="6"/>
      <c r="B88" s="6"/>
      <c r="C88" s="6"/>
      <c r="D88" s="6"/>
      <c r="E88" s="6"/>
      <c r="F88" s="6"/>
      <c r="G88" s="6"/>
      <c r="H88" s="6"/>
      <c r="I88" s="6"/>
      <c r="L88" s="9"/>
      <c r="M88" s="9"/>
      <c r="N88" s="9"/>
      <c r="O88" s="9"/>
      <c r="P88" s="9"/>
      <c r="Q88" s="9"/>
      <c r="R88" s="9"/>
      <c r="S88" s="9"/>
      <c r="T88" s="9"/>
    </row>
    <row r="89" spans="1:20" ht="15" x14ac:dyDescent="0.25">
      <c r="A89" s="6" t="s">
        <v>118</v>
      </c>
      <c r="B89" s="6"/>
      <c r="C89" s="6"/>
      <c r="D89" s="6"/>
      <c r="E89" s="6"/>
      <c r="F89" s="6"/>
      <c r="G89" s="6"/>
      <c r="H89" s="6"/>
      <c r="I89" s="6"/>
      <c r="L89" s="9" t="s">
        <v>118</v>
      </c>
      <c r="M89" s="9"/>
      <c r="N89" s="9"/>
      <c r="O89" s="9"/>
      <c r="P89" s="9"/>
      <c r="Q89" s="9"/>
      <c r="R89" s="9"/>
      <c r="S89" s="9"/>
      <c r="T89" s="9"/>
    </row>
    <row r="90" spans="1:20" ht="15" x14ac:dyDescent="0.25">
      <c r="A90" s="6"/>
      <c r="B90" s="6"/>
      <c r="C90" s="6"/>
      <c r="D90" s="6"/>
      <c r="E90" s="6"/>
      <c r="F90" s="6"/>
      <c r="G90" s="6"/>
      <c r="H90" s="6"/>
      <c r="I90" s="6"/>
      <c r="L90" s="9"/>
      <c r="M90" s="9"/>
      <c r="N90" s="9"/>
      <c r="O90" s="9"/>
      <c r="P90" s="9"/>
      <c r="Q90" s="9"/>
      <c r="R90" s="9"/>
      <c r="S90" s="9"/>
      <c r="T90" s="9"/>
    </row>
    <row r="91" spans="1:20" ht="18" x14ac:dyDescent="0.25">
      <c r="A91" s="6"/>
      <c r="B91" s="6" t="s">
        <v>117</v>
      </c>
      <c r="C91" s="6">
        <f>C30/(0.78*C59*0.82)</f>
        <v>29.876731157895389</v>
      </c>
      <c r="D91" s="6" t="s">
        <v>409</v>
      </c>
      <c r="E91" s="6"/>
      <c r="F91" s="6"/>
      <c r="G91" s="6"/>
      <c r="H91" s="6"/>
      <c r="I91" s="6"/>
      <c r="L91" s="9"/>
      <c r="M91" s="9" t="s">
        <v>117</v>
      </c>
      <c r="N91" s="9">
        <f>N30/(0.78*N59*0.82)</f>
        <v>29.73169848237163</v>
      </c>
      <c r="O91" s="9" t="s">
        <v>409</v>
      </c>
      <c r="P91" s="9"/>
      <c r="Q91" s="9"/>
      <c r="R91" s="9"/>
      <c r="S91" s="9"/>
      <c r="T91" s="9"/>
    </row>
    <row r="92" spans="1:20" ht="15" x14ac:dyDescent="0.25">
      <c r="A92" s="6"/>
      <c r="B92" s="6"/>
      <c r="C92" s="6"/>
      <c r="D92" s="6"/>
      <c r="E92" s="6"/>
      <c r="F92" s="6"/>
      <c r="G92" s="6"/>
      <c r="H92" s="6"/>
      <c r="I92" s="6"/>
      <c r="L92" s="9"/>
      <c r="M92" s="9"/>
      <c r="N92" s="9"/>
      <c r="O92" s="9"/>
      <c r="P92" s="9"/>
      <c r="Q92" s="9"/>
      <c r="R92" s="9"/>
      <c r="S92" s="9"/>
      <c r="T92" s="9"/>
    </row>
    <row r="93" spans="1:20" ht="15" x14ac:dyDescent="0.25">
      <c r="A93" s="6" t="s">
        <v>119</v>
      </c>
      <c r="B93" s="6"/>
      <c r="C93" s="6"/>
      <c r="D93" s="6"/>
      <c r="E93" s="6"/>
      <c r="F93" s="6"/>
      <c r="G93" s="6"/>
      <c r="H93" s="6"/>
      <c r="I93" s="6"/>
      <c r="L93" s="9" t="s">
        <v>119</v>
      </c>
      <c r="M93" s="9"/>
      <c r="N93" s="9"/>
      <c r="O93" s="9"/>
      <c r="P93" s="9"/>
      <c r="Q93" s="9"/>
      <c r="R93" s="9"/>
      <c r="S93" s="9"/>
      <c r="T93" s="9"/>
    </row>
    <row r="94" spans="1:20" ht="15" x14ac:dyDescent="0.25">
      <c r="A94" s="6" t="s">
        <v>121</v>
      </c>
      <c r="B94" s="6"/>
      <c r="C94" s="6"/>
      <c r="D94" s="6"/>
      <c r="E94" s="6"/>
      <c r="F94" s="6"/>
      <c r="G94" s="6"/>
      <c r="H94" s="6"/>
      <c r="I94" s="6"/>
      <c r="L94" s="9" t="s">
        <v>121</v>
      </c>
      <c r="M94" s="9"/>
      <c r="N94" s="9"/>
      <c r="O94" s="9"/>
      <c r="P94" s="9"/>
      <c r="Q94" s="9"/>
      <c r="R94" s="9"/>
      <c r="S94" s="9"/>
      <c r="T94" s="9"/>
    </row>
    <row r="95" spans="1:20" ht="15" x14ac:dyDescent="0.25">
      <c r="A95" s="6"/>
      <c r="B95" s="6"/>
      <c r="C95" s="6"/>
      <c r="D95" s="6"/>
      <c r="E95" s="6"/>
      <c r="F95" s="6"/>
      <c r="G95" s="6"/>
      <c r="H95" s="6"/>
      <c r="I95" s="6"/>
      <c r="L95" s="9"/>
      <c r="M95" s="9"/>
      <c r="N95" s="9"/>
      <c r="O95" s="9"/>
      <c r="P95" s="9"/>
      <c r="Q95" s="9"/>
      <c r="R95" s="9"/>
      <c r="S95" s="9"/>
      <c r="T95" s="9"/>
    </row>
    <row r="96" spans="1:20" ht="15" x14ac:dyDescent="0.25">
      <c r="A96" s="6"/>
      <c r="B96" s="6" t="s">
        <v>90</v>
      </c>
      <c r="C96" s="111">
        <f>SQRT(C86/0.7854)</f>
        <v>9.3292189659280922</v>
      </c>
      <c r="D96" s="6" t="s">
        <v>96</v>
      </c>
      <c r="E96" s="6" t="s">
        <v>107</v>
      </c>
      <c r="F96" s="6"/>
      <c r="G96" s="6"/>
      <c r="H96" s="6"/>
      <c r="I96" s="6"/>
      <c r="L96" s="9"/>
      <c r="M96" s="9" t="s">
        <v>90</v>
      </c>
      <c r="N96" s="84">
        <f>SQRT(N86/0.7854)</f>
        <v>9.354749393286987</v>
      </c>
      <c r="O96" s="9" t="s">
        <v>96</v>
      </c>
      <c r="P96" s="9" t="s">
        <v>107</v>
      </c>
      <c r="Q96" s="9"/>
      <c r="R96" s="9"/>
      <c r="S96" s="9"/>
      <c r="T96" s="9"/>
    </row>
    <row r="97" spans="1:20" ht="15" x14ac:dyDescent="0.25">
      <c r="A97" s="6"/>
      <c r="B97" s="6"/>
      <c r="C97" s="111">
        <f>SQRT(C87/0.7854)</f>
        <v>8.1329536167499885</v>
      </c>
      <c r="D97" s="6" t="s">
        <v>96</v>
      </c>
      <c r="E97" s="6" t="s">
        <v>108</v>
      </c>
      <c r="F97" s="6"/>
      <c r="G97" s="6"/>
      <c r="H97" s="6"/>
      <c r="I97" s="6"/>
      <c r="L97" s="9"/>
      <c r="M97" s="9"/>
      <c r="N97" s="84">
        <f>SQRT(N87/0.7854)</f>
        <v>8.1572665936577771</v>
      </c>
      <c r="O97" s="9" t="s">
        <v>96</v>
      </c>
      <c r="P97" s="9" t="s">
        <v>108</v>
      </c>
      <c r="Q97" s="9"/>
      <c r="R97" s="9"/>
      <c r="S97" s="9"/>
      <c r="T97" s="9"/>
    </row>
    <row r="98" spans="1:20" ht="15" x14ac:dyDescent="0.25">
      <c r="A98" s="6"/>
      <c r="B98" s="6"/>
      <c r="C98" s="6"/>
      <c r="D98" s="6"/>
      <c r="E98" s="6"/>
      <c r="F98" s="6"/>
      <c r="G98" s="6"/>
      <c r="H98" s="6"/>
      <c r="I98" s="6"/>
      <c r="L98" s="9"/>
      <c r="M98" s="9"/>
      <c r="N98" s="9"/>
      <c r="O98" s="9"/>
      <c r="P98" s="9"/>
      <c r="Q98" s="9"/>
      <c r="R98" s="9"/>
      <c r="S98" s="9"/>
      <c r="T98" s="9"/>
    </row>
    <row r="99" spans="1:20" ht="15" x14ac:dyDescent="0.25">
      <c r="A99" s="6" t="s">
        <v>122</v>
      </c>
      <c r="B99" s="6"/>
      <c r="C99" s="6"/>
      <c r="D99" s="6"/>
      <c r="E99" s="6"/>
      <c r="F99" s="6"/>
      <c r="G99" s="6"/>
      <c r="H99" s="6"/>
      <c r="I99" s="6"/>
      <c r="L99" s="9" t="s">
        <v>122</v>
      </c>
      <c r="M99" s="9"/>
      <c r="N99" s="9"/>
      <c r="O99" s="9"/>
      <c r="P99" s="9"/>
      <c r="Q99" s="9"/>
      <c r="R99" s="9"/>
      <c r="S99" s="9"/>
      <c r="T99" s="9"/>
    </row>
    <row r="100" spans="1:20" ht="15" x14ac:dyDescent="0.25">
      <c r="A100" s="6"/>
      <c r="B100" s="6"/>
      <c r="C100" s="6"/>
      <c r="D100" s="6"/>
      <c r="E100" s="6"/>
      <c r="F100" s="6"/>
      <c r="G100" s="6"/>
      <c r="H100" s="6"/>
      <c r="I100" s="6"/>
      <c r="L100" s="9"/>
      <c r="M100" s="9"/>
      <c r="N100" s="9"/>
      <c r="O100" s="9"/>
      <c r="P100" s="9"/>
      <c r="Q100" s="9"/>
      <c r="R100" s="9"/>
      <c r="S100" s="9"/>
      <c r="T100" s="9"/>
    </row>
    <row r="101" spans="1:20" s="183" customFormat="1" ht="57" x14ac:dyDescent="0.2">
      <c r="A101" s="180"/>
      <c r="B101" s="180"/>
      <c r="C101" s="181" t="s">
        <v>123</v>
      </c>
      <c r="D101" s="182" t="s">
        <v>126</v>
      </c>
      <c r="E101" s="181" t="s">
        <v>124</v>
      </c>
      <c r="F101" s="180"/>
      <c r="G101" s="180"/>
      <c r="H101" s="180"/>
      <c r="I101" s="180"/>
      <c r="L101" s="184"/>
      <c r="M101" s="184"/>
      <c r="N101" s="185" t="s">
        <v>123</v>
      </c>
      <c r="O101" s="185" t="s">
        <v>126</v>
      </c>
      <c r="P101" s="185" t="s">
        <v>124</v>
      </c>
      <c r="Q101" s="184"/>
      <c r="R101" s="184"/>
      <c r="S101" s="184"/>
      <c r="T101" s="184"/>
    </row>
    <row r="102" spans="1:20" ht="15" x14ac:dyDescent="0.25">
      <c r="A102" s="6"/>
      <c r="B102" s="6"/>
      <c r="C102" s="6" t="s">
        <v>125</v>
      </c>
      <c r="D102" s="6" t="s">
        <v>127</v>
      </c>
      <c r="E102" s="175">
        <f>C24</f>
        <v>101.7790898273611</v>
      </c>
      <c r="F102" s="6"/>
      <c r="G102" s="6"/>
      <c r="H102" s="6"/>
      <c r="I102" s="6"/>
      <c r="L102" s="9"/>
      <c r="M102" s="9"/>
      <c r="N102" s="9" t="s">
        <v>125</v>
      </c>
      <c r="O102" s="9" t="s">
        <v>127</v>
      </c>
      <c r="P102" s="176">
        <f>N24</f>
        <v>101.18562068753765</v>
      </c>
      <c r="Q102" s="9"/>
      <c r="R102" s="9"/>
      <c r="S102" s="9"/>
      <c r="T102" s="9"/>
    </row>
    <row r="103" spans="1:20" ht="15" x14ac:dyDescent="0.25">
      <c r="A103" s="6"/>
      <c r="B103" s="6"/>
      <c r="C103" s="6" t="s">
        <v>128</v>
      </c>
      <c r="D103" s="6">
        <v>1</v>
      </c>
      <c r="E103" s="6">
        <f>C35</f>
        <v>111</v>
      </c>
      <c r="F103" s="6"/>
      <c r="G103" s="6"/>
      <c r="H103" s="6"/>
      <c r="I103" s="6"/>
      <c r="L103" s="9"/>
      <c r="M103" s="9"/>
      <c r="N103" s="9" t="s">
        <v>128</v>
      </c>
      <c r="O103" s="9">
        <v>1</v>
      </c>
      <c r="P103" s="9">
        <f>N35</f>
        <v>114</v>
      </c>
      <c r="Q103" s="9"/>
      <c r="R103" s="9"/>
      <c r="S103" s="9"/>
      <c r="T103" s="9"/>
    </row>
    <row r="104" spans="1:20" ht="15" x14ac:dyDescent="0.25">
      <c r="A104" s="6"/>
      <c r="B104" s="6"/>
      <c r="C104" s="6" t="s">
        <v>128</v>
      </c>
      <c r="D104" s="6">
        <v>2</v>
      </c>
      <c r="E104" s="175">
        <f>C37</f>
        <v>85.199999999999989</v>
      </c>
      <c r="F104" s="6"/>
      <c r="G104" s="6"/>
      <c r="H104" s="6"/>
      <c r="I104" s="6"/>
      <c r="L104" s="9"/>
      <c r="M104" s="9"/>
      <c r="N104" s="9" t="s">
        <v>128</v>
      </c>
      <c r="O104" s="9">
        <v>2</v>
      </c>
      <c r="P104" s="176">
        <f>N37</f>
        <v>90</v>
      </c>
      <c r="Q104" s="9"/>
      <c r="R104" s="9"/>
      <c r="S104" s="9"/>
      <c r="T104" s="9"/>
    </row>
    <row r="105" spans="1:20" ht="15" x14ac:dyDescent="0.25">
      <c r="A105" s="6"/>
      <c r="B105" s="6"/>
      <c r="C105" s="6" t="s">
        <v>129</v>
      </c>
      <c r="D105" s="6">
        <v>1</v>
      </c>
      <c r="E105" s="175">
        <f>12*C96</f>
        <v>111.95062759113711</v>
      </c>
      <c r="F105" s="6"/>
      <c r="G105" s="6"/>
      <c r="H105" s="6"/>
      <c r="I105" s="6"/>
      <c r="L105" s="9"/>
      <c r="M105" s="9"/>
      <c r="N105" s="9" t="s">
        <v>129</v>
      </c>
      <c r="O105" s="9">
        <v>1</v>
      </c>
      <c r="P105" s="176">
        <f>12*N96</f>
        <v>112.25699271944384</v>
      </c>
      <c r="Q105" s="9"/>
      <c r="R105" s="9"/>
      <c r="S105" s="9"/>
      <c r="T105" s="9"/>
    </row>
    <row r="106" spans="1:20" ht="15" x14ac:dyDescent="0.25">
      <c r="A106" s="6"/>
      <c r="B106" s="6"/>
      <c r="C106" s="6" t="s">
        <v>130</v>
      </c>
      <c r="D106" s="6">
        <v>2</v>
      </c>
      <c r="E106" s="175">
        <f>12*C97</f>
        <v>97.595443400999869</v>
      </c>
      <c r="F106" s="6"/>
      <c r="G106" s="6"/>
      <c r="H106" s="6"/>
      <c r="I106" s="6"/>
      <c r="L106" s="9"/>
      <c r="M106" s="9"/>
      <c r="N106" s="9" t="s">
        <v>130</v>
      </c>
      <c r="O106" s="9">
        <v>2</v>
      </c>
      <c r="P106" s="176">
        <f>12*N97</f>
        <v>97.887199123893325</v>
      </c>
      <c r="Q106" s="9"/>
      <c r="R106" s="9"/>
      <c r="S106" s="9"/>
      <c r="T106" s="9"/>
    </row>
    <row r="109" spans="1:20" ht="15" x14ac:dyDescent="0.25">
      <c r="A109" s="77" t="s">
        <v>718</v>
      </c>
    </row>
    <row r="110" spans="1:20" ht="15" x14ac:dyDescent="0.25">
      <c r="A110" s="77" t="s">
        <v>719</v>
      </c>
    </row>
    <row r="111" spans="1:20" ht="15" x14ac:dyDescent="0.25">
      <c r="A111" s="77" t="s">
        <v>720</v>
      </c>
    </row>
    <row r="112" spans="1:20" ht="15" x14ac:dyDescent="0.25">
      <c r="A112" s="77" t="s">
        <v>721</v>
      </c>
    </row>
    <row r="113" spans="1:1" ht="15" x14ac:dyDescent="0.25">
      <c r="A113" s="77" t="s">
        <v>722</v>
      </c>
    </row>
  </sheetData>
  <sheetProtection password="F030" sheet="1" objects="1" scenarios="1"/>
  <mergeCells count="3">
    <mergeCell ref="A74:I75"/>
    <mergeCell ref="L74:T75"/>
    <mergeCell ref="P30:Q30"/>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zoomScale="80" zoomScaleNormal="80" workbookViewId="0">
      <selection activeCell="S15" sqref="S15"/>
    </sheetView>
  </sheetViews>
  <sheetFormatPr defaultRowHeight="12.75" x14ac:dyDescent="0.2"/>
  <cols>
    <col min="1" max="16384" width="9.140625" style="7"/>
  </cols>
  <sheetData>
    <row r="1" spans="1:24" x14ac:dyDescent="0.2">
      <c r="A1" s="186" t="s">
        <v>494</v>
      </c>
      <c r="B1" s="187"/>
      <c r="C1" s="187"/>
      <c r="D1" s="187"/>
      <c r="E1" s="187"/>
      <c r="F1" s="187"/>
      <c r="G1" s="187"/>
      <c r="H1" s="187"/>
      <c r="I1" s="187"/>
      <c r="J1" s="187"/>
      <c r="M1" s="188" t="s">
        <v>652</v>
      </c>
      <c r="N1" s="10"/>
      <c r="O1" s="10"/>
      <c r="P1" s="10"/>
      <c r="Q1" s="10"/>
      <c r="R1" s="10"/>
      <c r="S1" s="10"/>
      <c r="T1" s="10"/>
      <c r="U1" s="10"/>
      <c r="V1" s="10"/>
      <c r="W1" s="10"/>
      <c r="X1" s="10"/>
    </row>
    <row r="2" spans="1:24" ht="15" x14ac:dyDescent="0.25">
      <c r="A2" s="6" t="s">
        <v>258</v>
      </c>
      <c r="B2" s="6"/>
      <c r="C2" s="6"/>
      <c r="D2" s="6"/>
      <c r="E2" s="6"/>
      <c r="F2" s="6"/>
      <c r="G2" s="6"/>
      <c r="H2" s="6"/>
      <c r="I2" s="6"/>
      <c r="J2" s="6"/>
      <c r="M2" s="9" t="s">
        <v>479</v>
      </c>
      <c r="N2" s="9"/>
      <c r="O2" s="9"/>
      <c r="P2" s="9"/>
      <c r="Q2" s="9"/>
      <c r="R2" s="9"/>
      <c r="S2" s="9"/>
      <c r="T2" s="9"/>
      <c r="U2" s="9"/>
      <c r="V2" s="9"/>
      <c r="W2" s="10"/>
      <c r="X2" s="10"/>
    </row>
    <row r="3" spans="1:24" ht="15" x14ac:dyDescent="0.25">
      <c r="A3" s="6"/>
      <c r="B3" s="6"/>
      <c r="C3" s="6"/>
      <c r="D3" s="6"/>
      <c r="E3" s="6"/>
      <c r="F3" s="6"/>
      <c r="G3" s="6"/>
      <c r="H3" s="6"/>
      <c r="I3" s="6"/>
      <c r="J3" s="6"/>
      <c r="M3" s="82" t="s">
        <v>480</v>
      </c>
      <c r="N3" s="9"/>
      <c r="O3" s="9"/>
      <c r="P3" s="9"/>
      <c r="Q3" s="9"/>
      <c r="R3" s="9"/>
      <c r="S3" s="9"/>
      <c r="T3" s="9"/>
      <c r="U3" s="9"/>
      <c r="V3" s="9"/>
      <c r="W3" s="10"/>
      <c r="X3" s="10"/>
    </row>
    <row r="4" spans="1:24" ht="15" customHeight="1" x14ac:dyDescent="0.25">
      <c r="A4" s="11" t="s">
        <v>259</v>
      </c>
      <c r="B4" s="11"/>
      <c r="C4" s="11"/>
      <c r="D4" s="11"/>
      <c r="E4" s="11"/>
      <c r="F4" s="11"/>
      <c r="G4" s="11"/>
      <c r="H4" s="11"/>
      <c r="I4" s="6"/>
      <c r="J4" s="6"/>
      <c r="M4" s="33" t="s">
        <v>481</v>
      </c>
      <c r="N4" s="33"/>
      <c r="O4" s="33"/>
      <c r="P4" s="33"/>
      <c r="Q4" s="33"/>
      <c r="R4" s="33"/>
      <c r="S4" s="12"/>
      <c r="T4" s="12"/>
      <c r="U4" s="9"/>
      <c r="V4" s="9"/>
      <c r="W4" s="10"/>
      <c r="X4" s="10"/>
    </row>
    <row r="5" spans="1:24" ht="45.75" x14ac:dyDescent="0.3">
      <c r="A5" s="11"/>
      <c r="B5" s="11"/>
      <c r="C5" s="11"/>
      <c r="D5" s="11"/>
      <c r="E5" s="11"/>
      <c r="F5" s="11"/>
      <c r="G5" s="11"/>
      <c r="H5" s="11"/>
      <c r="I5" s="6"/>
      <c r="J5" s="6"/>
      <c r="M5" s="12"/>
      <c r="N5" s="12" t="s">
        <v>482</v>
      </c>
      <c r="O5" s="228">
        <v>120</v>
      </c>
      <c r="P5" s="12" t="s">
        <v>410</v>
      </c>
      <c r="Q5" s="12"/>
      <c r="R5" s="12"/>
      <c r="S5" s="12"/>
      <c r="T5" s="12" t="s">
        <v>680</v>
      </c>
      <c r="U5" s="9"/>
      <c r="V5" s="9"/>
      <c r="W5" s="10"/>
      <c r="X5" s="10"/>
    </row>
    <row r="6" spans="1:24" ht="16.5" x14ac:dyDescent="0.3">
      <c r="A6" s="6"/>
      <c r="B6" s="6"/>
      <c r="C6" s="6"/>
      <c r="D6" s="6"/>
      <c r="E6" s="6"/>
      <c r="F6" s="6"/>
      <c r="G6" s="6"/>
      <c r="H6" s="6"/>
      <c r="I6" s="6"/>
      <c r="J6" s="6"/>
      <c r="M6" s="9"/>
      <c r="N6" s="9" t="s">
        <v>483</v>
      </c>
      <c r="O6" s="233">
        <v>250</v>
      </c>
      <c r="P6" s="9" t="s">
        <v>410</v>
      </c>
      <c r="Q6" s="9"/>
      <c r="R6" s="9"/>
      <c r="S6" s="9"/>
      <c r="T6" s="9"/>
      <c r="U6" s="9"/>
      <c r="V6" s="9"/>
      <c r="W6" s="10"/>
      <c r="X6" s="10"/>
    </row>
    <row r="7" spans="1:24" ht="16.5" x14ac:dyDescent="0.3">
      <c r="A7" s="6"/>
      <c r="B7" s="6" t="s">
        <v>260</v>
      </c>
      <c r="C7" s="6"/>
      <c r="D7" s="6"/>
      <c r="E7" s="6"/>
      <c r="F7" s="6"/>
      <c r="G7" s="6"/>
      <c r="H7" s="6"/>
      <c r="I7" s="6"/>
      <c r="J7" s="6"/>
      <c r="M7" s="9"/>
      <c r="N7" s="9" t="s">
        <v>608</v>
      </c>
      <c r="O7" s="22">
        <f>O5</f>
        <v>120</v>
      </c>
      <c r="P7" s="22" t="s">
        <v>582</v>
      </c>
      <c r="Q7" s="22">
        <f>O6</f>
        <v>250</v>
      </c>
      <c r="R7" s="9" t="s">
        <v>607</v>
      </c>
      <c r="S7" s="9"/>
      <c r="T7" s="9"/>
      <c r="U7" s="9"/>
      <c r="V7" s="9"/>
      <c r="W7" s="10"/>
      <c r="X7" s="10"/>
    </row>
    <row r="8" spans="1:24" ht="15" x14ac:dyDescent="0.25">
      <c r="A8" s="6"/>
      <c r="B8" s="6"/>
      <c r="C8" s="6"/>
      <c r="D8" s="6"/>
      <c r="E8" s="6"/>
      <c r="F8" s="6"/>
      <c r="G8" s="6"/>
      <c r="H8" s="6"/>
      <c r="I8" s="6"/>
      <c r="J8" s="6"/>
      <c r="M8" s="9"/>
      <c r="N8" s="9"/>
      <c r="O8" s="9"/>
      <c r="P8" s="9"/>
      <c r="Q8" s="9"/>
      <c r="R8" s="9"/>
      <c r="S8" s="9"/>
      <c r="T8" s="9"/>
      <c r="U8" s="9"/>
      <c r="V8" s="9"/>
      <c r="W8" s="10"/>
      <c r="X8" s="10"/>
    </row>
    <row r="9" spans="1:24" ht="16.5" x14ac:dyDescent="0.3">
      <c r="A9" s="6"/>
      <c r="B9" s="6" t="s">
        <v>261</v>
      </c>
      <c r="C9" s="6">
        <f>AVERAGE(120,250)</f>
        <v>185</v>
      </c>
      <c r="D9" s="6" t="s">
        <v>410</v>
      </c>
      <c r="E9" s="6"/>
      <c r="F9" s="6"/>
      <c r="G9" s="6"/>
      <c r="H9" s="6"/>
      <c r="I9" s="6"/>
      <c r="J9" s="6"/>
      <c r="M9" s="9"/>
      <c r="N9" s="9" t="s">
        <v>484</v>
      </c>
      <c r="O9" s="9">
        <f>AVERAGE(O5:O6)</f>
        <v>185</v>
      </c>
      <c r="P9" s="9" t="s">
        <v>410</v>
      </c>
      <c r="Q9" s="9"/>
      <c r="R9" s="9"/>
      <c r="S9" s="9"/>
      <c r="T9" s="9"/>
      <c r="U9" s="9"/>
      <c r="V9" s="9"/>
      <c r="W9" s="10"/>
      <c r="X9" s="10"/>
    </row>
    <row r="10" spans="1:24" ht="15" x14ac:dyDescent="0.25">
      <c r="A10" s="6"/>
      <c r="B10" s="6"/>
      <c r="C10" s="6"/>
      <c r="D10" s="6"/>
      <c r="E10" s="6"/>
      <c r="F10" s="6"/>
      <c r="G10" s="6"/>
      <c r="H10" s="6"/>
      <c r="I10" s="6"/>
      <c r="J10" s="6"/>
      <c r="M10" s="9"/>
      <c r="N10" s="9"/>
      <c r="O10" s="9"/>
      <c r="P10" s="9"/>
      <c r="Q10" s="9"/>
      <c r="R10" s="9"/>
      <c r="S10" s="9"/>
      <c r="T10" s="9"/>
      <c r="U10" s="9"/>
      <c r="V10" s="9"/>
      <c r="W10" s="10"/>
      <c r="X10" s="10"/>
    </row>
    <row r="11" spans="1:24" ht="15" x14ac:dyDescent="0.25">
      <c r="A11" s="6" t="s">
        <v>411</v>
      </c>
      <c r="B11" s="6"/>
      <c r="C11" s="6"/>
      <c r="D11" s="6"/>
      <c r="E11" s="6"/>
      <c r="F11" s="6"/>
      <c r="G11" s="6"/>
      <c r="H11" s="6"/>
      <c r="I11" s="6"/>
      <c r="J11" s="6"/>
      <c r="M11" s="82" t="s">
        <v>487</v>
      </c>
      <c r="N11" s="9"/>
      <c r="O11" s="9"/>
      <c r="P11" s="9"/>
      <c r="Q11" s="9"/>
      <c r="R11" s="9"/>
      <c r="S11" s="9"/>
      <c r="T11" s="9"/>
      <c r="U11" s="9"/>
      <c r="V11" s="9"/>
      <c r="W11" s="10"/>
      <c r="X11" s="10"/>
    </row>
    <row r="12" spans="1:24" ht="15" x14ac:dyDescent="0.25">
      <c r="A12" s="6"/>
      <c r="B12" s="6"/>
      <c r="C12" s="6"/>
      <c r="D12" s="6"/>
      <c r="E12" s="6"/>
      <c r="F12" s="6"/>
      <c r="G12" s="6"/>
      <c r="H12" s="6"/>
      <c r="I12" s="6"/>
      <c r="J12" s="6"/>
      <c r="M12" s="9"/>
      <c r="N12" s="9"/>
      <c r="O12" s="9"/>
      <c r="P12" s="9"/>
      <c r="Q12" s="9"/>
      <c r="R12" s="9"/>
      <c r="S12" s="9"/>
      <c r="T12" s="9"/>
      <c r="U12" s="9"/>
      <c r="V12" s="9"/>
      <c r="W12" s="10"/>
      <c r="X12" s="10"/>
    </row>
    <row r="13" spans="1:24" ht="15" x14ac:dyDescent="0.25">
      <c r="A13" s="6"/>
      <c r="B13" s="6" t="s">
        <v>220</v>
      </c>
      <c r="C13" s="6">
        <v>7.5999999999999998E-2</v>
      </c>
      <c r="D13" s="6" t="s">
        <v>262</v>
      </c>
      <c r="E13" s="6"/>
      <c r="F13" s="6"/>
      <c r="G13" s="6"/>
      <c r="H13" s="6"/>
      <c r="I13" s="6"/>
      <c r="J13" s="6"/>
      <c r="M13" s="9"/>
      <c r="N13" s="189" t="s">
        <v>220</v>
      </c>
      <c r="O13" s="233">
        <v>7.5999999999999998E-2</v>
      </c>
      <c r="P13" s="9" t="s">
        <v>262</v>
      </c>
      <c r="Q13" s="9"/>
      <c r="R13" s="9"/>
      <c r="S13" s="9"/>
      <c r="T13" s="9"/>
      <c r="U13" s="9"/>
      <c r="V13" s="9"/>
      <c r="W13" s="10"/>
      <c r="X13" s="10"/>
    </row>
    <row r="14" spans="1:24" ht="15" x14ac:dyDescent="0.25">
      <c r="A14" s="6"/>
      <c r="B14" s="6" t="s">
        <v>215</v>
      </c>
      <c r="C14" s="6">
        <v>1.8540000000000001</v>
      </c>
      <c r="D14" s="6"/>
      <c r="E14" s="6"/>
      <c r="F14" s="6"/>
      <c r="G14" s="6"/>
      <c r="H14" s="6"/>
      <c r="I14" s="6"/>
      <c r="J14" s="6"/>
      <c r="M14" s="9"/>
      <c r="N14" s="83" t="s">
        <v>215</v>
      </c>
      <c r="O14" s="233">
        <v>1.8540000000000001</v>
      </c>
      <c r="P14" s="10"/>
      <c r="Q14" s="9" t="s">
        <v>695</v>
      </c>
      <c r="R14" s="9"/>
      <c r="S14" s="9"/>
      <c r="T14" s="9"/>
      <c r="U14" s="9"/>
      <c r="V14" s="9"/>
      <c r="W14" s="10"/>
      <c r="X14" s="10"/>
    </row>
    <row r="15" spans="1:24" ht="15" x14ac:dyDescent="0.25">
      <c r="A15" s="6"/>
      <c r="B15" s="6"/>
      <c r="C15" s="6"/>
      <c r="D15" s="6"/>
      <c r="E15" s="6"/>
      <c r="F15" s="6"/>
      <c r="G15" s="6"/>
      <c r="H15" s="6"/>
      <c r="I15" s="6"/>
      <c r="J15" s="6"/>
      <c r="M15" s="9"/>
      <c r="N15" s="9"/>
      <c r="O15" s="9"/>
      <c r="P15" s="9"/>
      <c r="Q15" s="9"/>
      <c r="R15" s="9"/>
      <c r="S15" s="9"/>
      <c r="T15" s="9"/>
      <c r="U15" s="9"/>
      <c r="V15" s="9"/>
      <c r="W15" s="10"/>
      <c r="X15" s="10"/>
    </row>
    <row r="16" spans="1:24" ht="15" x14ac:dyDescent="0.25">
      <c r="A16" s="6" t="s">
        <v>263</v>
      </c>
      <c r="B16" s="6"/>
      <c r="C16" s="6"/>
      <c r="D16" s="6"/>
      <c r="E16" s="6"/>
      <c r="F16" s="6"/>
      <c r="G16" s="6"/>
      <c r="H16" s="6"/>
      <c r="I16" s="6"/>
      <c r="J16" s="6"/>
      <c r="M16" s="9" t="s">
        <v>263</v>
      </c>
      <c r="N16" s="9"/>
      <c r="O16" s="9"/>
      <c r="P16" s="9"/>
      <c r="Q16" s="9"/>
      <c r="R16" s="9"/>
      <c r="S16" s="9"/>
      <c r="T16" s="9"/>
      <c r="U16" s="9"/>
      <c r="V16" s="9"/>
      <c r="W16" s="10"/>
      <c r="X16" s="10"/>
    </row>
    <row r="17" spans="1:24" ht="15" x14ac:dyDescent="0.25">
      <c r="A17" s="6"/>
      <c r="B17" s="6"/>
      <c r="C17" s="6"/>
      <c r="D17" s="6"/>
      <c r="E17" s="6"/>
      <c r="F17" s="6"/>
      <c r="G17" s="6"/>
      <c r="H17" s="6"/>
      <c r="I17" s="6"/>
      <c r="J17" s="6"/>
      <c r="M17" s="9"/>
      <c r="N17" s="9"/>
      <c r="O17" s="9"/>
      <c r="P17" s="9"/>
      <c r="Q17" s="9"/>
      <c r="R17" s="9"/>
      <c r="S17" s="9"/>
      <c r="T17" s="9"/>
      <c r="U17" s="9"/>
      <c r="V17" s="9"/>
      <c r="W17" s="10"/>
      <c r="X17" s="10"/>
    </row>
    <row r="18" spans="1:24" ht="15" x14ac:dyDescent="0.25">
      <c r="A18" s="6"/>
      <c r="B18" s="6" t="s">
        <v>264</v>
      </c>
      <c r="C18" s="106">
        <f>C14*C13</f>
        <v>0.140904</v>
      </c>
      <c r="D18" s="6"/>
      <c r="E18" s="6"/>
      <c r="F18" s="6"/>
      <c r="G18" s="6"/>
      <c r="H18" s="6"/>
      <c r="I18" s="6"/>
      <c r="J18" s="6"/>
      <c r="M18" s="9"/>
      <c r="N18" s="9" t="s">
        <v>609</v>
      </c>
      <c r="O18" s="9">
        <f>O13</f>
        <v>7.5999999999999998E-2</v>
      </c>
      <c r="P18" s="22" t="s">
        <v>573</v>
      </c>
      <c r="Q18" s="31">
        <f>O14</f>
        <v>1.8540000000000001</v>
      </c>
      <c r="R18" s="9"/>
      <c r="S18" s="9"/>
      <c r="T18" s="9"/>
      <c r="U18" s="9"/>
      <c r="V18" s="9"/>
      <c r="W18" s="10"/>
      <c r="X18" s="10"/>
    </row>
    <row r="19" spans="1:24" ht="15" x14ac:dyDescent="0.25">
      <c r="A19" s="6"/>
      <c r="B19" s="6"/>
      <c r="C19" s="6"/>
      <c r="D19" s="6"/>
      <c r="E19" s="6"/>
      <c r="F19" s="6"/>
      <c r="G19" s="6"/>
      <c r="H19" s="6"/>
      <c r="I19" s="6"/>
      <c r="J19" s="6"/>
      <c r="M19" s="9"/>
      <c r="N19" s="9"/>
      <c r="O19" s="9"/>
      <c r="P19" s="9"/>
      <c r="Q19" s="9"/>
      <c r="R19" s="9"/>
      <c r="S19" s="9"/>
      <c r="T19" s="9"/>
      <c r="U19" s="9"/>
      <c r="V19" s="9"/>
      <c r="W19" s="10"/>
      <c r="X19" s="10"/>
    </row>
    <row r="20" spans="1:24" ht="15" x14ac:dyDescent="0.25">
      <c r="A20" s="11" t="s">
        <v>265</v>
      </c>
      <c r="B20" s="11"/>
      <c r="C20" s="11"/>
      <c r="D20" s="11"/>
      <c r="E20" s="11"/>
      <c r="F20" s="11"/>
      <c r="G20" s="11"/>
      <c r="H20" s="11"/>
      <c r="I20" s="11"/>
      <c r="J20" s="11"/>
      <c r="M20" s="9"/>
      <c r="N20" s="9" t="s">
        <v>264</v>
      </c>
      <c r="O20" s="107">
        <f>O14*O13</f>
        <v>0.140904</v>
      </c>
      <c r="P20" s="10"/>
      <c r="Q20" s="9"/>
      <c r="R20" s="9"/>
      <c r="S20" s="9"/>
      <c r="T20" s="9"/>
      <c r="U20" s="9"/>
      <c r="V20" s="9"/>
      <c r="W20" s="10"/>
      <c r="X20" s="10"/>
    </row>
    <row r="21" spans="1:24" ht="15" x14ac:dyDescent="0.25">
      <c r="A21" s="11"/>
      <c r="B21" s="11"/>
      <c r="C21" s="11"/>
      <c r="D21" s="11"/>
      <c r="E21" s="11"/>
      <c r="F21" s="11"/>
      <c r="G21" s="11"/>
      <c r="H21" s="11"/>
      <c r="I21" s="11"/>
      <c r="J21" s="11"/>
      <c r="M21" s="9"/>
      <c r="N21" s="9"/>
      <c r="O21" s="9"/>
      <c r="P21" s="9"/>
      <c r="Q21" s="9"/>
      <c r="R21" s="9"/>
      <c r="S21" s="9"/>
      <c r="T21" s="9"/>
      <c r="U21" s="9"/>
      <c r="V21" s="9"/>
      <c r="W21" s="10"/>
      <c r="X21" s="10"/>
    </row>
    <row r="22" spans="1:24" ht="12.75" customHeight="1" x14ac:dyDescent="0.25">
      <c r="A22" s="6"/>
      <c r="B22" s="6"/>
      <c r="C22" s="6"/>
      <c r="D22" s="6"/>
      <c r="E22" s="6"/>
      <c r="F22" s="6"/>
      <c r="G22" s="6"/>
      <c r="H22" s="6"/>
      <c r="I22" s="6"/>
      <c r="J22" s="6"/>
      <c r="M22" s="81" t="s">
        <v>488</v>
      </c>
      <c r="N22" s="12"/>
      <c r="O22" s="12"/>
      <c r="P22" s="12"/>
      <c r="Q22" s="12"/>
      <c r="R22" s="12"/>
      <c r="S22" s="12"/>
      <c r="T22" s="12"/>
      <c r="U22" s="12"/>
      <c r="V22" s="12"/>
      <c r="W22" s="10"/>
      <c r="X22" s="10"/>
    </row>
    <row r="23" spans="1:24" ht="16.5" customHeight="1" x14ac:dyDescent="0.3">
      <c r="A23" s="6"/>
      <c r="B23" s="6" t="s">
        <v>492</v>
      </c>
      <c r="C23" s="6"/>
      <c r="D23" s="6"/>
      <c r="E23" s="6"/>
      <c r="F23" s="6"/>
      <c r="G23" s="6"/>
      <c r="H23" s="6"/>
      <c r="I23" s="6"/>
      <c r="J23" s="6"/>
      <c r="M23" s="12"/>
      <c r="N23" s="12"/>
      <c r="O23" s="12"/>
      <c r="P23" s="12"/>
      <c r="Q23" s="12"/>
      <c r="R23" s="12"/>
      <c r="S23" s="12"/>
      <c r="T23" s="12"/>
      <c r="U23" s="12"/>
      <c r="V23" s="12"/>
      <c r="W23" s="10"/>
      <c r="X23" s="10"/>
    </row>
    <row r="24" spans="1:24" ht="15" x14ac:dyDescent="0.25">
      <c r="A24" s="6"/>
      <c r="B24" s="6"/>
      <c r="C24" s="6"/>
      <c r="D24" s="6"/>
      <c r="E24" s="6"/>
      <c r="F24" s="6"/>
      <c r="G24" s="6"/>
      <c r="H24" s="6"/>
      <c r="I24" s="6"/>
      <c r="J24" s="6"/>
      <c r="M24" s="9"/>
      <c r="N24" s="189" t="s">
        <v>219</v>
      </c>
      <c r="O24" s="9">
        <v>0.8</v>
      </c>
      <c r="P24" s="9"/>
      <c r="Q24" s="9" t="s">
        <v>696</v>
      </c>
      <c r="R24" s="9"/>
      <c r="S24" s="9"/>
      <c r="T24" s="9"/>
      <c r="U24" s="9"/>
      <c r="V24" s="9"/>
      <c r="W24" s="10"/>
      <c r="X24" s="10"/>
    </row>
    <row r="25" spans="1:24" ht="16.5" x14ac:dyDescent="0.3">
      <c r="A25" s="6"/>
      <c r="B25" s="6" t="s">
        <v>491</v>
      </c>
      <c r="C25" s="6">
        <f>(21-1)/0.8</f>
        <v>25</v>
      </c>
      <c r="D25" s="6"/>
      <c r="E25" s="6"/>
      <c r="F25" s="6"/>
      <c r="G25" s="6"/>
      <c r="H25" s="6"/>
      <c r="I25" s="6"/>
      <c r="J25" s="6"/>
      <c r="M25" s="9"/>
      <c r="N25" s="10"/>
      <c r="O25" s="10"/>
      <c r="P25" s="10"/>
      <c r="Q25" s="10"/>
      <c r="R25" s="9"/>
      <c r="S25" s="9"/>
      <c r="T25" s="9"/>
      <c r="U25" s="9"/>
      <c r="V25" s="9"/>
      <c r="W25" s="10"/>
      <c r="X25" s="10"/>
    </row>
    <row r="26" spans="1:24" ht="15" x14ac:dyDescent="0.25">
      <c r="M26" s="13" t="s">
        <v>489</v>
      </c>
      <c r="N26" s="10"/>
      <c r="O26" s="10"/>
      <c r="P26" s="10"/>
      <c r="Q26" s="10"/>
      <c r="R26" s="9"/>
      <c r="S26" s="9"/>
      <c r="T26" s="9"/>
      <c r="U26" s="9"/>
      <c r="V26" s="9"/>
      <c r="W26" s="10"/>
      <c r="X26" s="10"/>
    </row>
    <row r="27" spans="1:24" ht="15" x14ac:dyDescent="0.25">
      <c r="M27" s="9"/>
      <c r="N27" s="10"/>
      <c r="O27" s="10"/>
      <c r="P27" s="10"/>
      <c r="Q27" s="10"/>
      <c r="R27" s="9"/>
      <c r="S27" s="9"/>
      <c r="T27" s="9"/>
      <c r="U27" s="9"/>
      <c r="V27" s="9"/>
      <c r="W27" s="10"/>
      <c r="X27" s="10"/>
    </row>
    <row r="28" spans="1:24" ht="15.75" x14ac:dyDescent="0.3">
      <c r="M28" s="10"/>
      <c r="N28" s="10" t="s">
        <v>490</v>
      </c>
      <c r="O28" s="10"/>
      <c r="P28" s="245">
        <v>21</v>
      </c>
      <c r="Q28" s="10"/>
      <c r="R28" s="10"/>
      <c r="S28" s="10"/>
      <c r="T28" s="10"/>
      <c r="U28" s="10"/>
      <c r="V28" s="10"/>
      <c r="W28" s="10"/>
      <c r="X28" s="10"/>
    </row>
    <row r="29" spans="1:24" x14ac:dyDescent="0.2">
      <c r="K29" s="244"/>
      <c r="M29" s="10"/>
      <c r="N29" s="10"/>
      <c r="O29" s="10"/>
      <c r="P29" s="10"/>
      <c r="Q29" s="10"/>
      <c r="R29" s="10"/>
      <c r="S29" s="10"/>
      <c r="T29" s="10"/>
      <c r="U29" s="10"/>
      <c r="V29" s="10"/>
      <c r="W29" s="10"/>
      <c r="X29" s="10"/>
    </row>
    <row r="30" spans="1:24" x14ac:dyDescent="0.2">
      <c r="M30" s="10"/>
      <c r="N30" s="10"/>
      <c r="O30" s="10"/>
      <c r="P30" s="10"/>
      <c r="Q30" s="10"/>
      <c r="R30" s="10"/>
      <c r="S30" s="10"/>
      <c r="T30" s="10"/>
      <c r="U30" s="10"/>
      <c r="V30" s="10"/>
      <c r="W30" s="10"/>
      <c r="X30" s="10"/>
    </row>
    <row r="31" spans="1:24" ht="16.5" x14ac:dyDescent="0.3">
      <c r="M31" s="10"/>
      <c r="N31" s="9" t="s">
        <v>610</v>
      </c>
      <c r="O31" s="22">
        <f>P28</f>
        <v>21</v>
      </c>
      <c r="P31" s="35" t="s">
        <v>611</v>
      </c>
      <c r="Q31" s="22">
        <f>O24</f>
        <v>0.8</v>
      </c>
      <c r="R31" s="10"/>
      <c r="S31" s="10"/>
      <c r="T31" s="10"/>
      <c r="U31" s="10"/>
      <c r="V31" s="10"/>
      <c r="W31" s="10"/>
      <c r="X31" s="10"/>
    </row>
    <row r="32" spans="1:24" ht="15" x14ac:dyDescent="0.25">
      <c r="M32" s="10"/>
      <c r="N32" s="9"/>
      <c r="O32" s="9"/>
      <c r="P32" s="9"/>
      <c r="Q32" s="9"/>
      <c r="R32" s="10"/>
      <c r="S32" s="10"/>
      <c r="T32" s="10"/>
      <c r="U32" s="10"/>
      <c r="V32" s="10"/>
      <c r="W32" s="10"/>
      <c r="X32" s="10"/>
    </row>
    <row r="33" spans="1:24" ht="16.5" x14ac:dyDescent="0.3">
      <c r="M33" s="10"/>
      <c r="N33" s="9" t="s">
        <v>491</v>
      </c>
      <c r="O33" s="8">
        <f>(P28-1)/O24</f>
        <v>25</v>
      </c>
      <c r="P33" s="9"/>
      <c r="Q33" s="9"/>
      <c r="R33" s="10"/>
      <c r="S33" s="10"/>
      <c r="T33" s="10"/>
      <c r="U33" s="10"/>
      <c r="V33" s="10"/>
      <c r="W33" s="10"/>
      <c r="X33" s="10"/>
    </row>
    <row r="36" spans="1:24" ht="15" x14ac:dyDescent="0.25">
      <c r="A36" s="77" t="s">
        <v>718</v>
      </c>
    </row>
    <row r="37" spans="1:24" ht="15" x14ac:dyDescent="0.25">
      <c r="A37" s="77" t="s">
        <v>719</v>
      </c>
    </row>
    <row r="38" spans="1:24" ht="15" x14ac:dyDescent="0.25">
      <c r="A38" s="77" t="s">
        <v>720</v>
      </c>
    </row>
    <row r="39" spans="1:24" ht="15" x14ac:dyDescent="0.25">
      <c r="A39" s="77" t="s">
        <v>721</v>
      </c>
    </row>
    <row r="40" spans="1:24" ht="15" x14ac:dyDescent="0.25">
      <c r="A40" s="77" t="s">
        <v>722</v>
      </c>
    </row>
  </sheetData>
  <sheetProtection password="F030" sheet="1" objects="1" scenarios="1"/>
  <mergeCells count="3">
    <mergeCell ref="A4:H5"/>
    <mergeCell ref="A20:J21"/>
    <mergeCell ref="M4:R4"/>
  </mergeCells>
  <phoneticPr fontId="3"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topLeftCell="A19" zoomScale="80" zoomScaleNormal="80" workbookViewId="0">
      <selection activeCell="C68" sqref="C68"/>
    </sheetView>
  </sheetViews>
  <sheetFormatPr defaultRowHeight="12.75" x14ac:dyDescent="0.2"/>
  <cols>
    <col min="1" max="1" width="18.85546875" style="7" customWidth="1"/>
    <col min="2" max="13" width="9.140625" style="7"/>
    <col min="14" max="14" width="19.140625" style="7" customWidth="1"/>
    <col min="15" max="16384" width="9.140625" style="7"/>
  </cols>
  <sheetData>
    <row r="1" spans="1:25" ht="15" x14ac:dyDescent="0.25">
      <c r="A1" s="5" t="s">
        <v>495</v>
      </c>
      <c r="B1" s="6"/>
      <c r="C1" s="6"/>
      <c r="D1" s="6"/>
      <c r="E1" s="6"/>
      <c r="F1" s="6"/>
      <c r="G1" s="6"/>
      <c r="H1" s="6"/>
      <c r="I1" s="6"/>
      <c r="J1" s="187"/>
      <c r="K1" s="187"/>
      <c r="N1" s="8" t="s">
        <v>653</v>
      </c>
      <c r="O1" s="9"/>
      <c r="P1" s="9"/>
      <c r="Q1" s="9"/>
      <c r="R1" s="9"/>
      <c r="S1" s="9"/>
      <c r="T1" s="9"/>
      <c r="U1" s="9"/>
      <c r="V1" s="9"/>
      <c r="W1" s="10"/>
      <c r="X1" s="10"/>
      <c r="Y1" s="10"/>
    </row>
    <row r="2" spans="1:25" ht="12.75" customHeight="1" x14ac:dyDescent="0.25">
      <c r="A2" s="11" t="s">
        <v>266</v>
      </c>
      <c r="B2" s="11"/>
      <c r="C2" s="11"/>
      <c r="D2" s="11"/>
      <c r="E2" s="11"/>
      <c r="F2" s="11"/>
      <c r="G2" s="11"/>
      <c r="H2" s="11"/>
      <c r="I2" s="11"/>
      <c r="J2" s="187"/>
      <c r="K2" s="187"/>
      <c r="N2" s="14" t="s">
        <v>496</v>
      </c>
      <c r="O2" s="12"/>
      <c r="P2" s="12"/>
      <c r="Q2" s="12"/>
      <c r="R2" s="12"/>
      <c r="S2" s="12"/>
      <c r="T2" s="12"/>
      <c r="U2" s="12"/>
      <c r="V2" s="12"/>
      <c r="W2" s="10"/>
      <c r="X2" s="10"/>
      <c r="Y2" s="10"/>
    </row>
    <row r="3" spans="1:25" ht="17.25" customHeight="1" x14ac:dyDescent="0.25">
      <c r="A3" s="11"/>
      <c r="B3" s="11"/>
      <c r="C3" s="11"/>
      <c r="D3" s="11"/>
      <c r="E3" s="11"/>
      <c r="F3" s="11"/>
      <c r="G3" s="11"/>
      <c r="H3" s="11"/>
      <c r="I3" s="11"/>
      <c r="J3" s="187"/>
      <c r="K3" s="187"/>
      <c r="N3" s="81" t="s">
        <v>475</v>
      </c>
      <c r="O3" s="12"/>
      <c r="P3" s="12"/>
      <c r="Q3" s="12"/>
      <c r="R3" s="12"/>
      <c r="S3" s="12"/>
      <c r="T3" s="12"/>
      <c r="U3" s="12"/>
      <c r="V3" s="12"/>
      <c r="W3" s="10"/>
      <c r="X3" s="10"/>
      <c r="Y3" s="10"/>
    </row>
    <row r="4" spans="1:25" ht="15" x14ac:dyDescent="0.25">
      <c r="A4" s="92"/>
      <c r="B4" s="92"/>
      <c r="C4" s="92"/>
      <c r="D4" s="92"/>
      <c r="E4" s="92"/>
      <c r="F4" s="92"/>
      <c r="G4" s="92"/>
      <c r="H4" s="92"/>
      <c r="I4" s="92"/>
      <c r="J4" s="187"/>
      <c r="K4" s="187"/>
      <c r="N4" s="93"/>
      <c r="O4" s="93"/>
      <c r="P4" s="93"/>
      <c r="Q4" s="93"/>
      <c r="R4" s="93"/>
      <c r="S4" s="93"/>
      <c r="T4" s="93"/>
      <c r="U4" s="93"/>
      <c r="V4" s="93"/>
      <c r="W4" s="10"/>
      <c r="X4" s="10"/>
      <c r="Y4" s="10"/>
    </row>
    <row r="5" spans="1:25" ht="18" x14ac:dyDescent="0.25">
      <c r="A5" s="6" t="s">
        <v>76</v>
      </c>
      <c r="B5" s="6">
        <v>70418</v>
      </c>
      <c r="C5" s="6" t="s">
        <v>399</v>
      </c>
      <c r="D5" s="106">
        <f>B5/3600</f>
        <v>19.560555555555556</v>
      </c>
      <c r="E5" s="6" t="s">
        <v>400</v>
      </c>
      <c r="F5" s="6"/>
      <c r="G5" s="6"/>
      <c r="H5" s="6"/>
      <c r="I5" s="6"/>
      <c r="J5" s="187"/>
      <c r="K5" s="187"/>
      <c r="N5" s="9" t="s">
        <v>76</v>
      </c>
      <c r="O5" s="233">
        <v>70418</v>
      </c>
      <c r="P5" s="9" t="s">
        <v>399</v>
      </c>
      <c r="Q5" s="107">
        <f>O5/3600</f>
        <v>19.560555555555556</v>
      </c>
      <c r="R5" s="9" t="s">
        <v>400</v>
      </c>
      <c r="S5" s="9"/>
      <c r="T5" s="9"/>
      <c r="U5" s="9"/>
      <c r="V5" s="9"/>
      <c r="W5" s="10"/>
      <c r="X5" s="10"/>
      <c r="Y5" s="10"/>
    </row>
    <row r="6" spans="1:25" ht="18" x14ac:dyDescent="0.25">
      <c r="A6" s="6" t="s">
        <v>77</v>
      </c>
      <c r="B6" s="6">
        <v>3</v>
      </c>
      <c r="C6" s="6" t="s">
        <v>401</v>
      </c>
      <c r="D6" s="6"/>
      <c r="E6" s="6"/>
      <c r="F6" s="6"/>
      <c r="G6" s="6"/>
      <c r="H6" s="6"/>
      <c r="I6" s="6"/>
      <c r="J6" s="187"/>
      <c r="K6" s="187"/>
      <c r="N6" s="9" t="s">
        <v>77</v>
      </c>
      <c r="O6" s="233">
        <v>3</v>
      </c>
      <c r="P6" s="9" t="s">
        <v>401</v>
      </c>
      <c r="Q6" s="9"/>
      <c r="R6" s="9"/>
      <c r="S6" s="9"/>
      <c r="T6" s="9"/>
      <c r="U6" s="9"/>
      <c r="V6" s="9"/>
      <c r="W6" s="10"/>
      <c r="X6" s="10"/>
      <c r="Y6" s="10"/>
    </row>
    <row r="7" spans="1:25" ht="15" x14ac:dyDescent="0.25">
      <c r="A7" s="6" t="s">
        <v>78</v>
      </c>
      <c r="B7" s="6">
        <v>1190</v>
      </c>
      <c r="C7" s="6" t="s">
        <v>79</v>
      </c>
      <c r="D7" s="6"/>
      <c r="E7" s="6"/>
      <c r="F7" s="6"/>
      <c r="G7" s="6"/>
      <c r="H7" s="6"/>
      <c r="I7" s="6"/>
      <c r="J7" s="187"/>
      <c r="K7" s="187"/>
      <c r="N7" s="9" t="s">
        <v>78</v>
      </c>
      <c r="O7" s="233">
        <v>1190</v>
      </c>
      <c r="P7" s="9" t="s">
        <v>79</v>
      </c>
      <c r="Q7" s="9"/>
      <c r="R7" s="9"/>
      <c r="S7" s="9"/>
      <c r="T7" s="9"/>
      <c r="U7" s="9"/>
      <c r="V7" s="9"/>
      <c r="W7" s="10"/>
      <c r="X7" s="10"/>
      <c r="Y7" s="10"/>
    </row>
    <row r="8" spans="1:25" ht="18" x14ac:dyDescent="0.25">
      <c r="A8" s="6" t="s">
        <v>80</v>
      </c>
      <c r="B8" s="6">
        <v>28.8</v>
      </c>
      <c r="C8" s="6" t="s">
        <v>401</v>
      </c>
      <c r="D8" s="6"/>
      <c r="E8" s="6"/>
      <c r="F8" s="6"/>
      <c r="G8" s="6"/>
      <c r="H8" s="6"/>
      <c r="I8" s="6"/>
      <c r="J8" s="187"/>
      <c r="K8" s="187"/>
      <c r="N8" s="9" t="s">
        <v>80</v>
      </c>
      <c r="O8" s="233">
        <v>28.8</v>
      </c>
      <c r="P8" s="9" t="s">
        <v>401</v>
      </c>
      <c r="Q8" s="9"/>
      <c r="R8" s="9"/>
      <c r="S8" s="9"/>
      <c r="T8" s="9"/>
      <c r="U8" s="9"/>
      <c r="V8" s="9"/>
      <c r="W8" s="10"/>
      <c r="X8" s="10"/>
      <c r="Y8" s="10"/>
    </row>
    <row r="9" spans="1:25" ht="15" x14ac:dyDescent="0.25">
      <c r="A9" s="6" t="s">
        <v>81</v>
      </c>
      <c r="B9" s="6">
        <v>3.3</v>
      </c>
      <c r="C9" s="6" t="s">
        <v>82</v>
      </c>
      <c r="D9" s="6"/>
      <c r="E9" s="6"/>
      <c r="F9" s="6"/>
      <c r="G9" s="6"/>
      <c r="H9" s="6"/>
      <c r="I9" s="6"/>
      <c r="J9" s="187"/>
      <c r="K9" s="187"/>
      <c r="N9" s="9" t="s">
        <v>81</v>
      </c>
      <c r="O9" s="233">
        <v>3.3</v>
      </c>
      <c r="P9" s="9" t="s">
        <v>82</v>
      </c>
      <c r="Q9" s="9"/>
      <c r="R9" s="9"/>
      <c r="S9" s="9"/>
      <c r="T9" s="9"/>
      <c r="U9" s="9"/>
      <c r="V9" s="9"/>
      <c r="W9" s="10"/>
      <c r="X9" s="10"/>
      <c r="Y9" s="10"/>
    </row>
    <row r="10" spans="1:25" ht="15" x14ac:dyDescent="0.25">
      <c r="A10" s="6" t="s">
        <v>83</v>
      </c>
      <c r="B10" s="6">
        <v>24</v>
      </c>
      <c r="C10" s="6" t="s">
        <v>84</v>
      </c>
      <c r="D10" s="6"/>
      <c r="E10" s="6"/>
      <c r="F10" s="6"/>
      <c r="G10" s="6"/>
      <c r="H10" s="6"/>
      <c r="I10" s="6"/>
      <c r="J10" s="187"/>
      <c r="K10" s="187"/>
      <c r="N10" s="9" t="s">
        <v>83</v>
      </c>
      <c r="O10" s="233">
        <v>24</v>
      </c>
      <c r="P10" s="9" t="s">
        <v>84</v>
      </c>
      <c r="Q10" s="9"/>
      <c r="R10" s="9"/>
      <c r="S10" s="9"/>
      <c r="T10" s="9"/>
      <c r="U10" s="9"/>
      <c r="V10" s="9"/>
      <c r="W10" s="10"/>
      <c r="X10" s="10"/>
      <c r="Y10" s="10"/>
    </row>
    <row r="11" spans="1:25" ht="15" x14ac:dyDescent="0.25">
      <c r="A11" s="6"/>
      <c r="B11" s="6"/>
      <c r="C11" s="6"/>
      <c r="D11" s="6"/>
      <c r="E11" s="6"/>
      <c r="F11" s="6"/>
      <c r="G11" s="6"/>
      <c r="H11" s="6"/>
      <c r="I11" s="6"/>
      <c r="J11" s="187"/>
      <c r="K11" s="187"/>
      <c r="N11" s="9"/>
      <c r="O11" s="9"/>
      <c r="P11" s="9"/>
      <c r="Q11" s="9"/>
      <c r="R11" s="9"/>
      <c r="S11" s="9"/>
      <c r="T11" s="9"/>
      <c r="U11" s="9"/>
      <c r="V11" s="9"/>
      <c r="W11" s="10"/>
      <c r="X11" s="10"/>
      <c r="Y11" s="10"/>
    </row>
    <row r="12" spans="1:25" ht="15" x14ac:dyDescent="0.25">
      <c r="A12" s="6" t="s">
        <v>267</v>
      </c>
      <c r="B12" s="6"/>
      <c r="C12" s="6"/>
      <c r="D12" s="6"/>
      <c r="E12" s="6"/>
      <c r="F12" s="6"/>
      <c r="G12" s="6"/>
      <c r="H12" s="6"/>
      <c r="I12" s="6"/>
      <c r="J12" s="187"/>
      <c r="K12" s="187"/>
      <c r="N12" s="9" t="s">
        <v>267</v>
      </c>
      <c r="O12" s="9"/>
      <c r="P12" s="9"/>
      <c r="Q12" s="9"/>
      <c r="R12" s="9"/>
      <c r="S12" s="9"/>
      <c r="T12" s="9"/>
      <c r="U12" s="9"/>
      <c r="V12" s="9"/>
      <c r="W12" s="10"/>
      <c r="X12" s="10"/>
      <c r="Y12" s="10"/>
    </row>
    <row r="13" spans="1:25" ht="15" x14ac:dyDescent="0.25">
      <c r="A13" s="6"/>
      <c r="B13" s="6"/>
      <c r="C13" s="6"/>
      <c r="D13" s="6"/>
      <c r="E13" s="6"/>
      <c r="F13" s="6"/>
      <c r="G13" s="6"/>
      <c r="H13" s="6"/>
      <c r="I13" s="6"/>
      <c r="J13" s="187"/>
      <c r="K13" s="187"/>
      <c r="N13" s="9"/>
      <c r="O13" s="9"/>
      <c r="P13" s="9"/>
      <c r="Q13" s="9"/>
      <c r="R13" s="9"/>
      <c r="S13" s="9"/>
      <c r="T13" s="9"/>
      <c r="U13" s="9"/>
      <c r="V13" s="9"/>
      <c r="W13" s="10"/>
      <c r="X13" s="10"/>
      <c r="Y13" s="10"/>
    </row>
    <row r="14" spans="1:25" ht="15" x14ac:dyDescent="0.25">
      <c r="A14" s="6" t="s">
        <v>220</v>
      </c>
      <c r="B14" s="6">
        <v>7.5999999999999998E-2</v>
      </c>
      <c r="C14" s="6" t="s">
        <v>262</v>
      </c>
      <c r="D14" s="6"/>
      <c r="E14" s="6"/>
      <c r="F14" s="6"/>
      <c r="G14" s="6"/>
      <c r="H14" s="6"/>
      <c r="I14" s="6"/>
      <c r="J14" s="187"/>
      <c r="K14" s="187"/>
      <c r="N14" s="9" t="s">
        <v>220</v>
      </c>
      <c r="O14" s="233">
        <v>7.5999999999999998E-2</v>
      </c>
      <c r="P14" s="9" t="s">
        <v>262</v>
      </c>
      <c r="Q14" s="9"/>
      <c r="R14" s="9"/>
      <c r="S14" s="9"/>
      <c r="T14" s="9"/>
      <c r="U14" s="9"/>
      <c r="V14" s="9"/>
      <c r="W14" s="10"/>
      <c r="X14" s="10"/>
      <c r="Y14" s="10"/>
    </row>
    <row r="15" spans="1:25" ht="16.5" x14ac:dyDescent="0.3">
      <c r="A15" s="6" t="s">
        <v>182</v>
      </c>
      <c r="B15" s="6">
        <v>0.5</v>
      </c>
      <c r="C15" s="6" t="s">
        <v>412</v>
      </c>
      <c r="D15" s="6"/>
      <c r="E15" s="6"/>
      <c r="F15" s="6"/>
      <c r="G15" s="6"/>
      <c r="H15" s="6"/>
      <c r="I15" s="6"/>
      <c r="J15" s="187"/>
      <c r="K15" s="187"/>
      <c r="N15" s="9" t="s">
        <v>182</v>
      </c>
      <c r="O15" s="233">
        <v>0.5</v>
      </c>
      <c r="P15" s="9" t="s">
        <v>412</v>
      </c>
      <c r="Q15" s="9"/>
      <c r="R15" s="9"/>
      <c r="S15" s="9" t="s">
        <v>681</v>
      </c>
      <c r="T15" s="9"/>
      <c r="U15" s="9"/>
      <c r="V15" s="9"/>
      <c r="W15" s="10"/>
      <c r="X15" s="10"/>
      <c r="Y15" s="10"/>
    </row>
    <row r="16" spans="1:25" ht="15" x14ac:dyDescent="0.25">
      <c r="A16" s="6"/>
      <c r="B16" s="6"/>
      <c r="C16" s="6"/>
      <c r="D16" s="6"/>
      <c r="E16" s="6"/>
      <c r="F16" s="6"/>
      <c r="G16" s="6"/>
      <c r="H16" s="6"/>
      <c r="I16" s="6"/>
      <c r="J16" s="187"/>
      <c r="K16" s="187"/>
      <c r="N16" s="9"/>
      <c r="O16" s="9"/>
      <c r="P16" s="9"/>
      <c r="Q16" s="9"/>
      <c r="R16" s="9"/>
      <c r="S16" s="9"/>
      <c r="T16" s="9"/>
      <c r="U16" s="9"/>
      <c r="V16" s="9"/>
      <c r="W16" s="10"/>
      <c r="X16" s="10"/>
      <c r="Y16" s="10"/>
    </row>
    <row r="17" spans="1:25" ht="17.25" x14ac:dyDescent="0.3">
      <c r="A17" s="6" t="s">
        <v>413</v>
      </c>
      <c r="B17" s="6"/>
      <c r="C17" s="6"/>
      <c r="D17" s="6"/>
      <c r="E17" s="6"/>
      <c r="F17" s="6"/>
      <c r="G17" s="6"/>
      <c r="H17" s="6"/>
      <c r="I17" s="6"/>
      <c r="J17" s="187"/>
      <c r="K17" s="187"/>
      <c r="N17" s="82" t="s">
        <v>497</v>
      </c>
      <c r="O17" s="9"/>
      <c r="P17" s="9"/>
      <c r="Q17" s="9"/>
      <c r="R17" s="9"/>
      <c r="S17" s="9"/>
      <c r="T17" s="9"/>
      <c r="U17" s="9"/>
      <c r="V17" s="9"/>
      <c r="W17" s="10"/>
      <c r="X17" s="10"/>
      <c r="Y17" s="10"/>
    </row>
    <row r="18" spans="1:25" ht="15" x14ac:dyDescent="0.25">
      <c r="A18" s="6"/>
      <c r="B18" s="6"/>
      <c r="C18" s="6"/>
      <c r="D18" s="6"/>
      <c r="E18" s="6"/>
      <c r="F18" s="6"/>
      <c r="G18" s="6"/>
      <c r="H18" s="6"/>
      <c r="I18" s="6"/>
      <c r="J18" s="187"/>
      <c r="K18" s="187"/>
      <c r="N18" s="9"/>
      <c r="O18" s="9"/>
      <c r="P18" s="9"/>
      <c r="Q18" s="9"/>
      <c r="R18" s="9"/>
      <c r="S18" s="9"/>
      <c r="T18" s="9"/>
      <c r="U18" s="9"/>
      <c r="V18" s="9"/>
      <c r="W18" s="10"/>
      <c r="X18" s="10"/>
      <c r="Y18" s="10"/>
    </row>
    <row r="19" spans="1:25" ht="16.5" x14ac:dyDescent="0.3">
      <c r="A19" s="6"/>
      <c r="B19" s="6" t="s">
        <v>414</v>
      </c>
      <c r="C19" s="6">
        <v>26</v>
      </c>
      <c r="D19" s="6"/>
      <c r="E19" s="6"/>
      <c r="F19" s="6"/>
      <c r="G19" s="6"/>
      <c r="H19" s="6"/>
      <c r="I19" s="6"/>
      <c r="J19" s="187"/>
      <c r="K19" s="187"/>
      <c r="N19" s="9"/>
      <c r="O19" s="9" t="s">
        <v>414</v>
      </c>
      <c r="P19" s="233">
        <v>26</v>
      </c>
      <c r="Q19" s="9"/>
      <c r="R19" s="9"/>
      <c r="S19" s="9"/>
      <c r="T19" s="9"/>
      <c r="U19" s="9"/>
      <c r="V19" s="9"/>
      <c r="W19" s="10"/>
      <c r="X19" s="10"/>
      <c r="Y19" s="10"/>
    </row>
    <row r="20" spans="1:25" ht="15" x14ac:dyDescent="0.25">
      <c r="A20" s="6"/>
      <c r="B20" s="6"/>
      <c r="C20" s="6"/>
      <c r="D20" s="6"/>
      <c r="E20" s="6"/>
      <c r="F20" s="6"/>
      <c r="G20" s="6"/>
      <c r="H20" s="6"/>
      <c r="I20" s="6"/>
      <c r="J20" s="187"/>
      <c r="K20" s="187"/>
      <c r="N20" s="9"/>
      <c r="O20" s="9"/>
      <c r="P20" s="9"/>
      <c r="Q20" s="9"/>
      <c r="R20" s="9"/>
      <c r="S20" s="9"/>
      <c r="T20" s="9"/>
      <c r="U20" s="9"/>
      <c r="V20" s="9"/>
      <c r="W20" s="10"/>
      <c r="X20" s="10"/>
      <c r="Y20" s="10"/>
    </row>
    <row r="21" spans="1:25" ht="16.5" x14ac:dyDescent="0.3">
      <c r="A21" s="6" t="s">
        <v>415</v>
      </c>
      <c r="B21" s="6"/>
      <c r="C21" s="6"/>
      <c r="D21" s="6"/>
      <c r="E21" s="6"/>
      <c r="F21" s="6"/>
      <c r="G21" s="6"/>
      <c r="H21" s="6"/>
      <c r="I21" s="6"/>
      <c r="J21" s="187"/>
      <c r="K21" s="187"/>
      <c r="N21" s="9" t="s">
        <v>415</v>
      </c>
      <c r="O21" s="9"/>
      <c r="P21" s="9"/>
      <c r="Q21" s="9"/>
      <c r="R21" s="9"/>
      <c r="S21" s="9"/>
      <c r="T21" s="9"/>
      <c r="U21" s="9"/>
      <c r="V21" s="9"/>
      <c r="W21" s="10"/>
      <c r="X21" s="10"/>
      <c r="Y21" s="10"/>
    </row>
    <row r="22" spans="1:25" ht="15" x14ac:dyDescent="0.25">
      <c r="A22" s="6"/>
      <c r="B22" s="6"/>
      <c r="C22" s="6"/>
      <c r="D22" s="6"/>
      <c r="E22" s="6"/>
      <c r="F22" s="6"/>
      <c r="G22" s="6"/>
      <c r="H22" s="6"/>
      <c r="I22" s="6"/>
      <c r="J22" s="187"/>
      <c r="K22" s="187"/>
      <c r="N22" s="9"/>
      <c r="O22" s="9"/>
      <c r="P22" s="9"/>
      <c r="Q22" s="9"/>
      <c r="R22" s="9"/>
      <c r="S22" s="9"/>
      <c r="T22" s="9"/>
      <c r="U22" s="9"/>
      <c r="V22" s="9"/>
      <c r="W22" s="10"/>
      <c r="X22" s="10"/>
      <c r="Y22" s="10"/>
    </row>
    <row r="23" spans="1:25" ht="18.75" x14ac:dyDescent="0.3">
      <c r="A23" s="6"/>
      <c r="B23" s="6" t="s">
        <v>416</v>
      </c>
      <c r="C23" s="6"/>
      <c r="D23" s="6"/>
      <c r="E23" s="6"/>
      <c r="F23" s="6"/>
      <c r="G23" s="6"/>
      <c r="H23" s="6"/>
      <c r="I23" s="6"/>
      <c r="J23" s="187"/>
      <c r="K23" s="187"/>
      <c r="N23" s="9"/>
      <c r="O23" s="9" t="s">
        <v>612</v>
      </c>
      <c r="P23" s="9">
        <f>O7</f>
        <v>1190</v>
      </c>
      <c r="Q23" s="9" t="s">
        <v>613</v>
      </c>
      <c r="R23" s="9"/>
      <c r="S23" s="9"/>
      <c r="T23" s="9"/>
      <c r="U23" s="9"/>
      <c r="V23" s="9"/>
      <c r="W23" s="10"/>
      <c r="X23" s="10"/>
      <c r="Y23" s="10"/>
    </row>
    <row r="24" spans="1:25" ht="15" x14ac:dyDescent="0.25">
      <c r="A24" s="6"/>
      <c r="B24" s="6"/>
      <c r="C24" s="6"/>
      <c r="D24" s="6"/>
      <c r="E24" s="6"/>
      <c r="F24" s="6"/>
      <c r="G24" s="6"/>
      <c r="H24" s="6"/>
      <c r="I24" s="6"/>
      <c r="J24" s="187"/>
      <c r="K24" s="187"/>
      <c r="N24" s="9"/>
      <c r="O24" s="9"/>
      <c r="P24" s="9"/>
      <c r="Q24" s="9"/>
      <c r="R24" s="9"/>
      <c r="S24" s="9"/>
      <c r="T24" s="9"/>
      <c r="U24" s="9"/>
      <c r="V24" s="9"/>
      <c r="W24" s="10"/>
      <c r="X24" s="10"/>
      <c r="Y24" s="10"/>
    </row>
    <row r="25" spans="1:25" ht="16.5" x14ac:dyDescent="0.3">
      <c r="A25" s="6"/>
      <c r="B25" s="6" t="s">
        <v>417</v>
      </c>
      <c r="C25" s="175">
        <f>B7*B8*60/7.48</f>
        <v>274909.09090909088</v>
      </c>
      <c r="D25" s="6" t="s">
        <v>268</v>
      </c>
      <c r="E25" s="6"/>
      <c r="F25" s="6"/>
      <c r="G25" s="6"/>
      <c r="H25" s="6"/>
      <c r="I25" s="6"/>
      <c r="J25" s="187"/>
      <c r="K25" s="187"/>
      <c r="N25" s="9"/>
      <c r="O25" s="9" t="s">
        <v>417</v>
      </c>
      <c r="P25" s="176">
        <f>O7*O8*60/7.48</f>
        <v>274909.09090909088</v>
      </c>
      <c r="Q25" s="9" t="s">
        <v>268</v>
      </c>
      <c r="R25" s="9"/>
      <c r="S25" s="9"/>
      <c r="T25" s="9"/>
      <c r="U25" s="9"/>
      <c r="V25" s="9"/>
      <c r="W25" s="10"/>
      <c r="X25" s="10"/>
      <c r="Y25" s="10"/>
    </row>
    <row r="26" spans="1:25" ht="15" x14ac:dyDescent="0.25">
      <c r="A26" s="6"/>
      <c r="B26" s="6"/>
      <c r="C26" s="6"/>
      <c r="D26" s="6"/>
      <c r="E26" s="6"/>
      <c r="F26" s="6"/>
      <c r="G26" s="6"/>
      <c r="H26" s="6"/>
      <c r="I26" s="6"/>
      <c r="J26" s="187"/>
      <c r="K26" s="187"/>
      <c r="N26" s="9"/>
      <c r="O26" s="9"/>
      <c r="P26" s="9"/>
      <c r="Q26" s="9"/>
      <c r="R26" s="9"/>
      <c r="S26" s="9"/>
      <c r="T26" s="9"/>
      <c r="U26" s="9"/>
      <c r="V26" s="9"/>
      <c r="W26" s="10"/>
      <c r="X26" s="10"/>
      <c r="Y26" s="10"/>
    </row>
    <row r="27" spans="1:25" ht="18.75" x14ac:dyDescent="0.3">
      <c r="A27" s="6"/>
      <c r="B27" s="6" t="s">
        <v>418</v>
      </c>
      <c r="C27" s="6"/>
      <c r="D27" s="6"/>
      <c r="E27" s="6"/>
      <c r="F27" s="6"/>
      <c r="G27" s="6"/>
      <c r="H27" s="6"/>
      <c r="I27" s="6"/>
      <c r="J27" s="187"/>
      <c r="K27" s="187"/>
      <c r="N27" s="9"/>
      <c r="O27" s="9" t="s">
        <v>614</v>
      </c>
      <c r="P27" s="9">
        <f>O5</f>
        <v>70418</v>
      </c>
      <c r="Q27" s="22" t="s">
        <v>615</v>
      </c>
      <c r="R27" s="22">
        <f>O6</f>
        <v>3</v>
      </c>
      <c r="S27" s="9" t="s">
        <v>401</v>
      </c>
      <c r="T27" s="9"/>
      <c r="U27" s="9"/>
      <c r="V27" s="9"/>
      <c r="W27" s="10"/>
      <c r="X27" s="10"/>
      <c r="Y27" s="10"/>
    </row>
    <row r="28" spans="1:25" ht="15" x14ac:dyDescent="0.25">
      <c r="A28" s="6"/>
      <c r="B28" s="6"/>
      <c r="C28" s="6"/>
      <c r="D28" s="6"/>
      <c r="E28" s="6"/>
      <c r="F28" s="6"/>
      <c r="G28" s="6"/>
      <c r="H28" s="6"/>
      <c r="I28" s="6"/>
      <c r="J28" s="187"/>
      <c r="K28" s="187"/>
      <c r="N28" s="9"/>
      <c r="O28" s="9"/>
      <c r="P28" s="9"/>
      <c r="Q28" s="9"/>
      <c r="R28" s="9"/>
      <c r="S28" s="9"/>
      <c r="T28" s="9"/>
      <c r="U28" s="9"/>
      <c r="V28" s="9"/>
      <c r="W28" s="10"/>
      <c r="X28" s="10"/>
      <c r="Y28" s="10"/>
    </row>
    <row r="29" spans="1:25" ht="16.5" x14ac:dyDescent="0.3">
      <c r="A29" s="6"/>
      <c r="B29" s="6" t="s">
        <v>419</v>
      </c>
      <c r="C29" s="6">
        <f>B5*B6</f>
        <v>211254</v>
      </c>
      <c r="D29" s="6" t="s">
        <v>268</v>
      </c>
      <c r="E29" s="6"/>
      <c r="F29" s="6"/>
      <c r="G29" s="6"/>
      <c r="H29" s="6"/>
      <c r="I29" s="6"/>
      <c r="J29" s="187"/>
      <c r="K29" s="187"/>
      <c r="N29" s="9"/>
      <c r="O29" s="9" t="s">
        <v>419</v>
      </c>
      <c r="P29" s="9">
        <f>O5*O6</f>
        <v>211254</v>
      </c>
      <c r="Q29" s="9" t="s">
        <v>268</v>
      </c>
      <c r="R29" s="9"/>
      <c r="S29" s="9"/>
      <c r="T29" s="9"/>
      <c r="U29" s="9"/>
      <c r="V29" s="9"/>
      <c r="W29" s="10"/>
      <c r="X29" s="10"/>
      <c r="Y29" s="10"/>
    </row>
    <row r="30" spans="1:25" ht="15" x14ac:dyDescent="0.25">
      <c r="A30" s="6"/>
      <c r="B30" s="6"/>
      <c r="C30" s="6"/>
      <c r="D30" s="6"/>
      <c r="E30" s="6"/>
      <c r="F30" s="6"/>
      <c r="G30" s="6"/>
      <c r="H30" s="6"/>
      <c r="I30" s="6"/>
      <c r="J30" s="187"/>
      <c r="K30" s="187"/>
      <c r="N30" s="9"/>
      <c r="O30" s="9"/>
      <c r="P30" s="9"/>
      <c r="Q30" s="9"/>
      <c r="R30" s="9"/>
      <c r="S30" s="9"/>
      <c r="T30" s="9"/>
      <c r="U30" s="9"/>
      <c r="V30" s="9"/>
      <c r="W30" s="10"/>
      <c r="X30" s="10"/>
      <c r="Y30" s="10"/>
    </row>
    <row r="31" spans="1:25" ht="15" x14ac:dyDescent="0.25">
      <c r="A31" s="6"/>
      <c r="B31" s="11" t="s">
        <v>269</v>
      </c>
      <c r="C31" s="6"/>
      <c r="D31" s="6"/>
      <c r="E31" s="6"/>
      <c r="F31" s="6"/>
      <c r="G31" s="6"/>
      <c r="H31" s="6"/>
      <c r="I31" s="6"/>
      <c r="J31" s="187"/>
      <c r="K31" s="187"/>
      <c r="N31" s="9"/>
      <c r="O31" s="33" t="s">
        <v>499</v>
      </c>
      <c r="P31" s="9"/>
      <c r="Q31" s="9"/>
      <c r="R31" s="9"/>
      <c r="S31" s="9"/>
      <c r="T31" s="9"/>
      <c r="U31" s="9"/>
      <c r="V31" s="9"/>
      <c r="W31" s="10"/>
      <c r="X31" s="10"/>
      <c r="Y31" s="10"/>
    </row>
    <row r="32" spans="1:25" ht="15" x14ac:dyDescent="0.25">
      <c r="A32" s="6"/>
      <c r="B32" s="11"/>
      <c r="C32" s="106">
        <f>(C25/C29)*SQRT(B6/B8)</f>
        <v>0.41999927844045942</v>
      </c>
      <c r="D32" s="6"/>
      <c r="E32" s="6"/>
      <c r="F32" s="6"/>
      <c r="G32" s="6"/>
      <c r="H32" s="6"/>
      <c r="I32" s="6"/>
      <c r="J32" s="187"/>
      <c r="K32" s="187"/>
      <c r="N32" s="9"/>
      <c r="O32" s="33"/>
      <c r="P32" s="107">
        <f>(P25/P29)*SQRT(O6/O8)</f>
        <v>0.41999927844045942</v>
      </c>
      <c r="Q32" s="9"/>
      <c r="R32" s="9" t="s">
        <v>688</v>
      </c>
      <c r="S32" s="9"/>
      <c r="T32" s="9"/>
      <c r="U32" s="9"/>
      <c r="V32" s="9"/>
      <c r="W32" s="10"/>
      <c r="X32" s="10"/>
      <c r="Y32" s="10"/>
    </row>
    <row r="33" spans="1:25" ht="15" x14ac:dyDescent="0.25">
      <c r="A33" s="6"/>
      <c r="B33" s="11"/>
      <c r="C33" s="6"/>
      <c r="D33" s="6"/>
      <c r="E33" s="6"/>
      <c r="F33" s="6"/>
      <c r="G33" s="6"/>
      <c r="H33" s="6"/>
      <c r="I33" s="6"/>
      <c r="J33" s="187"/>
      <c r="K33" s="187"/>
      <c r="N33" s="9"/>
      <c r="O33" s="33"/>
      <c r="P33" s="9"/>
      <c r="Q33" s="9"/>
      <c r="R33" s="9"/>
      <c r="S33" s="9"/>
      <c r="T33" s="9"/>
      <c r="U33" s="9"/>
      <c r="V33" s="9"/>
      <c r="W33" s="10"/>
      <c r="X33" s="10"/>
      <c r="Y33" s="10"/>
    </row>
    <row r="34" spans="1:25" ht="15" x14ac:dyDescent="0.25">
      <c r="A34" s="6"/>
      <c r="B34" s="11"/>
      <c r="C34" s="6"/>
      <c r="D34" s="6"/>
      <c r="E34" s="6"/>
      <c r="F34" s="6"/>
      <c r="G34" s="6"/>
      <c r="H34" s="6"/>
      <c r="I34" s="6"/>
      <c r="J34" s="187"/>
      <c r="K34" s="187"/>
      <c r="N34" s="9"/>
      <c r="O34" s="33"/>
      <c r="P34" s="9"/>
      <c r="Q34" s="9"/>
      <c r="R34" s="9"/>
      <c r="S34" s="9"/>
      <c r="T34" s="9"/>
      <c r="U34" s="9"/>
      <c r="V34" s="9"/>
      <c r="W34" s="10"/>
      <c r="X34" s="10"/>
      <c r="Y34" s="10"/>
    </row>
    <row r="35" spans="1:25" ht="15" x14ac:dyDescent="0.25">
      <c r="A35" s="6"/>
      <c r="B35" s="6"/>
      <c r="C35" s="6"/>
      <c r="D35" s="6"/>
      <c r="E35" s="6"/>
      <c r="F35" s="6"/>
      <c r="G35" s="6"/>
      <c r="H35" s="6"/>
      <c r="I35" s="6"/>
      <c r="J35" s="187"/>
      <c r="K35" s="187"/>
      <c r="N35" s="9"/>
      <c r="O35" s="9"/>
      <c r="P35" s="9"/>
      <c r="Q35" s="9"/>
      <c r="R35" s="9"/>
      <c r="S35" s="9"/>
      <c r="T35" s="9"/>
      <c r="U35" s="9"/>
      <c r="V35" s="9"/>
      <c r="W35" s="10"/>
      <c r="X35" s="10"/>
      <c r="Y35" s="10"/>
    </row>
    <row r="36" spans="1:25" x14ac:dyDescent="0.2">
      <c r="A36" s="11" t="s">
        <v>270</v>
      </c>
      <c r="B36" s="11"/>
      <c r="C36" s="11"/>
      <c r="D36" s="11"/>
      <c r="E36" s="11"/>
      <c r="F36" s="11"/>
      <c r="G36" s="11"/>
      <c r="H36" s="11"/>
      <c r="I36" s="11"/>
      <c r="J36" s="187"/>
      <c r="K36" s="187"/>
      <c r="N36" s="95" t="s">
        <v>498</v>
      </c>
      <c r="O36" s="33"/>
      <c r="P36" s="33"/>
      <c r="Q36" s="33"/>
      <c r="R36" s="33"/>
      <c r="S36" s="33"/>
      <c r="T36" s="33"/>
      <c r="U36" s="33"/>
      <c r="V36" s="33"/>
      <c r="W36" s="10"/>
      <c r="X36" s="10"/>
      <c r="Y36" s="10"/>
    </row>
    <row r="37" spans="1:25" ht="18" customHeight="1" x14ac:dyDescent="0.2">
      <c r="A37" s="11"/>
      <c r="B37" s="11"/>
      <c r="C37" s="11"/>
      <c r="D37" s="11"/>
      <c r="E37" s="11"/>
      <c r="F37" s="11"/>
      <c r="G37" s="11"/>
      <c r="H37" s="11"/>
      <c r="I37" s="11"/>
      <c r="J37" s="187"/>
      <c r="K37" s="187"/>
      <c r="N37" s="33"/>
      <c r="O37" s="33"/>
      <c r="P37" s="33"/>
      <c r="Q37" s="33"/>
      <c r="R37" s="33"/>
      <c r="S37" s="33"/>
      <c r="T37" s="33"/>
      <c r="U37" s="33"/>
      <c r="V37" s="33"/>
      <c r="W37" s="10"/>
      <c r="X37" s="10"/>
      <c r="Y37" s="10"/>
    </row>
    <row r="38" spans="1:25" ht="15" x14ac:dyDescent="0.25">
      <c r="A38" s="6"/>
      <c r="B38" s="6"/>
      <c r="C38" s="6"/>
      <c r="D38" s="6"/>
      <c r="E38" s="6"/>
      <c r="F38" s="6"/>
      <c r="G38" s="6"/>
      <c r="H38" s="6"/>
      <c r="I38" s="6"/>
      <c r="J38" s="187"/>
      <c r="K38" s="187"/>
      <c r="N38" s="9"/>
      <c r="O38" s="9"/>
      <c r="P38" s="9"/>
      <c r="Q38" s="9"/>
      <c r="R38" s="9"/>
      <c r="S38" s="9"/>
      <c r="T38" s="9"/>
      <c r="U38" s="9"/>
      <c r="V38" s="9"/>
      <c r="W38" s="10"/>
      <c r="X38" s="10"/>
      <c r="Y38" s="10"/>
    </row>
    <row r="39" spans="1:25" ht="15" x14ac:dyDescent="0.25">
      <c r="A39" s="6"/>
      <c r="B39" s="6" t="s">
        <v>271</v>
      </c>
      <c r="C39" s="6">
        <v>2.5000000000000001E-2</v>
      </c>
      <c r="D39" s="6"/>
      <c r="E39" s="6"/>
      <c r="F39" s="6"/>
      <c r="G39" s="6"/>
      <c r="H39" s="6"/>
      <c r="I39" s="6"/>
      <c r="J39" s="187"/>
      <c r="K39" s="187"/>
      <c r="N39" s="9"/>
      <c r="O39" s="9" t="s">
        <v>271</v>
      </c>
      <c r="P39" s="233">
        <v>2.4E-2</v>
      </c>
      <c r="Q39" s="9"/>
      <c r="R39" s="9"/>
      <c r="S39" s="9"/>
      <c r="T39" s="9"/>
      <c r="U39" s="9"/>
      <c r="V39" s="9"/>
      <c r="W39" s="10"/>
      <c r="X39" s="10"/>
      <c r="Y39" s="10"/>
    </row>
    <row r="40" spans="1:25" ht="15" x14ac:dyDescent="0.25">
      <c r="A40" s="6"/>
      <c r="B40" s="6"/>
      <c r="C40" s="6"/>
      <c r="D40" s="6"/>
      <c r="E40" s="6"/>
      <c r="F40" s="6"/>
      <c r="G40" s="6"/>
      <c r="H40" s="6"/>
      <c r="I40" s="6"/>
      <c r="J40" s="187"/>
      <c r="K40" s="187"/>
      <c r="N40" s="9"/>
      <c r="O40" s="9"/>
      <c r="P40" s="9"/>
      <c r="Q40" s="9"/>
      <c r="R40" s="9"/>
      <c r="S40" s="9"/>
      <c r="T40" s="9"/>
      <c r="U40" s="9"/>
      <c r="V40" s="9"/>
      <c r="W40" s="10"/>
      <c r="X40" s="10"/>
      <c r="Y40" s="10"/>
    </row>
    <row r="41" spans="1:25" ht="18.75" x14ac:dyDescent="0.3">
      <c r="A41" s="6"/>
      <c r="B41" s="6" t="s">
        <v>272</v>
      </c>
      <c r="C41" s="106">
        <f>SQRT((32.17*B6*(B8-B6)*C39)/((B14^0.1)*C19*(62.4/B8)^0.1))</f>
        <v>1.6933590628083679</v>
      </c>
      <c r="D41" s="6" t="s">
        <v>420</v>
      </c>
      <c r="E41" s="6"/>
      <c r="F41" s="6"/>
      <c r="G41" s="6"/>
      <c r="H41" s="6"/>
      <c r="I41" s="6"/>
      <c r="J41" s="187"/>
      <c r="K41" s="187"/>
      <c r="N41" s="9"/>
      <c r="O41" s="9" t="s">
        <v>561</v>
      </c>
      <c r="P41" s="107">
        <f>SQRT((32.17*O6*(O8-O6)*P39)/((O14^0.1)*P19*(62.4/O8)^0.1))</f>
        <v>1.6591462620792132</v>
      </c>
      <c r="Q41" s="9" t="s">
        <v>420</v>
      </c>
      <c r="R41" s="9"/>
      <c r="S41" s="9"/>
      <c r="T41" s="9"/>
      <c r="U41" s="9"/>
      <c r="V41" s="9"/>
      <c r="W41" s="10"/>
      <c r="X41" s="10"/>
      <c r="Y41" s="10"/>
    </row>
    <row r="42" spans="1:25" ht="15" x14ac:dyDescent="0.25">
      <c r="A42" s="6"/>
      <c r="B42" s="6"/>
      <c r="C42" s="6"/>
      <c r="D42" s="6"/>
      <c r="E42" s="6"/>
      <c r="F42" s="6"/>
      <c r="G42" s="6"/>
      <c r="H42" s="6"/>
      <c r="I42" s="6"/>
      <c r="J42" s="187"/>
      <c r="K42" s="187"/>
      <c r="N42" s="9"/>
      <c r="O42" s="9"/>
      <c r="P42" s="9"/>
      <c r="Q42" s="9"/>
      <c r="R42" s="9"/>
      <c r="S42" s="9"/>
      <c r="T42" s="9"/>
      <c r="U42" s="9"/>
      <c r="V42" s="9"/>
      <c r="W42" s="10"/>
      <c r="X42" s="10"/>
      <c r="Y42" s="10"/>
    </row>
    <row r="43" spans="1:25" ht="15" x14ac:dyDescent="0.25">
      <c r="A43" s="11" t="s">
        <v>273</v>
      </c>
      <c r="B43" s="11"/>
      <c r="C43" s="11"/>
      <c r="D43" s="11"/>
      <c r="E43" s="11"/>
      <c r="F43" s="11"/>
      <c r="G43" s="11"/>
      <c r="H43" s="11"/>
      <c r="I43" s="6"/>
      <c r="J43" s="187"/>
      <c r="K43" s="187"/>
      <c r="N43" s="33" t="s">
        <v>273</v>
      </c>
      <c r="O43" s="33"/>
      <c r="P43" s="33"/>
      <c r="Q43" s="33"/>
      <c r="R43" s="33"/>
      <c r="S43" s="33"/>
      <c r="T43" s="33"/>
      <c r="U43" s="33"/>
      <c r="V43" s="9"/>
      <c r="W43" s="10"/>
      <c r="X43" s="10"/>
      <c r="Y43" s="10"/>
    </row>
    <row r="44" spans="1:25" ht="15" x14ac:dyDescent="0.25">
      <c r="A44" s="11"/>
      <c r="B44" s="11"/>
      <c r="C44" s="11"/>
      <c r="D44" s="11"/>
      <c r="E44" s="11"/>
      <c r="F44" s="11"/>
      <c r="G44" s="11"/>
      <c r="H44" s="11"/>
      <c r="I44" s="6"/>
      <c r="J44" s="187"/>
      <c r="K44" s="187"/>
      <c r="N44" s="33"/>
      <c r="O44" s="33"/>
      <c r="P44" s="33"/>
      <c r="Q44" s="33"/>
      <c r="R44" s="33"/>
      <c r="S44" s="33"/>
      <c r="T44" s="33"/>
      <c r="U44" s="33"/>
      <c r="V44" s="9"/>
      <c r="W44" s="10"/>
      <c r="X44" s="10"/>
      <c r="Y44" s="10"/>
    </row>
    <row r="45" spans="1:25" ht="15" x14ac:dyDescent="0.25">
      <c r="A45" s="6"/>
      <c r="B45" s="6"/>
      <c r="C45" s="6"/>
      <c r="D45" s="6"/>
      <c r="E45" s="6"/>
      <c r="F45" s="6"/>
      <c r="G45" s="6"/>
      <c r="H45" s="6"/>
      <c r="I45" s="6"/>
      <c r="J45" s="187"/>
      <c r="K45" s="187"/>
      <c r="N45" s="9"/>
      <c r="O45" s="9"/>
      <c r="P45" s="9"/>
      <c r="Q45" s="9"/>
      <c r="R45" s="9"/>
      <c r="S45" s="9"/>
      <c r="T45" s="9"/>
      <c r="U45" s="9"/>
      <c r="V45" s="9"/>
      <c r="W45" s="10"/>
      <c r="X45" s="10"/>
      <c r="Y45" s="10"/>
    </row>
    <row r="46" spans="1:25" ht="18.75" x14ac:dyDescent="0.3">
      <c r="A46" s="6"/>
      <c r="B46" s="6" t="s">
        <v>274</v>
      </c>
      <c r="C46" s="6">
        <f>C29/(C41*3600)</f>
        <v>34.65400100634622</v>
      </c>
      <c r="D46" s="6" t="s">
        <v>409</v>
      </c>
      <c r="E46" s="6"/>
      <c r="F46" s="6"/>
      <c r="G46" s="6"/>
      <c r="H46" s="6"/>
      <c r="I46" s="6"/>
      <c r="J46" s="187"/>
      <c r="K46" s="187"/>
      <c r="N46" s="9"/>
      <c r="O46" s="83" t="s">
        <v>675</v>
      </c>
      <c r="P46" s="9">
        <f>P29</f>
        <v>211254</v>
      </c>
      <c r="Q46" s="108" t="s">
        <v>575</v>
      </c>
      <c r="R46" s="169">
        <f>P41</f>
        <v>1.6591462620792132</v>
      </c>
      <c r="S46" s="9"/>
      <c r="T46" s="9"/>
      <c r="U46" s="9"/>
      <c r="V46" s="9"/>
      <c r="W46" s="10"/>
      <c r="X46" s="10"/>
      <c r="Y46" s="10"/>
    </row>
    <row r="47" spans="1:25" ht="15" x14ac:dyDescent="0.25">
      <c r="A47" s="6"/>
      <c r="B47" s="6"/>
      <c r="C47" s="6"/>
      <c r="D47" s="6"/>
      <c r="E47" s="6"/>
      <c r="F47" s="6"/>
      <c r="G47" s="6"/>
      <c r="H47" s="6"/>
      <c r="I47" s="6"/>
      <c r="J47" s="187"/>
      <c r="K47" s="187"/>
      <c r="N47" s="9"/>
      <c r="O47" s="9"/>
      <c r="P47" s="9"/>
      <c r="Q47" s="9"/>
      <c r="R47" s="9"/>
      <c r="S47" s="9"/>
      <c r="T47" s="9"/>
      <c r="U47" s="9"/>
      <c r="V47" s="9"/>
      <c r="W47" s="10"/>
      <c r="X47" s="10"/>
      <c r="Y47" s="10"/>
    </row>
    <row r="48" spans="1:25" ht="18" x14ac:dyDescent="0.25">
      <c r="A48" s="6" t="s">
        <v>275</v>
      </c>
      <c r="B48" s="6"/>
      <c r="C48" s="6"/>
      <c r="D48" s="6"/>
      <c r="E48" s="6"/>
      <c r="F48" s="6"/>
      <c r="G48" s="6"/>
      <c r="H48" s="6"/>
      <c r="I48" s="6"/>
      <c r="J48" s="187"/>
      <c r="K48" s="187"/>
      <c r="N48" s="9"/>
      <c r="O48" s="9" t="s">
        <v>274</v>
      </c>
      <c r="P48" s="9">
        <f>P29/(P41*3600)</f>
        <v>35.368591671434572</v>
      </c>
      <c r="Q48" s="9" t="s">
        <v>409</v>
      </c>
      <c r="R48" s="9"/>
      <c r="S48" s="9"/>
      <c r="T48" s="9"/>
      <c r="U48" s="9"/>
      <c r="V48" s="9"/>
      <c r="W48" s="10"/>
      <c r="X48" s="10"/>
      <c r="Y48" s="10"/>
    </row>
    <row r="49" spans="1:25" ht="15" x14ac:dyDescent="0.25">
      <c r="A49" s="6"/>
      <c r="B49" s="6"/>
      <c r="C49" s="6"/>
      <c r="D49" s="6"/>
      <c r="E49" s="6"/>
      <c r="F49" s="6"/>
      <c r="G49" s="6"/>
      <c r="H49" s="6"/>
      <c r="I49" s="6"/>
      <c r="J49" s="187"/>
      <c r="K49" s="187"/>
      <c r="N49" s="9"/>
      <c r="O49" s="9"/>
      <c r="P49" s="9"/>
      <c r="Q49" s="9"/>
      <c r="R49" s="9"/>
      <c r="S49" s="9"/>
      <c r="T49" s="9"/>
      <c r="U49" s="9"/>
      <c r="V49" s="9"/>
      <c r="W49" s="10"/>
      <c r="X49" s="10"/>
      <c r="Y49" s="10"/>
    </row>
    <row r="50" spans="1:25" ht="16.5" x14ac:dyDescent="0.3">
      <c r="A50" s="6"/>
      <c r="B50" s="6" t="s">
        <v>421</v>
      </c>
      <c r="C50" s="111">
        <f>SQRT(C46*4/PI())</f>
        <v>6.6425028765196732</v>
      </c>
      <c r="D50" s="6" t="s">
        <v>96</v>
      </c>
      <c r="E50" s="6"/>
      <c r="F50" s="6"/>
      <c r="G50" s="6"/>
      <c r="H50" s="6"/>
      <c r="I50" s="6"/>
      <c r="J50" s="187"/>
      <c r="K50" s="187"/>
      <c r="N50" s="9" t="s">
        <v>275</v>
      </c>
      <c r="O50" s="9"/>
      <c r="P50" s="9"/>
      <c r="Q50" s="9"/>
      <c r="R50" s="9"/>
      <c r="S50" s="9"/>
      <c r="T50" s="9"/>
      <c r="U50" s="9"/>
      <c r="V50" s="9"/>
      <c r="W50" s="10"/>
      <c r="X50" s="10"/>
      <c r="Y50" s="10"/>
    </row>
    <row r="51" spans="1:25" ht="15" x14ac:dyDescent="0.25">
      <c r="A51" s="6"/>
      <c r="B51" s="6"/>
      <c r="C51" s="6"/>
      <c r="D51" s="6"/>
      <c r="E51" s="6"/>
      <c r="F51" s="6"/>
      <c r="G51" s="6"/>
      <c r="H51" s="6"/>
      <c r="I51" s="6"/>
      <c r="J51" s="187"/>
      <c r="K51" s="187"/>
      <c r="N51" s="9"/>
      <c r="O51" s="9"/>
      <c r="P51" s="9"/>
      <c r="Q51" s="9"/>
      <c r="R51" s="9"/>
      <c r="S51" s="9"/>
      <c r="T51" s="9"/>
      <c r="U51" s="9"/>
      <c r="V51" s="9"/>
      <c r="W51" s="10"/>
      <c r="X51" s="10"/>
      <c r="Y51" s="10"/>
    </row>
    <row r="52" spans="1:25" ht="16.5" x14ac:dyDescent="0.3">
      <c r="A52" s="6" t="s">
        <v>276</v>
      </c>
      <c r="B52" s="6"/>
      <c r="C52" s="6"/>
      <c r="D52" s="6"/>
      <c r="E52" s="6"/>
      <c r="F52" s="6"/>
      <c r="G52" s="6"/>
      <c r="H52" s="6"/>
      <c r="I52" s="6"/>
      <c r="J52" s="187"/>
      <c r="K52" s="187"/>
      <c r="N52" s="9"/>
      <c r="O52" s="9" t="s">
        <v>421</v>
      </c>
      <c r="P52" s="190">
        <f>SQRT(P48*4/PI())</f>
        <v>6.7106400259335341</v>
      </c>
      <c r="Q52" s="9" t="s">
        <v>96</v>
      </c>
      <c r="R52" s="9"/>
      <c r="S52" s="9"/>
      <c r="T52" s="9"/>
      <c r="U52" s="9"/>
      <c r="V52" s="9"/>
      <c r="W52" s="10"/>
      <c r="X52" s="10"/>
      <c r="Y52" s="10"/>
    </row>
    <row r="53" spans="1:25" ht="15" x14ac:dyDescent="0.25">
      <c r="N53" s="9"/>
      <c r="O53" s="9"/>
      <c r="P53" s="9"/>
      <c r="Q53" s="9"/>
      <c r="R53" s="9"/>
      <c r="S53" s="9"/>
      <c r="T53" s="9"/>
      <c r="U53" s="9"/>
      <c r="V53" s="9"/>
      <c r="W53" s="10"/>
      <c r="X53" s="10"/>
      <c r="Y53" s="10"/>
    </row>
    <row r="54" spans="1:25" ht="15" x14ac:dyDescent="0.25">
      <c r="N54" s="9" t="s">
        <v>500</v>
      </c>
      <c r="O54" s="9"/>
      <c r="P54" s="9"/>
      <c r="Q54" s="9"/>
      <c r="R54" s="9"/>
      <c r="S54" s="9"/>
      <c r="T54" s="9"/>
      <c r="U54" s="9"/>
      <c r="V54" s="9"/>
      <c r="W54" s="10"/>
      <c r="X54" s="10"/>
      <c r="Y54" s="10"/>
    </row>
    <row r="56" spans="1:25" ht="15" x14ac:dyDescent="0.25">
      <c r="A56" s="77" t="s">
        <v>718</v>
      </c>
    </row>
    <row r="57" spans="1:25" ht="15" x14ac:dyDescent="0.25">
      <c r="A57" s="77" t="s">
        <v>719</v>
      </c>
    </row>
    <row r="58" spans="1:25" ht="15" x14ac:dyDescent="0.25">
      <c r="A58" s="77" t="s">
        <v>720</v>
      </c>
    </row>
    <row r="59" spans="1:25" ht="15" x14ac:dyDescent="0.25">
      <c r="A59" s="77" t="s">
        <v>721</v>
      </c>
    </row>
    <row r="60" spans="1:25" ht="15" x14ac:dyDescent="0.25">
      <c r="A60" s="77" t="s">
        <v>722</v>
      </c>
    </row>
  </sheetData>
  <sheetProtection password="F030" sheet="1" objects="1" scenarios="1"/>
  <mergeCells count="7">
    <mergeCell ref="O31:O34"/>
    <mergeCell ref="N36:V37"/>
    <mergeCell ref="N43:U44"/>
    <mergeCell ref="A2:I3"/>
    <mergeCell ref="B31:B34"/>
    <mergeCell ref="A36:I37"/>
    <mergeCell ref="A43:H44"/>
  </mergeCells>
  <phoneticPr fontId="3"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9"/>
  <sheetViews>
    <sheetView topLeftCell="E106" zoomScale="80" zoomScaleNormal="80" workbookViewId="0">
      <selection activeCell="P113" sqref="P113"/>
    </sheetView>
  </sheetViews>
  <sheetFormatPr defaultRowHeight="12.75" x14ac:dyDescent="0.2"/>
  <cols>
    <col min="1" max="1" width="9.140625" style="7"/>
    <col min="2" max="2" width="21.28515625" style="7" customWidth="1"/>
    <col min="3" max="13" width="9.140625" style="7"/>
    <col min="14" max="14" width="10.42578125" style="7" customWidth="1"/>
    <col min="15" max="15" width="16.5703125" style="7" customWidth="1"/>
    <col min="16" max="16" width="9.140625" style="7"/>
    <col min="17" max="17" width="12.85546875" style="7" customWidth="1"/>
    <col min="18" max="18" width="20.42578125" style="7" customWidth="1"/>
    <col min="19" max="19" width="9.5703125" style="7" bestFit="1" customWidth="1"/>
    <col min="20" max="20" width="12" style="7" bestFit="1" customWidth="1"/>
    <col min="21" max="16384" width="9.140625" style="7"/>
  </cols>
  <sheetData>
    <row r="1" spans="1:25" ht="15" x14ac:dyDescent="0.25">
      <c r="A1" s="5" t="s">
        <v>535</v>
      </c>
      <c r="B1" s="6"/>
      <c r="C1" s="6"/>
      <c r="D1" s="6"/>
      <c r="E1" s="6"/>
      <c r="F1" s="6"/>
      <c r="G1" s="6"/>
      <c r="H1" s="6"/>
      <c r="I1" s="6"/>
      <c r="J1" s="6"/>
      <c r="K1" s="6"/>
      <c r="N1" s="188" t="s">
        <v>654</v>
      </c>
      <c r="O1" s="10"/>
      <c r="P1" s="10"/>
      <c r="Q1" s="10"/>
      <c r="R1" s="10"/>
      <c r="S1" s="10"/>
      <c r="T1" s="10"/>
      <c r="U1" s="10"/>
      <c r="V1" s="10"/>
      <c r="W1" s="10"/>
      <c r="X1" s="10"/>
      <c r="Y1" s="10"/>
    </row>
    <row r="2" spans="1:25" ht="12.75" customHeight="1" x14ac:dyDescent="0.25">
      <c r="A2" s="11" t="s">
        <v>301</v>
      </c>
      <c r="B2" s="11"/>
      <c r="C2" s="11"/>
      <c r="D2" s="11"/>
      <c r="E2" s="11"/>
      <c r="F2" s="11"/>
      <c r="G2" s="11"/>
      <c r="H2" s="11"/>
      <c r="I2" s="11"/>
      <c r="J2" s="11"/>
      <c r="K2" s="11"/>
      <c r="N2" s="33" t="s">
        <v>504</v>
      </c>
      <c r="O2" s="33"/>
      <c r="P2" s="33"/>
      <c r="Q2" s="33"/>
      <c r="R2" s="33"/>
      <c r="S2" s="33"/>
      <c r="T2" s="33"/>
      <c r="U2" s="33"/>
      <c r="V2" s="33"/>
      <c r="W2" s="33"/>
      <c r="X2" s="33"/>
      <c r="Y2" s="10"/>
    </row>
    <row r="3" spans="1:25" ht="12.75" customHeight="1" x14ac:dyDescent="0.25">
      <c r="A3" s="11"/>
      <c r="B3" s="11"/>
      <c r="C3" s="11"/>
      <c r="D3" s="11"/>
      <c r="E3" s="11"/>
      <c r="F3" s="11"/>
      <c r="G3" s="11"/>
      <c r="H3" s="11"/>
      <c r="I3" s="11"/>
      <c r="J3" s="11"/>
      <c r="K3" s="11"/>
      <c r="N3" s="95" t="s">
        <v>475</v>
      </c>
      <c r="O3" s="95"/>
      <c r="P3" s="95"/>
      <c r="Q3" s="95"/>
      <c r="R3" s="95"/>
      <c r="S3" s="95"/>
      <c r="T3" s="95"/>
      <c r="U3" s="95"/>
      <c r="V3" s="95"/>
      <c r="W3" s="95"/>
      <c r="X3" s="12"/>
      <c r="Y3" s="10"/>
    </row>
    <row r="4" spans="1:25" ht="12.75" customHeight="1" x14ac:dyDescent="0.25">
      <c r="A4" s="11"/>
      <c r="B4" s="11"/>
      <c r="C4" s="11"/>
      <c r="D4" s="11"/>
      <c r="E4" s="11"/>
      <c r="F4" s="11"/>
      <c r="G4" s="11"/>
      <c r="H4" s="11"/>
      <c r="I4" s="11"/>
      <c r="J4" s="11"/>
      <c r="K4" s="11"/>
      <c r="N4" s="191"/>
      <c r="O4" s="191"/>
      <c r="P4" s="191"/>
      <c r="Q4" s="191"/>
      <c r="R4" s="191"/>
      <c r="S4" s="191"/>
      <c r="T4" s="191"/>
      <c r="U4" s="191"/>
      <c r="V4" s="191"/>
      <c r="W4" s="191"/>
      <c r="X4" s="12"/>
      <c r="Y4" s="10"/>
    </row>
    <row r="5" spans="1:25" ht="19.5" customHeight="1" x14ac:dyDescent="0.25">
      <c r="A5" s="11"/>
      <c r="B5" s="11"/>
      <c r="C5" s="11"/>
      <c r="D5" s="11"/>
      <c r="E5" s="11"/>
      <c r="F5" s="11"/>
      <c r="G5" s="11"/>
      <c r="H5" s="11"/>
      <c r="I5" s="11"/>
      <c r="J5" s="11"/>
      <c r="K5" s="11"/>
      <c r="N5" s="228">
        <v>40800</v>
      </c>
      <c r="O5" s="33" t="s">
        <v>501</v>
      </c>
      <c r="P5" s="33"/>
      <c r="Q5" s="239">
        <v>4</v>
      </c>
      <c r="R5" s="93" t="s">
        <v>502</v>
      </c>
      <c r="S5" s="9" t="s">
        <v>682</v>
      </c>
      <c r="T5" s="10"/>
      <c r="U5" s="12"/>
      <c r="V5" s="12"/>
      <c r="W5" s="12"/>
      <c r="X5" s="12"/>
      <c r="Y5" s="10"/>
    </row>
    <row r="6" spans="1:25" ht="15" x14ac:dyDescent="0.25">
      <c r="A6" s="6"/>
      <c r="B6" s="6"/>
      <c r="C6" s="6"/>
      <c r="D6" s="6"/>
      <c r="E6" s="6"/>
      <c r="F6" s="6"/>
      <c r="G6" s="6"/>
      <c r="H6" s="6"/>
      <c r="I6" s="6"/>
      <c r="J6" s="6"/>
      <c r="K6" s="6"/>
      <c r="N6" s="9"/>
      <c r="O6" s="9"/>
      <c r="P6" s="9"/>
      <c r="Q6" s="9"/>
      <c r="R6" s="9"/>
      <c r="S6" s="9"/>
      <c r="T6" s="9"/>
      <c r="U6" s="9"/>
      <c r="V6" s="9"/>
      <c r="W6" s="9"/>
      <c r="X6" s="9"/>
      <c r="Y6" s="10"/>
    </row>
    <row r="7" spans="1:25" ht="15" x14ac:dyDescent="0.25">
      <c r="A7" s="6" t="s">
        <v>277</v>
      </c>
      <c r="B7" s="6"/>
      <c r="C7" s="6"/>
      <c r="D7" s="6"/>
      <c r="E7" s="6"/>
      <c r="F7" s="6"/>
      <c r="G7" s="6"/>
      <c r="H7" s="6"/>
      <c r="I7" s="6"/>
      <c r="J7" s="6"/>
      <c r="K7" s="6"/>
      <c r="N7" s="9" t="s">
        <v>277</v>
      </c>
      <c r="O7" s="9"/>
      <c r="P7" s="9"/>
      <c r="Q7" s="9"/>
      <c r="R7" s="9"/>
      <c r="S7" s="9"/>
      <c r="T7" s="9"/>
      <c r="U7" s="9"/>
      <c r="V7" s="9"/>
      <c r="W7" s="9"/>
      <c r="X7" s="9"/>
      <c r="Y7" s="10"/>
    </row>
    <row r="8" spans="1:25" ht="15" x14ac:dyDescent="0.25">
      <c r="A8" s="6"/>
      <c r="B8" s="6" t="s">
        <v>283</v>
      </c>
      <c r="C8" s="6">
        <v>0.62</v>
      </c>
      <c r="D8" s="6" t="s">
        <v>97</v>
      </c>
      <c r="E8" s="6"/>
      <c r="F8" s="6"/>
      <c r="G8" s="6"/>
      <c r="H8" s="6"/>
      <c r="I8" s="6"/>
      <c r="J8" s="6"/>
      <c r="K8" s="6"/>
      <c r="N8" s="9"/>
      <c r="O8" s="9" t="s">
        <v>283</v>
      </c>
      <c r="P8" s="233">
        <v>0.62</v>
      </c>
      <c r="Q8" s="9" t="s">
        <v>97</v>
      </c>
      <c r="R8" s="9"/>
      <c r="S8" s="9"/>
      <c r="T8" s="9"/>
      <c r="U8" s="9"/>
      <c r="V8" s="9"/>
      <c r="W8" s="9"/>
      <c r="X8" s="9"/>
      <c r="Y8" s="10"/>
    </row>
    <row r="9" spans="1:25" ht="18" x14ac:dyDescent="0.25">
      <c r="A9" s="6"/>
      <c r="B9" s="6" t="s">
        <v>278</v>
      </c>
      <c r="C9" s="6">
        <v>0.1963</v>
      </c>
      <c r="D9" s="6" t="s">
        <v>422</v>
      </c>
      <c r="E9" s="6"/>
      <c r="F9" s="6"/>
      <c r="G9" s="6"/>
      <c r="H9" s="6"/>
      <c r="I9" s="6"/>
      <c r="J9" s="6"/>
      <c r="K9" s="6"/>
      <c r="N9" s="9"/>
      <c r="O9" s="9" t="s">
        <v>278</v>
      </c>
      <c r="P9" s="233">
        <v>0.1963</v>
      </c>
      <c r="Q9" s="9" t="s">
        <v>422</v>
      </c>
      <c r="R9" s="9"/>
      <c r="S9" s="9"/>
      <c r="T9" s="9"/>
      <c r="U9" s="9"/>
      <c r="V9" s="9"/>
      <c r="W9" s="9"/>
      <c r="X9" s="9"/>
      <c r="Y9" s="10"/>
    </row>
    <row r="10" spans="1:25" ht="18" x14ac:dyDescent="0.25">
      <c r="A10" s="6"/>
      <c r="B10" s="6" t="s">
        <v>279</v>
      </c>
      <c r="C10" s="6">
        <v>0.30199999999999999</v>
      </c>
      <c r="D10" s="6" t="s">
        <v>423</v>
      </c>
      <c r="E10" s="6"/>
      <c r="F10" s="6"/>
      <c r="G10" s="6"/>
      <c r="H10" s="6"/>
      <c r="I10" s="6"/>
      <c r="J10" s="6"/>
      <c r="K10" s="6"/>
      <c r="N10" s="9"/>
      <c r="O10" s="9" t="s">
        <v>279</v>
      </c>
      <c r="P10" s="233">
        <v>0.30199999999999999</v>
      </c>
      <c r="Q10" s="9" t="s">
        <v>423</v>
      </c>
      <c r="R10" s="9"/>
      <c r="S10" s="9"/>
      <c r="T10" s="9"/>
      <c r="U10" s="9"/>
      <c r="V10" s="9"/>
      <c r="W10" s="9"/>
      <c r="X10" s="9"/>
      <c r="Y10" s="10"/>
    </row>
    <row r="11" spans="1:25" ht="18" x14ac:dyDescent="0.25">
      <c r="A11" s="6"/>
      <c r="B11" s="6" t="s">
        <v>280</v>
      </c>
      <c r="C11" s="6">
        <v>2.27</v>
      </c>
      <c r="D11" s="6" t="s">
        <v>401</v>
      </c>
      <c r="E11" s="6"/>
      <c r="F11" s="6"/>
      <c r="G11" s="6"/>
      <c r="H11" s="6"/>
      <c r="I11" s="6"/>
      <c r="J11" s="6"/>
      <c r="K11" s="6"/>
      <c r="N11" s="9"/>
      <c r="O11" s="9" t="s">
        <v>280</v>
      </c>
      <c r="P11" s="233">
        <v>2.27</v>
      </c>
      <c r="Q11" s="9" t="s">
        <v>401</v>
      </c>
      <c r="R11" s="9"/>
      <c r="S11" s="9"/>
      <c r="T11" s="9"/>
      <c r="U11" s="9"/>
      <c r="V11" s="9"/>
      <c r="W11" s="9"/>
      <c r="X11" s="9"/>
      <c r="Y11" s="10"/>
    </row>
    <row r="12" spans="1:25" ht="15" x14ac:dyDescent="0.25">
      <c r="A12" s="6"/>
      <c r="B12" s="6" t="s">
        <v>281</v>
      </c>
      <c r="C12" s="6">
        <v>0.1</v>
      </c>
      <c r="D12" s="6" t="s">
        <v>262</v>
      </c>
      <c r="E12" s="6"/>
      <c r="F12" s="6"/>
      <c r="G12" s="6"/>
      <c r="H12" s="6"/>
      <c r="I12" s="6"/>
      <c r="J12" s="6"/>
      <c r="K12" s="6"/>
      <c r="N12" s="9"/>
      <c r="O12" s="9" t="s">
        <v>281</v>
      </c>
      <c r="P12" s="233">
        <v>0.1</v>
      </c>
      <c r="Q12" s="9" t="s">
        <v>262</v>
      </c>
      <c r="R12" s="9"/>
      <c r="S12" s="9"/>
      <c r="T12" s="9"/>
      <c r="U12" s="9"/>
      <c r="V12" s="9"/>
      <c r="W12" s="9"/>
      <c r="X12" s="9"/>
      <c r="Y12" s="10"/>
    </row>
    <row r="13" spans="1:25" ht="15" x14ac:dyDescent="0.25">
      <c r="A13" s="6"/>
      <c r="B13" s="6" t="s">
        <v>282</v>
      </c>
      <c r="C13" s="6">
        <v>0.43</v>
      </c>
      <c r="D13" s="6"/>
      <c r="E13" s="6"/>
      <c r="F13" s="6"/>
      <c r="G13" s="6"/>
      <c r="H13" s="6"/>
      <c r="I13" s="6"/>
      <c r="J13" s="6"/>
      <c r="K13" s="6"/>
      <c r="N13" s="9"/>
      <c r="O13" s="9" t="s">
        <v>282</v>
      </c>
      <c r="P13" s="233">
        <v>0.43</v>
      </c>
      <c r="Q13" s="9"/>
      <c r="R13" s="9"/>
      <c r="S13" s="9"/>
      <c r="T13" s="9"/>
      <c r="U13" s="9"/>
      <c r="V13" s="9"/>
      <c r="W13" s="9"/>
      <c r="X13" s="9"/>
      <c r="Y13" s="10"/>
    </row>
    <row r="14" spans="1:25" ht="15" x14ac:dyDescent="0.25">
      <c r="A14" s="6"/>
      <c r="B14" s="6"/>
      <c r="C14" s="6"/>
      <c r="D14" s="6"/>
      <c r="E14" s="6"/>
      <c r="F14" s="6"/>
      <c r="G14" s="6"/>
      <c r="H14" s="6"/>
      <c r="I14" s="6"/>
      <c r="J14" s="6"/>
      <c r="K14" s="6"/>
      <c r="N14" s="9"/>
      <c r="O14" s="9"/>
      <c r="P14" s="9"/>
      <c r="Q14" s="9"/>
      <c r="R14" s="9"/>
      <c r="S14" s="9"/>
      <c r="T14" s="9"/>
      <c r="U14" s="9"/>
      <c r="V14" s="9"/>
      <c r="W14" s="9"/>
      <c r="X14" s="9"/>
      <c r="Y14" s="10"/>
    </row>
    <row r="15" spans="1:25" ht="15" x14ac:dyDescent="0.25">
      <c r="A15" s="6" t="s">
        <v>284</v>
      </c>
      <c r="B15" s="6"/>
      <c r="C15" s="6"/>
      <c r="D15" s="6"/>
      <c r="E15" s="6"/>
      <c r="F15" s="6"/>
      <c r="G15" s="6"/>
      <c r="H15" s="6"/>
      <c r="I15" s="6"/>
      <c r="J15" s="6"/>
      <c r="K15" s="6"/>
      <c r="N15" s="9" t="s">
        <v>503</v>
      </c>
      <c r="O15" s="9"/>
      <c r="P15" s="9"/>
      <c r="Q15" s="9"/>
      <c r="R15" s="9"/>
      <c r="S15" s="9"/>
      <c r="T15" s="9"/>
      <c r="U15" s="9"/>
      <c r="V15" s="9"/>
      <c r="W15" s="9"/>
      <c r="X15" s="9"/>
      <c r="Y15" s="10"/>
    </row>
    <row r="16" spans="1:25" ht="15" x14ac:dyDescent="0.25">
      <c r="A16" s="6"/>
      <c r="B16" s="6"/>
      <c r="C16" s="6"/>
      <c r="D16" s="6"/>
      <c r="E16" s="6"/>
      <c r="F16" s="6"/>
      <c r="G16" s="6"/>
      <c r="H16" s="6"/>
      <c r="I16" s="6"/>
      <c r="J16" s="6"/>
      <c r="K16" s="6"/>
      <c r="N16" s="9"/>
      <c r="O16" s="9"/>
      <c r="P16" s="9"/>
      <c r="Q16" s="9"/>
      <c r="R16" s="9"/>
      <c r="S16" s="9"/>
      <c r="T16" s="9"/>
      <c r="U16" s="9"/>
      <c r="V16" s="9"/>
      <c r="W16" s="9"/>
      <c r="X16" s="9"/>
      <c r="Y16" s="10"/>
    </row>
    <row r="17" spans="1:25" ht="33" customHeight="1" x14ac:dyDescent="0.25">
      <c r="A17" s="6"/>
      <c r="B17" s="15" t="s">
        <v>285</v>
      </c>
      <c r="C17" s="6">
        <v>241</v>
      </c>
      <c r="D17" s="6" t="s">
        <v>287</v>
      </c>
      <c r="E17" s="6"/>
      <c r="F17" s="6"/>
      <c r="G17" s="6"/>
      <c r="H17" s="6"/>
      <c r="I17" s="6"/>
      <c r="J17" s="6"/>
      <c r="K17" s="6"/>
      <c r="N17" s="9"/>
      <c r="O17" s="192" t="s">
        <v>506</v>
      </c>
      <c r="P17" s="246">
        <v>228</v>
      </c>
      <c r="Q17" s="105" t="s">
        <v>508</v>
      </c>
      <c r="R17" s="12" t="s">
        <v>618</v>
      </c>
      <c r="S17" s="233">
        <v>241</v>
      </c>
      <c r="T17" s="9" t="s">
        <v>287</v>
      </c>
      <c r="U17" s="10"/>
      <c r="V17" s="10"/>
      <c r="W17" s="9"/>
      <c r="X17" s="9"/>
      <c r="Y17" s="10"/>
    </row>
    <row r="18" spans="1:25" ht="32.25" customHeight="1" x14ac:dyDescent="0.25">
      <c r="A18" s="6"/>
      <c r="B18" s="15" t="s">
        <v>286</v>
      </c>
      <c r="C18" s="6">
        <v>338</v>
      </c>
      <c r="D18" s="6" t="s">
        <v>287</v>
      </c>
      <c r="E18" s="6"/>
      <c r="F18" s="6"/>
      <c r="G18" s="6"/>
      <c r="H18" s="6"/>
      <c r="I18" s="6"/>
      <c r="J18" s="6"/>
      <c r="K18" s="6"/>
      <c r="N18" s="9"/>
      <c r="O18" s="192" t="s">
        <v>507</v>
      </c>
      <c r="P18" s="246">
        <v>290</v>
      </c>
      <c r="Q18" s="9" t="s">
        <v>309</v>
      </c>
      <c r="R18" s="12" t="s">
        <v>505</v>
      </c>
      <c r="S18" s="233">
        <v>338</v>
      </c>
      <c r="T18" s="9" t="s">
        <v>287</v>
      </c>
      <c r="U18" s="10"/>
      <c r="V18" s="10"/>
      <c r="W18" s="9"/>
      <c r="X18" s="9"/>
      <c r="Y18" s="10"/>
    </row>
    <row r="19" spans="1:25" ht="15" x14ac:dyDescent="0.25">
      <c r="A19" s="6"/>
      <c r="B19" s="6"/>
      <c r="C19" s="6"/>
      <c r="D19" s="6"/>
      <c r="E19" s="6"/>
      <c r="F19" s="6"/>
      <c r="G19" s="6"/>
      <c r="H19" s="6"/>
      <c r="I19" s="6"/>
      <c r="J19" s="6"/>
      <c r="K19" s="6"/>
      <c r="N19" s="9"/>
      <c r="O19" s="9"/>
      <c r="P19" s="9"/>
      <c r="Q19" s="9"/>
      <c r="R19" s="9"/>
      <c r="S19" s="9"/>
      <c r="T19" s="9"/>
      <c r="U19" s="9"/>
      <c r="V19" s="9"/>
      <c r="W19" s="9"/>
      <c r="X19" s="9"/>
      <c r="Y19" s="10"/>
    </row>
    <row r="20" spans="1:25" ht="15" x14ac:dyDescent="0.25">
      <c r="A20" s="6" t="s">
        <v>288</v>
      </c>
      <c r="B20" s="6"/>
      <c r="C20" s="6"/>
      <c r="D20" s="6"/>
      <c r="E20" s="6"/>
      <c r="F20" s="6"/>
      <c r="G20" s="6"/>
      <c r="H20" s="6"/>
      <c r="I20" s="6"/>
      <c r="J20" s="6"/>
      <c r="K20" s="6"/>
      <c r="N20" s="9" t="s">
        <v>509</v>
      </c>
      <c r="O20" s="9"/>
      <c r="P20" s="9"/>
      <c r="Q20" s="9"/>
      <c r="R20" s="9"/>
      <c r="S20" s="9"/>
      <c r="T20" s="9"/>
      <c r="U20" s="9"/>
      <c r="V20" s="9"/>
      <c r="W20" s="9"/>
      <c r="X20" s="9"/>
      <c r="Y20" s="10"/>
    </row>
    <row r="21" spans="1:25" ht="15" x14ac:dyDescent="0.25">
      <c r="A21" s="6"/>
      <c r="B21" s="6"/>
      <c r="C21" s="6"/>
      <c r="D21" s="6"/>
      <c r="E21" s="6"/>
      <c r="F21" s="6"/>
      <c r="G21" s="6"/>
      <c r="H21" s="6"/>
      <c r="I21" s="6"/>
      <c r="J21" s="6"/>
      <c r="K21" s="6"/>
      <c r="N21" s="9"/>
      <c r="O21" s="9"/>
      <c r="P21" s="9"/>
      <c r="Q21" s="9"/>
      <c r="R21" s="9"/>
      <c r="S21" s="9"/>
      <c r="T21" s="9"/>
      <c r="U21" s="9"/>
      <c r="V21" s="9"/>
      <c r="W21" s="9"/>
      <c r="X21" s="9"/>
      <c r="Y21" s="10"/>
    </row>
    <row r="22" spans="1:25" ht="15" x14ac:dyDescent="0.25">
      <c r="A22" s="6"/>
      <c r="B22" s="6" t="s">
        <v>289</v>
      </c>
      <c r="C22" s="6"/>
      <c r="D22" s="6"/>
      <c r="E22" s="6"/>
      <c r="F22" s="6"/>
      <c r="G22" s="6"/>
      <c r="H22" s="6"/>
      <c r="I22" s="6"/>
      <c r="J22" s="6"/>
      <c r="K22" s="6"/>
      <c r="N22" s="9"/>
      <c r="O22" s="83" t="s">
        <v>616</v>
      </c>
      <c r="P22" s="9">
        <f>N5</f>
        <v>40800</v>
      </c>
      <c r="Q22" s="22" t="s">
        <v>573</v>
      </c>
      <c r="R22" s="31">
        <f>(S18-S17)</f>
        <v>97</v>
      </c>
      <c r="S22" s="9"/>
      <c r="T22" s="9"/>
      <c r="U22" s="9"/>
      <c r="V22" s="9"/>
      <c r="W22" s="9"/>
      <c r="X22" s="9"/>
      <c r="Y22" s="10"/>
    </row>
    <row r="23" spans="1:25" ht="15" x14ac:dyDescent="0.25">
      <c r="A23" s="6"/>
      <c r="B23" s="6" t="s">
        <v>178</v>
      </c>
      <c r="C23" s="6">
        <f>40800*(C18-C17)</f>
        <v>3957600</v>
      </c>
      <c r="D23" s="6" t="s">
        <v>294</v>
      </c>
      <c r="E23" s="6"/>
      <c r="F23" s="6"/>
      <c r="G23" s="6"/>
      <c r="H23" s="6"/>
      <c r="I23" s="6"/>
      <c r="J23" s="6"/>
      <c r="K23" s="6"/>
      <c r="N23" s="9"/>
      <c r="O23" s="83" t="s">
        <v>178</v>
      </c>
      <c r="P23" s="9">
        <f>N5*(S18-S17)</f>
        <v>3957600</v>
      </c>
      <c r="Q23" s="9" t="s">
        <v>294</v>
      </c>
      <c r="R23" s="9"/>
      <c r="S23" s="9"/>
      <c r="T23" s="9"/>
      <c r="U23" s="9"/>
      <c r="V23" s="9"/>
      <c r="W23" s="9"/>
      <c r="X23" s="9"/>
      <c r="Y23" s="10"/>
    </row>
    <row r="24" spans="1:25" ht="15" x14ac:dyDescent="0.25">
      <c r="A24" s="6"/>
      <c r="B24" s="6"/>
      <c r="C24" s="6"/>
      <c r="D24" s="6"/>
      <c r="E24" s="6"/>
      <c r="F24" s="6"/>
      <c r="G24" s="6"/>
      <c r="H24" s="6"/>
      <c r="I24" s="6"/>
      <c r="J24" s="6"/>
      <c r="K24" s="6"/>
      <c r="N24" s="9"/>
      <c r="O24" s="9"/>
      <c r="P24" s="9"/>
      <c r="Q24" s="9"/>
      <c r="R24" s="9"/>
      <c r="S24" s="9"/>
      <c r="T24" s="9"/>
      <c r="U24" s="9"/>
      <c r="V24" s="9"/>
      <c r="W24" s="9"/>
      <c r="X24" s="9"/>
      <c r="Y24" s="10"/>
    </row>
    <row r="25" spans="1:25" ht="15" x14ac:dyDescent="0.25">
      <c r="A25" s="6" t="s">
        <v>290</v>
      </c>
      <c r="B25" s="6"/>
      <c r="C25" s="6"/>
      <c r="D25" s="6"/>
      <c r="E25" s="6"/>
      <c r="F25" s="6"/>
      <c r="G25" s="6"/>
      <c r="H25" s="6"/>
      <c r="I25" s="6"/>
      <c r="J25" s="6"/>
      <c r="K25" s="6"/>
      <c r="N25" s="9" t="s">
        <v>290</v>
      </c>
      <c r="O25" s="9"/>
      <c r="P25" s="9"/>
      <c r="Q25" s="9"/>
      <c r="R25" s="9"/>
      <c r="S25" s="9"/>
      <c r="T25" s="9"/>
      <c r="U25" s="9"/>
      <c r="V25" s="9"/>
      <c r="W25" s="9"/>
      <c r="X25" s="9"/>
      <c r="Y25" s="10"/>
    </row>
    <row r="26" spans="1:25" ht="15" x14ac:dyDescent="0.25">
      <c r="A26" s="6"/>
      <c r="B26" s="6"/>
      <c r="C26" s="6"/>
      <c r="D26" s="6"/>
      <c r="E26" s="6"/>
      <c r="F26" s="6"/>
      <c r="G26" s="6"/>
      <c r="H26" s="6"/>
      <c r="I26" s="6"/>
      <c r="J26" s="6"/>
      <c r="K26" s="6"/>
      <c r="N26" s="9"/>
      <c r="O26" s="9"/>
      <c r="P26" s="9"/>
      <c r="Q26" s="9"/>
      <c r="R26" s="9"/>
      <c r="S26" s="9"/>
      <c r="T26" s="9"/>
      <c r="U26" s="9"/>
      <c r="V26" s="9"/>
      <c r="W26" s="9"/>
      <c r="X26" s="9"/>
      <c r="Y26" s="10"/>
    </row>
    <row r="27" spans="1:25" ht="28.5" customHeight="1" x14ac:dyDescent="0.25">
      <c r="A27" s="6"/>
      <c r="B27" s="15" t="s">
        <v>291</v>
      </c>
      <c r="C27" s="6">
        <v>868</v>
      </c>
      <c r="D27" s="6" t="s">
        <v>287</v>
      </c>
      <c r="E27" s="6"/>
      <c r="F27" s="6"/>
      <c r="G27" s="6"/>
      <c r="H27" s="6"/>
      <c r="I27" s="6"/>
      <c r="J27" s="6"/>
      <c r="K27" s="6"/>
      <c r="N27" s="9"/>
      <c r="O27" s="12" t="s">
        <v>291</v>
      </c>
      <c r="P27" s="9">
        <v>868</v>
      </c>
      <c r="Q27" s="9" t="s">
        <v>287</v>
      </c>
      <c r="R27" s="9"/>
      <c r="S27" s="9"/>
      <c r="T27" s="9"/>
      <c r="U27" s="9"/>
      <c r="V27" s="9"/>
      <c r="W27" s="9"/>
      <c r="X27" s="9"/>
      <c r="Y27" s="10"/>
    </row>
    <row r="28" spans="1:25" ht="15" x14ac:dyDescent="0.25">
      <c r="A28" s="6"/>
      <c r="B28" s="6"/>
      <c r="C28" s="6"/>
      <c r="D28" s="6"/>
      <c r="E28" s="6"/>
      <c r="F28" s="6"/>
      <c r="G28" s="6"/>
      <c r="H28" s="6"/>
      <c r="I28" s="6"/>
      <c r="J28" s="6"/>
      <c r="K28" s="6"/>
      <c r="N28" s="9"/>
      <c r="O28" s="9"/>
      <c r="P28" s="9"/>
      <c r="Q28" s="9"/>
      <c r="R28" s="9"/>
      <c r="S28" s="9"/>
      <c r="T28" s="9"/>
      <c r="U28" s="9"/>
      <c r="V28" s="9"/>
      <c r="W28" s="9"/>
      <c r="X28" s="9"/>
      <c r="Y28" s="10"/>
    </row>
    <row r="29" spans="1:25" ht="15" x14ac:dyDescent="0.25">
      <c r="A29" s="6"/>
      <c r="B29" s="6" t="s">
        <v>292</v>
      </c>
      <c r="C29" s="6"/>
      <c r="D29" s="6"/>
      <c r="E29" s="6"/>
      <c r="F29" s="6"/>
      <c r="G29" s="6"/>
      <c r="H29" s="6"/>
      <c r="I29" s="6"/>
      <c r="J29" s="6"/>
      <c r="K29" s="6"/>
      <c r="N29" s="9"/>
      <c r="O29" s="83" t="s">
        <v>617</v>
      </c>
      <c r="P29" s="9">
        <f>P23</f>
        <v>3957600</v>
      </c>
      <c r="Q29" s="108" t="s">
        <v>575</v>
      </c>
      <c r="R29" s="193">
        <f>P27</f>
        <v>868</v>
      </c>
      <c r="S29" s="9"/>
      <c r="T29" s="9"/>
      <c r="U29" s="9"/>
      <c r="V29" s="9"/>
      <c r="W29" s="9"/>
      <c r="X29" s="9"/>
      <c r="Y29" s="10"/>
    </row>
    <row r="30" spans="1:25" ht="15" x14ac:dyDescent="0.25">
      <c r="A30" s="6"/>
      <c r="B30" s="6" t="s">
        <v>165</v>
      </c>
      <c r="C30" s="175">
        <f>C23/C27</f>
        <v>4559.4470046082952</v>
      </c>
      <c r="D30" s="6" t="s">
        <v>293</v>
      </c>
      <c r="E30" s="6"/>
      <c r="F30" s="6"/>
      <c r="G30" s="6"/>
      <c r="H30" s="6"/>
      <c r="I30" s="6"/>
      <c r="J30" s="6"/>
      <c r="K30" s="6"/>
      <c r="N30" s="9"/>
      <c r="O30" s="83" t="s">
        <v>165</v>
      </c>
      <c r="P30" s="176">
        <f>P23/P27</f>
        <v>4559.4470046082952</v>
      </c>
      <c r="Q30" s="9" t="s">
        <v>293</v>
      </c>
      <c r="R30" s="9"/>
      <c r="S30" s="9"/>
      <c r="T30" s="9"/>
      <c r="U30" s="9"/>
      <c r="V30" s="9"/>
      <c r="W30" s="9"/>
      <c r="X30" s="9"/>
      <c r="Y30" s="10"/>
    </row>
    <row r="31" spans="1:25" ht="15" x14ac:dyDescent="0.25">
      <c r="A31" s="6"/>
      <c r="B31" s="6"/>
      <c r="C31" s="6"/>
      <c r="D31" s="6"/>
      <c r="E31" s="6"/>
      <c r="F31" s="6"/>
      <c r="G31" s="6"/>
      <c r="H31" s="6"/>
      <c r="I31" s="6"/>
      <c r="J31" s="6"/>
      <c r="K31" s="6"/>
      <c r="N31" s="9"/>
      <c r="O31" s="9"/>
      <c r="P31" s="9"/>
      <c r="Q31" s="9"/>
      <c r="R31" s="9"/>
      <c r="S31" s="9"/>
      <c r="T31" s="9"/>
      <c r="U31" s="9"/>
      <c r="V31" s="9"/>
      <c r="W31" s="9"/>
      <c r="X31" s="9"/>
      <c r="Y31" s="10"/>
    </row>
    <row r="32" spans="1:25" ht="15" x14ac:dyDescent="0.25">
      <c r="A32" s="6"/>
      <c r="B32" s="6" t="s">
        <v>295</v>
      </c>
      <c r="C32" s="6">
        <f>353-228</f>
        <v>125</v>
      </c>
      <c r="D32" s="6" t="s">
        <v>410</v>
      </c>
      <c r="E32" s="6"/>
      <c r="F32" s="6"/>
      <c r="G32" s="6"/>
      <c r="H32" s="6"/>
      <c r="I32" s="6"/>
      <c r="J32" s="6"/>
      <c r="K32" s="6"/>
      <c r="N32" s="9"/>
      <c r="O32" s="9" t="s">
        <v>295</v>
      </c>
      <c r="P32" s="9">
        <f>353-P17</f>
        <v>125</v>
      </c>
      <c r="Q32" s="9" t="s">
        <v>410</v>
      </c>
      <c r="R32" s="9"/>
      <c r="S32" s="9"/>
      <c r="T32" s="9"/>
      <c r="U32" s="9"/>
      <c r="V32" s="9"/>
      <c r="W32" s="9"/>
      <c r="X32" s="9"/>
      <c r="Y32" s="10"/>
    </row>
    <row r="33" spans="1:25" ht="15" x14ac:dyDescent="0.25">
      <c r="A33" s="6"/>
      <c r="B33" s="6"/>
      <c r="C33" s="6"/>
      <c r="D33" s="6"/>
      <c r="E33" s="6"/>
      <c r="F33" s="6"/>
      <c r="G33" s="6"/>
      <c r="H33" s="6"/>
      <c r="I33" s="6"/>
      <c r="J33" s="6"/>
      <c r="K33" s="6"/>
      <c r="N33" s="9"/>
      <c r="O33" s="9"/>
      <c r="P33" s="9"/>
      <c r="Q33" s="9"/>
      <c r="R33" s="9"/>
      <c r="S33" s="9"/>
      <c r="T33" s="9"/>
      <c r="U33" s="232"/>
      <c r="V33" s="9"/>
      <c r="W33" s="9"/>
      <c r="X33" s="9"/>
      <c r="Y33" s="10"/>
    </row>
    <row r="34" spans="1:25" ht="18" x14ac:dyDescent="0.25">
      <c r="A34" s="6" t="s">
        <v>424</v>
      </c>
      <c r="B34" s="6"/>
      <c r="C34" s="6"/>
      <c r="D34" s="6"/>
      <c r="E34" s="6"/>
      <c r="F34" s="6"/>
      <c r="G34" s="6"/>
      <c r="H34" s="6"/>
      <c r="I34" s="6"/>
      <c r="J34" s="6"/>
      <c r="K34" s="6"/>
      <c r="N34" s="9" t="s">
        <v>424</v>
      </c>
      <c r="O34" s="9"/>
      <c r="P34" s="9"/>
      <c r="Q34" s="9"/>
      <c r="R34" s="9"/>
      <c r="S34" s="9"/>
      <c r="T34" s="9"/>
      <c r="U34" s="9"/>
      <c r="V34" s="9"/>
      <c r="W34" s="9"/>
      <c r="X34" s="9"/>
      <c r="Y34" s="10"/>
    </row>
    <row r="35" spans="1:25" ht="15" x14ac:dyDescent="0.25">
      <c r="A35" s="6"/>
      <c r="B35" s="6"/>
      <c r="C35" s="6"/>
      <c r="D35" s="6"/>
      <c r="E35" s="6"/>
      <c r="F35" s="6"/>
      <c r="G35" s="6"/>
      <c r="H35" s="6"/>
      <c r="I35" s="6"/>
      <c r="J35" s="6"/>
      <c r="K35" s="6"/>
      <c r="N35" s="9"/>
      <c r="O35" s="9"/>
      <c r="P35" s="9"/>
      <c r="Q35" s="9"/>
      <c r="R35" s="9"/>
      <c r="S35" s="9"/>
      <c r="T35" s="9"/>
      <c r="U35" s="9"/>
      <c r="V35" s="9"/>
      <c r="W35" s="9"/>
      <c r="X35" s="9"/>
      <c r="Y35" s="10"/>
    </row>
    <row r="36" spans="1:25" ht="15" x14ac:dyDescent="0.25">
      <c r="A36" s="6"/>
      <c r="B36" s="6" t="s">
        <v>296</v>
      </c>
      <c r="C36" s="6"/>
      <c r="D36" s="6"/>
      <c r="E36" s="6"/>
      <c r="F36" s="6"/>
      <c r="G36" s="6"/>
      <c r="H36" s="6"/>
      <c r="I36" s="6"/>
      <c r="J36" s="6"/>
      <c r="K36" s="6"/>
      <c r="N36" s="9"/>
      <c r="O36" s="83" t="s">
        <v>619</v>
      </c>
      <c r="P36" s="9">
        <f>P23</f>
        <v>3957600</v>
      </c>
      <c r="Q36" s="35" t="s">
        <v>620</v>
      </c>
      <c r="R36" s="9"/>
      <c r="S36" s="9"/>
      <c r="T36" s="9"/>
      <c r="U36" s="9"/>
      <c r="V36" s="9"/>
      <c r="W36" s="9"/>
      <c r="X36" s="9"/>
      <c r="Y36" s="10"/>
    </row>
    <row r="37" spans="1:25" ht="15" x14ac:dyDescent="0.25">
      <c r="A37" s="6"/>
      <c r="B37" s="6"/>
      <c r="C37" s="6"/>
      <c r="D37" s="6"/>
      <c r="E37" s="6"/>
      <c r="F37" s="6"/>
      <c r="G37" s="6"/>
      <c r="H37" s="6"/>
      <c r="I37" s="6"/>
      <c r="J37" s="6"/>
      <c r="K37" s="6"/>
      <c r="N37" s="9"/>
      <c r="O37" s="9"/>
      <c r="P37" s="9"/>
      <c r="Q37" s="9"/>
      <c r="R37" s="9"/>
      <c r="S37" s="9"/>
      <c r="T37" s="9"/>
      <c r="U37" s="9"/>
      <c r="V37" s="9"/>
      <c r="W37" s="9"/>
      <c r="X37" s="9"/>
      <c r="Y37" s="10"/>
    </row>
    <row r="38" spans="1:25" ht="18" x14ac:dyDescent="0.25">
      <c r="A38" s="6"/>
      <c r="B38" s="6" t="s">
        <v>131</v>
      </c>
      <c r="C38" s="6">
        <f>C23/12000</f>
        <v>329.8</v>
      </c>
      <c r="D38" s="6" t="s">
        <v>409</v>
      </c>
      <c r="E38" s="6"/>
      <c r="F38" s="6"/>
      <c r="G38" s="6"/>
      <c r="H38" s="6"/>
      <c r="I38" s="6"/>
      <c r="J38" s="6"/>
      <c r="K38" s="6"/>
      <c r="N38" s="9"/>
      <c r="O38" s="83" t="s">
        <v>131</v>
      </c>
      <c r="P38" s="9">
        <f>P23/12000</f>
        <v>329.8</v>
      </c>
      <c r="Q38" s="9" t="s">
        <v>409</v>
      </c>
      <c r="R38" s="9"/>
      <c r="S38" s="9"/>
      <c r="T38" s="9"/>
      <c r="U38" s="9"/>
      <c r="V38" s="9"/>
      <c r="W38" s="9"/>
      <c r="X38" s="9"/>
      <c r="Y38" s="10"/>
    </row>
    <row r="39" spans="1:25" ht="15" x14ac:dyDescent="0.25">
      <c r="A39" s="6"/>
      <c r="B39" s="6"/>
      <c r="C39" s="6"/>
      <c r="D39" s="6"/>
      <c r="E39" s="6"/>
      <c r="F39" s="6"/>
      <c r="G39" s="6"/>
      <c r="H39" s="6"/>
      <c r="I39" s="6"/>
      <c r="J39" s="6"/>
      <c r="K39" s="6"/>
      <c r="N39" s="9"/>
      <c r="O39" s="9"/>
      <c r="P39" s="9"/>
      <c r="Q39" s="9"/>
      <c r="R39" s="9"/>
      <c r="S39" s="9"/>
      <c r="T39" s="9"/>
      <c r="U39" s="9"/>
      <c r="V39" s="9"/>
      <c r="W39" s="9"/>
      <c r="X39" s="9"/>
      <c r="Y39" s="10"/>
    </row>
    <row r="40" spans="1:25" ht="12.75" customHeight="1" x14ac:dyDescent="0.25">
      <c r="A40" s="11" t="s">
        <v>568</v>
      </c>
      <c r="B40" s="11"/>
      <c r="C40" s="11"/>
      <c r="D40" s="11"/>
      <c r="E40" s="11"/>
      <c r="F40" s="11"/>
      <c r="G40" s="11"/>
      <c r="H40" s="11"/>
      <c r="I40" s="11"/>
      <c r="J40" s="6"/>
      <c r="K40" s="6"/>
      <c r="N40" s="95" t="s">
        <v>510</v>
      </c>
      <c r="O40" s="95"/>
      <c r="P40" s="95"/>
      <c r="Q40" s="95"/>
      <c r="R40" s="95"/>
      <c r="S40" s="95"/>
      <c r="T40" s="95"/>
      <c r="U40" s="95"/>
      <c r="V40" s="95"/>
      <c r="W40" s="9"/>
      <c r="X40" s="9"/>
      <c r="Y40" s="10"/>
    </row>
    <row r="41" spans="1:25" ht="15" x14ac:dyDescent="0.25">
      <c r="A41" s="11"/>
      <c r="B41" s="11"/>
      <c r="C41" s="11"/>
      <c r="D41" s="11"/>
      <c r="E41" s="11"/>
      <c r="F41" s="11"/>
      <c r="G41" s="11"/>
      <c r="H41" s="11"/>
      <c r="I41" s="11"/>
      <c r="J41" s="6"/>
      <c r="K41" s="6"/>
      <c r="N41" s="95"/>
      <c r="O41" s="95"/>
      <c r="P41" s="95"/>
      <c r="Q41" s="95"/>
      <c r="R41" s="95"/>
      <c r="S41" s="95"/>
      <c r="T41" s="95"/>
      <c r="U41" s="95"/>
      <c r="V41" s="95"/>
      <c r="W41" s="9"/>
      <c r="X41" s="9"/>
      <c r="Y41" s="10"/>
    </row>
    <row r="42" spans="1:25" ht="15" x14ac:dyDescent="0.25">
      <c r="A42" s="6"/>
      <c r="B42" s="6"/>
      <c r="C42" s="6"/>
      <c r="D42" s="6"/>
      <c r="E42" s="6"/>
      <c r="F42" s="6"/>
      <c r="G42" s="6"/>
      <c r="H42" s="6"/>
      <c r="I42" s="6"/>
      <c r="J42" s="6"/>
      <c r="K42" s="6"/>
      <c r="N42" s="9"/>
      <c r="O42" s="9"/>
      <c r="P42" s="9"/>
      <c r="Q42" s="9"/>
      <c r="R42" s="9"/>
      <c r="S42" s="9"/>
      <c r="T42" s="9"/>
      <c r="U42" s="9"/>
      <c r="V42" s="9"/>
      <c r="W42" s="9"/>
      <c r="X42" s="9"/>
      <c r="Y42" s="10"/>
    </row>
    <row r="43" spans="1:25" ht="15.75" thickBot="1" x14ac:dyDescent="0.3">
      <c r="A43" s="6"/>
      <c r="B43" s="6"/>
      <c r="C43" s="194" t="s">
        <v>298</v>
      </c>
      <c r="D43" s="194"/>
      <c r="E43" s="194"/>
      <c r="F43" s="194"/>
      <c r="G43" s="194"/>
      <c r="H43" s="194"/>
      <c r="I43" s="6"/>
      <c r="J43" s="6"/>
      <c r="K43" s="6"/>
      <c r="N43" s="9"/>
      <c r="O43" s="9"/>
      <c r="P43" s="195" t="s">
        <v>298</v>
      </c>
      <c r="Q43" s="195"/>
      <c r="R43" s="195"/>
      <c r="S43" s="195"/>
      <c r="T43" s="195"/>
      <c r="U43" s="195"/>
      <c r="V43" s="9"/>
      <c r="W43" s="9"/>
      <c r="X43" s="9"/>
      <c r="Y43" s="10"/>
    </row>
    <row r="44" spans="1:25" ht="15" x14ac:dyDescent="0.25">
      <c r="A44" s="6"/>
      <c r="B44" s="6"/>
      <c r="C44" s="6">
        <v>16</v>
      </c>
      <c r="D44" s="6" t="s">
        <v>96</v>
      </c>
      <c r="E44" s="196">
        <v>12</v>
      </c>
      <c r="F44" s="6" t="s">
        <v>96</v>
      </c>
      <c r="G44" s="196">
        <v>10</v>
      </c>
      <c r="H44" s="6" t="s">
        <v>96</v>
      </c>
      <c r="I44" s="6"/>
      <c r="J44" s="6"/>
      <c r="K44" s="6"/>
      <c r="N44" s="9"/>
      <c r="O44" s="9"/>
      <c r="P44" s="233">
        <v>16</v>
      </c>
      <c r="Q44" s="9" t="s">
        <v>96</v>
      </c>
      <c r="R44" s="247">
        <v>12</v>
      </c>
      <c r="S44" s="9" t="s">
        <v>96</v>
      </c>
      <c r="T44" s="247">
        <v>10</v>
      </c>
      <c r="U44" s="9" t="s">
        <v>96</v>
      </c>
      <c r="V44" s="9"/>
      <c r="W44" s="9"/>
      <c r="X44" s="9"/>
      <c r="Y44" s="10"/>
    </row>
    <row r="45" spans="1:25" ht="15" x14ac:dyDescent="0.25">
      <c r="A45" s="6"/>
      <c r="B45" s="6"/>
      <c r="C45" s="6"/>
      <c r="D45" s="6"/>
      <c r="E45" s="196"/>
      <c r="F45" s="6"/>
      <c r="G45" s="196"/>
      <c r="H45" s="6"/>
      <c r="I45" s="6"/>
      <c r="J45" s="6"/>
      <c r="K45" s="6"/>
      <c r="N45" s="9"/>
      <c r="O45" s="9"/>
      <c r="P45" s="9"/>
      <c r="Q45" s="9"/>
      <c r="R45" s="197"/>
      <c r="S45" s="9"/>
      <c r="T45" s="197"/>
      <c r="U45" s="9"/>
      <c r="V45" s="9"/>
      <c r="W45" s="9"/>
      <c r="X45" s="9"/>
      <c r="Y45" s="10"/>
    </row>
    <row r="46" spans="1:25" ht="15" x14ac:dyDescent="0.25">
      <c r="A46" s="6"/>
      <c r="B46" s="6" t="s">
        <v>297</v>
      </c>
      <c r="C46" s="6"/>
      <c r="D46" s="6"/>
      <c r="E46" s="6"/>
      <c r="F46" s="6"/>
      <c r="G46" s="6"/>
      <c r="H46" s="6"/>
      <c r="I46" s="6"/>
      <c r="J46" s="6"/>
      <c r="K46" s="6"/>
      <c r="N46" s="9"/>
      <c r="O46" s="9" t="s">
        <v>297</v>
      </c>
      <c r="P46" s="9"/>
      <c r="Q46" s="9"/>
      <c r="R46" s="9"/>
      <c r="S46" s="9"/>
      <c r="T46" s="9"/>
      <c r="U46" s="9"/>
      <c r="V46" s="9"/>
      <c r="W46" s="9"/>
      <c r="X46" s="9"/>
      <c r="Y46" s="10"/>
    </row>
    <row r="47" spans="1:25" ht="15" x14ac:dyDescent="0.25">
      <c r="A47" s="6"/>
      <c r="B47" s="6" t="s">
        <v>177</v>
      </c>
      <c r="C47" s="175">
        <f>$C$38/(C44*$C$9)</f>
        <v>105.00509424350484</v>
      </c>
      <c r="D47" s="6" t="s">
        <v>299</v>
      </c>
      <c r="E47" s="198">
        <f>$C$38/(E44*$C$9)</f>
        <v>140.00679232467314</v>
      </c>
      <c r="F47" s="6" t="s">
        <v>299</v>
      </c>
      <c r="G47" s="198">
        <f>$C$38/(G44*$C$9)</f>
        <v>168.00815078960775</v>
      </c>
      <c r="H47" s="6" t="s">
        <v>299</v>
      </c>
      <c r="I47" s="6"/>
      <c r="J47" s="6"/>
      <c r="K47" s="6"/>
      <c r="N47" s="9"/>
      <c r="O47" s="9" t="s">
        <v>177</v>
      </c>
      <c r="P47" s="176">
        <f>$C$38/(P44*$C$9)</f>
        <v>105.00509424350484</v>
      </c>
      <c r="Q47" s="9" t="s">
        <v>299</v>
      </c>
      <c r="R47" s="199">
        <f>$C$38/(R44*$C$9)</f>
        <v>140.00679232467314</v>
      </c>
      <c r="S47" s="9" t="s">
        <v>299</v>
      </c>
      <c r="T47" s="199">
        <f>$C$38/(T44*$C$9)</f>
        <v>168.00815078960775</v>
      </c>
      <c r="U47" s="9" t="s">
        <v>299</v>
      </c>
      <c r="V47" s="9"/>
      <c r="W47" s="9"/>
      <c r="X47" s="9"/>
      <c r="Y47" s="10"/>
    </row>
    <row r="48" spans="1:25" ht="15" x14ac:dyDescent="0.25">
      <c r="A48" s="6"/>
      <c r="B48" s="6"/>
      <c r="C48" s="6"/>
      <c r="D48" s="6"/>
      <c r="E48" s="196"/>
      <c r="F48" s="6"/>
      <c r="G48" s="196"/>
      <c r="H48" s="6"/>
      <c r="I48" s="6"/>
      <c r="J48" s="6"/>
      <c r="K48" s="6"/>
      <c r="N48" s="9"/>
      <c r="O48" s="9"/>
      <c r="P48" s="9"/>
      <c r="Q48" s="9"/>
      <c r="R48" s="197"/>
      <c r="S48" s="9"/>
      <c r="T48" s="197"/>
      <c r="U48" s="9"/>
      <c r="V48" s="9"/>
      <c r="W48" s="9"/>
      <c r="X48" s="9"/>
      <c r="Y48" s="10"/>
    </row>
    <row r="49" spans="1:25" ht="15" x14ac:dyDescent="0.25">
      <c r="A49" s="6" t="s">
        <v>300</v>
      </c>
      <c r="B49" s="6"/>
      <c r="C49" s="6"/>
      <c r="D49" s="6"/>
      <c r="E49" s="6"/>
      <c r="F49" s="6"/>
      <c r="G49" s="6"/>
      <c r="H49" s="6"/>
      <c r="I49" s="6"/>
      <c r="J49" s="6"/>
      <c r="K49" s="6"/>
      <c r="N49" s="9" t="s">
        <v>300</v>
      </c>
      <c r="O49" s="9"/>
      <c r="P49" s="9"/>
      <c r="Q49" s="9"/>
      <c r="R49" s="9"/>
      <c r="S49" s="9"/>
      <c r="T49" s="9"/>
      <c r="U49" s="9"/>
      <c r="V49" s="9"/>
      <c r="W49" s="9"/>
      <c r="X49" s="9"/>
      <c r="Y49" s="10"/>
    </row>
    <row r="50" spans="1:25" ht="15" x14ac:dyDescent="0.25">
      <c r="A50" s="6"/>
      <c r="B50" s="6"/>
      <c r="C50" s="6"/>
      <c r="D50" s="6"/>
      <c r="E50" s="196"/>
      <c r="F50" s="6"/>
      <c r="G50" s="196"/>
      <c r="H50" s="6"/>
      <c r="I50" s="6"/>
      <c r="J50" s="6"/>
      <c r="K50" s="6"/>
      <c r="N50" s="9"/>
      <c r="O50" s="9"/>
      <c r="P50" s="9"/>
      <c r="Q50" s="9"/>
      <c r="R50" s="197"/>
      <c r="S50" s="9"/>
      <c r="T50" s="197"/>
      <c r="U50" s="9"/>
      <c r="V50" s="9"/>
      <c r="W50" s="9"/>
      <c r="X50" s="9"/>
      <c r="Y50" s="10"/>
    </row>
    <row r="51" spans="1:25" ht="16.5" x14ac:dyDescent="0.3">
      <c r="A51" s="6"/>
      <c r="B51" s="6" t="s">
        <v>425</v>
      </c>
      <c r="C51" s="6"/>
      <c r="D51" s="6"/>
      <c r="E51" s="196"/>
      <c r="F51" s="6"/>
      <c r="G51" s="196"/>
      <c r="H51" s="6"/>
      <c r="I51" s="6"/>
      <c r="J51" s="6"/>
      <c r="K51" s="6"/>
      <c r="N51" s="9"/>
      <c r="O51" s="9" t="s">
        <v>621</v>
      </c>
      <c r="P51" s="31">
        <f>P11</f>
        <v>2.27</v>
      </c>
      <c r="Q51" s="9"/>
      <c r="R51" s="197"/>
      <c r="S51" s="9"/>
      <c r="T51" s="197"/>
      <c r="U51" s="9"/>
      <c r="V51" s="9"/>
      <c r="W51" s="9"/>
      <c r="X51" s="9"/>
      <c r="Y51" s="10"/>
    </row>
    <row r="52" spans="1:25" ht="15" x14ac:dyDescent="0.25">
      <c r="A52" s="6"/>
      <c r="B52" s="6"/>
      <c r="C52" s="6"/>
      <c r="D52" s="6"/>
      <c r="E52" s="196"/>
      <c r="F52" s="6"/>
      <c r="G52" s="196"/>
      <c r="H52" s="6"/>
      <c r="I52" s="6"/>
      <c r="J52" s="6"/>
      <c r="K52" s="6"/>
      <c r="N52" s="9"/>
      <c r="O52" s="9"/>
      <c r="P52" s="9"/>
      <c r="Q52" s="9"/>
      <c r="R52" s="197"/>
      <c r="S52" s="9"/>
      <c r="T52" s="197"/>
      <c r="U52" s="9"/>
      <c r="V52" s="9"/>
      <c r="W52" s="9"/>
      <c r="X52" s="9"/>
      <c r="Y52" s="10"/>
    </row>
    <row r="53" spans="1:25" ht="18.75" x14ac:dyDescent="0.3">
      <c r="A53" s="6"/>
      <c r="B53" s="6" t="s">
        <v>426</v>
      </c>
      <c r="C53" s="200">
        <f>1/$C$11</f>
        <v>0.44052863436123346</v>
      </c>
      <c r="D53" s="6" t="s">
        <v>427</v>
      </c>
      <c r="E53" s="201">
        <f>1/$C$11</f>
        <v>0.44052863436123346</v>
      </c>
      <c r="F53" s="6" t="s">
        <v>427</v>
      </c>
      <c r="G53" s="201">
        <f>1/$C$11</f>
        <v>0.44052863436123346</v>
      </c>
      <c r="H53" s="6" t="s">
        <v>427</v>
      </c>
      <c r="I53" s="6"/>
      <c r="J53" s="6"/>
      <c r="K53" s="6"/>
      <c r="N53" s="9"/>
      <c r="O53" s="9" t="s">
        <v>426</v>
      </c>
      <c r="P53" s="202">
        <f>1/$C$11</f>
        <v>0.44052863436123346</v>
      </c>
      <c r="Q53" s="9" t="s">
        <v>427</v>
      </c>
      <c r="R53" s="150">
        <f>1/$C$11</f>
        <v>0.44052863436123346</v>
      </c>
      <c r="S53" s="9" t="s">
        <v>427</v>
      </c>
      <c r="T53" s="150">
        <f>1/$C$11</f>
        <v>0.44052863436123346</v>
      </c>
      <c r="U53" s="9" t="s">
        <v>427</v>
      </c>
      <c r="V53" s="9"/>
      <c r="W53" s="9"/>
      <c r="X53" s="9"/>
      <c r="Y53" s="10"/>
    </row>
    <row r="54" spans="1:25" ht="15" x14ac:dyDescent="0.25">
      <c r="A54" s="6"/>
      <c r="B54" s="6"/>
      <c r="C54" s="6"/>
      <c r="D54" s="6"/>
      <c r="E54" s="196"/>
      <c r="F54" s="6"/>
      <c r="G54" s="196"/>
      <c r="H54" s="6"/>
      <c r="I54" s="6"/>
      <c r="J54" s="6"/>
      <c r="K54" s="6"/>
      <c r="N54" s="9"/>
      <c r="O54" s="9"/>
      <c r="P54" s="9"/>
      <c r="Q54" s="9"/>
      <c r="R54" s="197"/>
      <c r="S54" s="9"/>
      <c r="T54" s="197"/>
      <c r="U54" s="9"/>
      <c r="V54" s="9"/>
      <c r="W54" s="9"/>
      <c r="X54" s="9"/>
      <c r="Y54" s="10"/>
    </row>
    <row r="55" spans="1:25" ht="16.5" x14ac:dyDescent="0.3">
      <c r="A55" s="6"/>
      <c r="B55" s="6" t="s">
        <v>428</v>
      </c>
      <c r="C55" s="6"/>
      <c r="D55" s="6"/>
      <c r="E55" s="196"/>
      <c r="F55" s="6"/>
      <c r="G55" s="196"/>
      <c r="H55" s="6"/>
      <c r="I55" s="6"/>
      <c r="J55" s="6"/>
      <c r="K55" s="6"/>
      <c r="N55" s="9"/>
      <c r="O55" s="9" t="s">
        <v>622</v>
      </c>
      <c r="P55" s="31">
        <f>62.4*P13</f>
        <v>26.832000000000001</v>
      </c>
      <c r="Q55" s="9"/>
      <c r="R55" s="197"/>
      <c r="S55" s="9"/>
      <c r="T55" s="197"/>
      <c r="U55" s="9"/>
      <c r="V55" s="9"/>
      <c r="W55" s="9"/>
      <c r="X55" s="9"/>
      <c r="Y55" s="10"/>
    </row>
    <row r="56" spans="1:25" ht="15" x14ac:dyDescent="0.25">
      <c r="A56" s="6"/>
      <c r="B56" s="6"/>
      <c r="C56" s="6"/>
      <c r="D56" s="6"/>
      <c r="E56" s="196"/>
      <c r="F56" s="6"/>
      <c r="G56" s="196"/>
      <c r="H56" s="6"/>
      <c r="I56" s="6"/>
      <c r="J56" s="6"/>
      <c r="K56" s="6"/>
      <c r="N56" s="9"/>
      <c r="O56" s="9"/>
      <c r="P56" s="9"/>
      <c r="Q56" s="9"/>
      <c r="R56" s="197"/>
      <c r="S56" s="9"/>
      <c r="T56" s="197"/>
      <c r="U56" s="9"/>
      <c r="V56" s="9"/>
      <c r="W56" s="9"/>
      <c r="X56" s="9"/>
      <c r="Y56" s="10"/>
    </row>
    <row r="57" spans="1:25" ht="18.75" x14ac:dyDescent="0.3">
      <c r="A57" s="6"/>
      <c r="B57" s="6" t="s">
        <v>429</v>
      </c>
      <c r="C57" s="200">
        <f>1/(62.4*$C$13)</f>
        <v>3.7268932617769826E-2</v>
      </c>
      <c r="D57" s="6" t="s">
        <v>427</v>
      </c>
      <c r="E57" s="201">
        <f>1/(62.4*$C$13)</f>
        <v>3.7268932617769826E-2</v>
      </c>
      <c r="F57" s="6" t="s">
        <v>427</v>
      </c>
      <c r="G57" s="201">
        <f>1/(62.4*$C$13)</f>
        <v>3.7268932617769826E-2</v>
      </c>
      <c r="H57" s="6" t="s">
        <v>427</v>
      </c>
      <c r="I57" s="6"/>
      <c r="J57" s="6"/>
      <c r="K57" s="6"/>
      <c r="N57" s="9"/>
      <c r="O57" s="9" t="s">
        <v>429</v>
      </c>
      <c r="P57" s="202">
        <f>1/(62.4*$C$13)</f>
        <v>3.7268932617769826E-2</v>
      </c>
      <c r="Q57" s="9" t="s">
        <v>427</v>
      </c>
      <c r="R57" s="150">
        <f>1/(62.4*$C$13)</f>
        <v>3.7268932617769826E-2</v>
      </c>
      <c r="S57" s="9" t="s">
        <v>427</v>
      </c>
      <c r="T57" s="150">
        <f>1/(62.4*$C$13)</f>
        <v>3.7268932617769826E-2</v>
      </c>
      <c r="U57" s="9" t="s">
        <v>427</v>
      </c>
      <c r="V57" s="9"/>
      <c r="W57" s="9"/>
      <c r="X57" s="9"/>
      <c r="Y57" s="10"/>
    </row>
    <row r="58" spans="1:25" ht="15" x14ac:dyDescent="0.25">
      <c r="A58" s="6"/>
      <c r="B58" s="6"/>
      <c r="C58" s="6"/>
      <c r="D58" s="6"/>
      <c r="E58" s="196"/>
      <c r="F58" s="6"/>
      <c r="G58" s="196"/>
      <c r="H58" s="6"/>
      <c r="I58" s="6"/>
      <c r="J58" s="6"/>
      <c r="K58" s="6"/>
      <c r="N58" s="9"/>
      <c r="O58" s="9"/>
      <c r="P58" s="9"/>
      <c r="Q58" s="9"/>
      <c r="R58" s="197"/>
      <c r="S58" s="9"/>
      <c r="T58" s="197"/>
      <c r="U58" s="9"/>
      <c r="V58" s="9"/>
      <c r="W58" s="9"/>
      <c r="X58" s="9"/>
      <c r="Y58" s="10"/>
    </row>
    <row r="59" spans="1:25" ht="15" x14ac:dyDescent="0.25">
      <c r="A59" s="6" t="s">
        <v>302</v>
      </c>
      <c r="B59" s="6"/>
      <c r="C59" s="6"/>
      <c r="D59" s="6"/>
      <c r="E59" s="6"/>
      <c r="F59" s="6"/>
      <c r="G59" s="6"/>
      <c r="H59" s="6"/>
      <c r="I59" s="6"/>
      <c r="J59" s="6"/>
      <c r="K59" s="6"/>
      <c r="N59" s="9" t="s">
        <v>302</v>
      </c>
      <c r="O59" s="9"/>
      <c r="P59" s="9"/>
      <c r="Q59" s="9"/>
      <c r="R59" s="9"/>
      <c r="S59" s="9"/>
      <c r="T59" s="9"/>
      <c r="U59" s="9"/>
      <c r="V59" s="9"/>
      <c r="W59" s="9"/>
      <c r="X59" s="9"/>
      <c r="Y59" s="10"/>
    </row>
    <row r="60" spans="1:25" ht="15" x14ac:dyDescent="0.25">
      <c r="A60" s="6"/>
      <c r="B60" s="6"/>
      <c r="C60" s="6"/>
      <c r="D60" s="6"/>
      <c r="E60" s="196"/>
      <c r="F60" s="6"/>
      <c r="G60" s="196"/>
      <c r="H60" s="6"/>
      <c r="I60" s="6"/>
      <c r="J60" s="6"/>
      <c r="K60" s="6"/>
      <c r="N60" s="9"/>
      <c r="O60" s="9"/>
      <c r="P60" s="9"/>
      <c r="Q60" s="9"/>
      <c r="R60" s="197"/>
      <c r="S60" s="9"/>
      <c r="T60" s="197"/>
      <c r="U60" s="9"/>
      <c r="V60" s="9"/>
      <c r="W60" s="9"/>
      <c r="X60" s="9"/>
      <c r="Y60" s="10"/>
    </row>
    <row r="61" spans="1:25" ht="16.5" x14ac:dyDescent="0.3">
      <c r="A61" s="6"/>
      <c r="B61" s="6" t="s">
        <v>417</v>
      </c>
      <c r="C61" s="6">
        <f>4*40800</f>
        <v>163200</v>
      </c>
      <c r="D61" s="6" t="s">
        <v>303</v>
      </c>
      <c r="E61" s="196">
        <f>4*40800</f>
        <v>163200</v>
      </c>
      <c r="F61" s="6" t="s">
        <v>303</v>
      </c>
      <c r="G61" s="196">
        <f>4*40800</f>
        <v>163200</v>
      </c>
      <c r="H61" s="6" t="s">
        <v>303</v>
      </c>
      <c r="I61" s="6"/>
      <c r="J61" s="6"/>
      <c r="K61" s="6"/>
      <c r="N61" s="9"/>
      <c r="O61" s="9" t="s">
        <v>417</v>
      </c>
      <c r="P61" s="9">
        <f>Q5*N5</f>
        <v>163200</v>
      </c>
      <c r="Q61" s="9" t="s">
        <v>303</v>
      </c>
      <c r="R61" s="197">
        <f>Q5*N5</f>
        <v>163200</v>
      </c>
      <c r="S61" s="9" t="s">
        <v>303</v>
      </c>
      <c r="T61" s="197">
        <f>Q5*N5</f>
        <v>163200</v>
      </c>
      <c r="U61" s="9" t="s">
        <v>303</v>
      </c>
      <c r="V61" s="9"/>
      <c r="W61" s="9"/>
      <c r="X61" s="9"/>
      <c r="Y61" s="10"/>
    </row>
    <row r="62" spans="1:25" ht="15" x14ac:dyDescent="0.25">
      <c r="A62" s="6"/>
      <c r="B62" s="6"/>
      <c r="C62" s="6"/>
      <c r="D62" s="6"/>
      <c r="E62" s="196"/>
      <c r="F62" s="6"/>
      <c r="G62" s="196"/>
      <c r="H62" s="6"/>
      <c r="I62" s="6"/>
      <c r="J62" s="6"/>
      <c r="K62" s="6"/>
      <c r="N62" s="9"/>
      <c r="O62" s="9"/>
      <c r="P62" s="9"/>
      <c r="Q62" s="9"/>
      <c r="R62" s="197"/>
      <c r="S62" s="9"/>
      <c r="T62" s="197"/>
      <c r="U62" s="9"/>
      <c r="V62" s="9"/>
      <c r="W62" s="9"/>
      <c r="X62" s="9"/>
      <c r="Y62" s="10"/>
    </row>
    <row r="63" spans="1:25" ht="15" x14ac:dyDescent="0.25">
      <c r="A63" s="6" t="s">
        <v>304</v>
      </c>
      <c r="B63" s="6"/>
      <c r="C63" s="6"/>
      <c r="D63" s="6"/>
      <c r="E63" s="6"/>
      <c r="F63" s="6"/>
      <c r="G63" s="6"/>
      <c r="H63" s="6"/>
      <c r="I63" s="6"/>
      <c r="J63" s="6"/>
      <c r="K63" s="6"/>
      <c r="N63" s="9" t="s">
        <v>304</v>
      </c>
      <c r="O63" s="9"/>
      <c r="P63" s="9"/>
      <c r="Q63" s="9"/>
      <c r="R63" s="9"/>
      <c r="S63" s="9"/>
      <c r="T63" s="9"/>
      <c r="U63" s="9"/>
      <c r="V63" s="9"/>
      <c r="W63" s="9"/>
      <c r="X63" s="9"/>
      <c r="Y63" s="10"/>
    </row>
    <row r="64" spans="1:25" ht="15" x14ac:dyDescent="0.25">
      <c r="A64" s="6"/>
      <c r="B64" s="6"/>
      <c r="C64" s="6"/>
      <c r="D64" s="6"/>
      <c r="E64" s="196"/>
      <c r="F64" s="6"/>
      <c r="G64" s="196"/>
      <c r="H64" s="6"/>
      <c r="I64" s="6"/>
      <c r="J64" s="6"/>
      <c r="K64" s="6"/>
      <c r="N64" s="9"/>
      <c r="O64" s="9"/>
      <c r="P64" s="9"/>
      <c r="Q64" s="9"/>
      <c r="R64" s="197"/>
      <c r="S64" s="9"/>
      <c r="T64" s="197"/>
      <c r="U64" s="9"/>
      <c r="V64" s="9"/>
      <c r="W64" s="9"/>
      <c r="X64" s="9"/>
      <c r="Y64" s="10"/>
    </row>
    <row r="65" spans="1:25" ht="16.5" x14ac:dyDescent="0.3">
      <c r="A65" s="6"/>
      <c r="B65" s="6" t="s">
        <v>430</v>
      </c>
      <c r="C65" s="6"/>
      <c r="D65" s="6"/>
      <c r="E65" s="196"/>
      <c r="F65" s="6"/>
      <c r="G65" s="196"/>
      <c r="H65" s="6"/>
      <c r="I65" s="6"/>
      <c r="J65" s="6"/>
      <c r="K65" s="6"/>
      <c r="N65" s="83" t="s">
        <v>623</v>
      </c>
      <c r="O65" s="22">
        <f>P61</f>
        <v>163200</v>
      </c>
      <c r="P65" s="22" t="s">
        <v>624</v>
      </c>
      <c r="Q65" s="203">
        <f>P57</f>
        <v>3.7268932617769826E-2</v>
      </c>
      <c r="R65" s="197"/>
      <c r="S65" s="9"/>
      <c r="T65" s="197"/>
      <c r="U65" s="9"/>
      <c r="V65" s="9"/>
      <c r="W65" s="9"/>
      <c r="X65" s="9"/>
      <c r="Y65" s="10"/>
    </row>
    <row r="66" spans="1:25" ht="15" x14ac:dyDescent="0.25">
      <c r="A66" s="6"/>
      <c r="B66" s="6"/>
      <c r="C66" s="6"/>
      <c r="D66" s="6"/>
      <c r="E66" s="196"/>
      <c r="F66" s="6"/>
      <c r="G66" s="196"/>
      <c r="H66" s="6"/>
      <c r="I66" s="6"/>
      <c r="J66" s="6"/>
      <c r="K66" s="6"/>
      <c r="N66" s="9"/>
      <c r="O66" s="10"/>
      <c r="P66" s="9"/>
      <c r="Q66" s="9"/>
      <c r="R66" s="197"/>
      <c r="S66" s="9"/>
      <c r="T66" s="197"/>
      <c r="U66" s="9"/>
      <c r="V66" s="9"/>
      <c r="W66" s="9"/>
      <c r="X66" s="9"/>
      <c r="Y66" s="10"/>
    </row>
    <row r="67" spans="1:25" ht="18.75" x14ac:dyDescent="0.3">
      <c r="A67" s="6"/>
      <c r="B67" s="6" t="s">
        <v>431</v>
      </c>
      <c r="C67" s="175">
        <f>C61*C57</f>
        <v>6082.2898032200355</v>
      </c>
      <c r="D67" s="6" t="s">
        <v>432</v>
      </c>
      <c r="E67" s="198">
        <f>E61*E57</f>
        <v>6082.2898032200355</v>
      </c>
      <c r="F67" s="6" t="s">
        <v>432</v>
      </c>
      <c r="G67" s="198">
        <f>G61*G57</f>
        <v>6082.2898032200355</v>
      </c>
      <c r="H67" s="6" t="s">
        <v>432</v>
      </c>
      <c r="I67" s="6"/>
      <c r="J67" s="6"/>
      <c r="K67" s="6"/>
      <c r="N67" s="10"/>
      <c r="O67" s="83" t="s">
        <v>431</v>
      </c>
      <c r="P67" s="176">
        <f>P61*P57</f>
        <v>6082.2898032200355</v>
      </c>
      <c r="Q67" s="9" t="s">
        <v>432</v>
      </c>
      <c r="R67" s="199">
        <f>R61*R57</f>
        <v>6082.2898032200355</v>
      </c>
      <c r="S67" s="9" t="s">
        <v>432</v>
      </c>
      <c r="T67" s="199">
        <f>T61*T57</f>
        <v>6082.2898032200355</v>
      </c>
      <c r="U67" s="9" t="s">
        <v>432</v>
      </c>
      <c r="V67" s="9"/>
      <c r="W67" s="9"/>
      <c r="X67" s="9"/>
      <c r="Y67" s="10"/>
    </row>
    <row r="68" spans="1:25" ht="15" x14ac:dyDescent="0.25">
      <c r="A68" s="6"/>
      <c r="B68" s="6"/>
      <c r="C68" s="6"/>
      <c r="D68" s="6"/>
      <c r="E68" s="196"/>
      <c r="F68" s="6"/>
      <c r="G68" s="196"/>
      <c r="H68" s="6"/>
      <c r="I68" s="6"/>
      <c r="J68" s="6"/>
      <c r="K68" s="6"/>
      <c r="N68" s="9"/>
      <c r="O68" s="10"/>
      <c r="P68" s="9"/>
      <c r="Q68" s="9"/>
      <c r="R68" s="197"/>
      <c r="S68" s="9"/>
      <c r="T68" s="197"/>
      <c r="U68" s="9"/>
      <c r="V68" s="9"/>
      <c r="W68" s="9"/>
      <c r="X68" s="9"/>
      <c r="Y68" s="10"/>
    </row>
    <row r="69" spans="1:25" ht="16.5" x14ac:dyDescent="0.3">
      <c r="A69" s="6"/>
      <c r="B69" s="6" t="s">
        <v>433</v>
      </c>
      <c r="C69" s="6"/>
      <c r="D69" s="6"/>
      <c r="E69" s="196"/>
      <c r="F69" s="6"/>
      <c r="G69" s="196"/>
      <c r="H69" s="6"/>
      <c r="I69" s="6"/>
      <c r="J69" s="6"/>
      <c r="K69" s="6"/>
      <c r="N69" s="83" t="s">
        <v>625</v>
      </c>
      <c r="O69" s="204">
        <f>N5</f>
        <v>40800</v>
      </c>
      <c r="P69" s="22" t="s">
        <v>626</v>
      </c>
      <c r="Q69" s="205">
        <f>P53</f>
        <v>0.44052863436123346</v>
      </c>
      <c r="R69" s="197"/>
      <c r="S69" s="9"/>
      <c r="T69" s="197"/>
      <c r="U69" s="9"/>
      <c r="V69" s="9"/>
      <c r="W69" s="9"/>
      <c r="X69" s="9"/>
      <c r="Y69" s="10"/>
    </row>
    <row r="70" spans="1:25" ht="15" x14ac:dyDescent="0.25">
      <c r="A70" s="6"/>
      <c r="B70" s="6"/>
      <c r="C70" s="6"/>
      <c r="D70" s="6"/>
      <c r="E70" s="196"/>
      <c r="F70" s="6"/>
      <c r="G70" s="196"/>
      <c r="H70" s="6"/>
      <c r="I70" s="6"/>
      <c r="J70" s="6"/>
      <c r="K70" s="6"/>
      <c r="N70" s="9"/>
      <c r="O70" s="10"/>
      <c r="P70" s="9"/>
      <c r="Q70" s="9"/>
      <c r="R70" s="197"/>
      <c r="S70" s="9"/>
      <c r="T70" s="197"/>
      <c r="U70" s="9"/>
      <c r="V70" s="9"/>
      <c r="W70" s="9"/>
      <c r="X70" s="9"/>
      <c r="Y70" s="10"/>
    </row>
    <row r="71" spans="1:25" ht="18" x14ac:dyDescent="0.25">
      <c r="A71" s="6"/>
      <c r="B71" s="6" t="s">
        <v>305</v>
      </c>
      <c r="C71" s="175">
        <f>40800*C53</f>
        <v>17973.568281938326</v>
      </c>
      <c r="D71" s="6" t="s">
        <v>432</v>
      </c>
      <c r="E71" s="198">
        <f>40800*E53</f>
        <v>17973.568281938326</v>
      </c>
      <c r="F71" s="6" t="s">
        <v>432</v>
      </c>
      <c r="G71" s="198">
        <f>40800*G53</f>
        <v>17973.568281938326</v>
      </c>
      <c r="H71" s="6" t="s">
        <v>432</v>
      </c>
      <c r="I71" s="6"/>
      <c r="J71" s="6"/>
      <c r="K71" s="6"/>
      <c r="N71" s="10"/>
      <c r="O71" s="83" t="s">
        <v>305</v>
      </c>
      <c r="P71" s="176">
        <f>N5*P53</f>
        <v>17973.568281938326</v>
      </c>
      <c r="Q71" s="9" t="s">
        <v>432</v>
      </c>
      <c r="R71" s="199">
        <f>N5*R53</f>
        <v>17973.568281938326</v>
      </c>
      <c r="S71" s="9" t="s">
        <v>432</v>
      </c>
      <c r="T71" s="199">
        <f>N5*T53</f>
        <v>17973.568281938326</v>
      </c>
      <c r="U71" s="9" t="s">
        <v>432</v>
      </c>
      <c r="V71" s="9"/>
      <c r="W71" s="9"/>
      <c r="X71" s="9"/>
      <c r="Y71" s="10"/>
    </row>
    <row r="72" spans="1:25" ht="18" x14ac:dyDescent="0.25">
      <c r="A72" s="6"/>
      <c r="B72" s="6" t="s">
        <v>306</v>
      </c>
      <c r="C72" s="175">
        <f>SUM(C67:C71)</f>
        <v>24055.858085158361</v>
      </c>
      <c r="D72" s="6" t="s">
        <v>432</v>
      </c>
      <c r="E72" s="198">
        <f>SUM(E67:E71)</f>
        <v>24055.858085158361</v>
      </c>
      <c r="F72" s="6" t="s">
        <v>432</v>
      </c>
      <c r="G72" s="198">
        <f>SUM(G67:G71)</f>
        <v>24055.858085158361</v>
      </c>
      <c r="H72" s="6" t="s">
        <v>432</v>
      </c>
      <c r="I72" s="6"/>
      <c r="J72" s="6"/>
      <c r="K72" s="6"/>
      <c r="N72" s="9" t="s">
        <v>306</v>
      </c>
      <c r="O72" s="10"/>
      <c r="P72" s="176">
        <f>SUM(P67:P71)</f>
        <v>24055.858085158361</v>
      </c>
      <c r="Q72" s="9" t="s">
        <v>432</v>
      </c>
      <c r="R72" s="199">
        <f>SUM(R67:R71)</f>
        <v>24055.858085158361</v>
      </c>
      <c r="S72" s="9" t="s">
        <v>432</v>
      </c>
      <c r="T72" s="199">
        <f>SUM(T67:T71)</f>
        <v>24055.858085158361</v>
      </c>
      <c r="U72" s="9" t="s">
        <v>432</v>
      </c>
      <c r="V72" s="9"/>
      <c r="W72" s="9"/>
      <c r="X72" s="9"/>
      <c r="Y72" s="10"/>
    </row>
    <row r="73" spans="1:25" ht="15" x14ac:dyDescent="0.25">
      <c r="A73" s="6"/>
      <c r="B73" s="6"/>
      <c r="C73" s="6"/>
      <c r="D73" s="6"/>
      <c r="E73" s="196"/>
      <c r="F73" s="6"/>
      <c r="G73" s="196"/>
      <c r="H73" s="6"/>
      <c r="I73" s="6"/>
      <c r="J73" s="6"/>
      <c r="K73" s="6"/>
      <c r="N73" s="9"/>
      <c r="O73" s="9"/>
      <c r="P73" s="9"/>
      <c r="Q73" s="9"/>
      <c r="R73" s="197"/>
      <c r="S73" s="9"/>
      <c r="T73" s="197"/>
      <c r="U73" s="9"/>
      <c r="V73" s="9"/>
      <c r="W73" s="9"/>
      <c r="X73" s="9"/>
      <c r="Y73" s="10"/>
    </row>
    <row r="74" spans="1:25" ht="15" x14ac:dyDescent="0.25">
      <c r="A74" s="6" t="s">
        <v>307</v>
      </c>
      <c r="B74" s="6"/>
      <c r="C74" s="6"/>
      <c r="D74" s="6"/>
      <c r="E74" s="6"/>
      <c r="F74" s="6"/>
      <c r="G74" s="6"/>
      <c r="H74" s="6"/>
      <c r="I74" s="6"/>
      <c r="J74" s="6"/>
      <c r="K74" s="6"/>
      <c r="N74" s="9" t="s">
        <v>307</v>
      </c>
      <c r="O74" s="9"/>
      <c r="P74" s="9"/>
      <c r="Q74" s="9"/>
      <c r="R74" s="9"/>
      <c r="S74" s="9"/>
      <c r="T74" s="9"/>
      <c r="U74" s="9"/>
      <c r="V74" s="9"/>
      <c r="W74" s="9"/>
      <c r="X74" s="9"/>
      <c r="Y74" s="10"/>
    </row>
    <row r="75" spans="1:25" ht="15" x14ac:dyDescent="0.25">
      <c r="A75" s="6"/>
      <c r="B75" s="6"/>
      <c r="C75" s="6"/>
      <c r="D75" s="6"/>
      <c r="E75" s="196"/>
      <c r="F75" s="6"/>
      <c r="G75" s="196"/>
      <c r="H75" s="6"/>
      <c r="I75" s="6"/>
      <c r="J75" s="6"/>
      <c r="K75" s="6"/>
      <c r="N75" s="9"/>
      <c r="O75" s="9"/>
      <c r="P75" s="9"/>
      <c r="Q75" s="9"/>
      <c r="R75" s="197"/>
      <c r="S75" s="9"/>
      <c r="T75" s="197"/>
      <c r="U75" s="9"/>
      <c r="V75" s="9"/>
      <c r="W75" s="9"/>
      <c r="X75" s="9"/>
      <c r="Y75" s="10"/>
    </row>
    <row r="76" spans="1:25" ht="16.5" x14ac:dyDescent="0.3">
      <c r="A76" s="6"/>
      <c r="B76" s="6" t="s">
        <v>434</v>
      </c>
      <c r="C76" s="6"/>
      <c r="D76" s="6"/>
      <c r="E76" s="196"/>
      <c r="F76" s="6"/>
      <c r="G76" s="196"/>
      <c r="H76" s="6"/>
      <c r="I76" s="6"/>
      <c r="J76" s="6"/>
      <c r="K76" s="6"/>
      <c r="N76" s="83" t="s">
        <v>627</v>
      </c>
      <c r="O76" s="206">
        <f>P72</f>
        <v>24055.858085158361</v>
      </c>
      <c r="P76" s="31" t="s">
        <v>628</v>
      </c>
      <c r="Q76" s="31">
        <f>P61+N5</f>
        <v>204000</v>
      </c>
      <c r="R76" s="197"/>
      <c r="S76" s="9"/>
      <c r="T76" s="197"/>
      <c r="U76" s="9"/>
      <c r="V76" s="9"/>
      <c r="W76" s="9"/>
      <c r="X76" s="9"/>
      <c r="Y76" s="10"/>
    </row>
    <row r="77" spans="1:25" ht="15" x14ac:dyDescent="0.25">
      <c r="A77" s="6"/>
      <c r="B77" s="6"/>
      <c r="C77" s="6"/>
      <c r="D77" s="6"/>
      <c r="E77" s="196"/>
      <c r="F77" s="6"/>
      <c r="G77" s="196"/>
      <c r="H77" s="6"/>
      <c r="I77" s="6"/>
      <c r="J77" s="6"/>
      <c r="K77" s="6"/>
      <c r="N77" s="9"/>
      <c r="O77" s="9"/>
      <c r="P77" s="9"/>
      <c r="Q77" s="9"/>
      <c r="R77" s="197"/>
      <c r="S77" s="9"/>
      <c r="T77" s="197"/>
      <c r="U77" s="9"/>
      <c r="V77" s="9"/>
      <c r="W77" s="9"/>
      <c r="X77" s="9"/>
      <c r="Y77" s="10"/>
    </row>
    <row r="78" spans="1:25" ht="18.75" x14ac:dyDescent="0.3">
      <c r="A78" s="6"/>
      <c r="B78" s="6" t="s">
        <v>435</v>
      </c>
      <c r="C78" s="200">
        <f>C72/(C61+40800)</f>
        <v>0.11792087296646256</v>
      </c>
      <c r="D78" s="200" t="s">
        <v>427</v>
      </c>
      <c r="E78" s="201">
        <f>E72/(E61+40800)</f>
        <v>0.11792087296646256</v>
      </c>
      <c r="F78" s="200" t="s">
        <v>427</v>
      </c>
      <c r="G78" s="201">
        <f>G72/(G61+40800)</f>
        <v>0.11792087296646256</v>
      </c>
      <c r="H78" s="200" t="s">
        <v>427</v>
      </c>
      <c r="I78" s="6"/>
      <c r="J78" s="6"/>
      <c r="K78" s="6"/>
      <c r="N78" s="9"/>
      <c r="O78" s="9" t="s">
        <v>435</v>
      </c>
      <c r="P78" s="202">
        <f>P72/(P61+N5)</f>
        <v>0.11792087296646256</v>
      </c>
      <c r="Q78" s="202" t="s">
        <v>427</v>
      </c>
      <c r="R78" s="150">
        <f>R72/(R61+N5)</f>
        <v>0.11792087296646256</v>
      </c>
      <c r="S78" s="202" t="s">
        <v>427</v>
      </c>
      <c r="T78" s="150">
        <f>T72/(T61+N5)</f>
        <v>0.11792087296646256</v>
      </c>
      <c r="U78" s="202" t="s">
        <v>427</v>
      </c>
      <c r="V78" s="9"/>
      <c r="W78" s="9"/>
      <c r="X78" s="9"/>
      <c r="Y78" s="10"/>
    </row>
    <row r="79" spans="1:25" ht="15" x14ac:dyDescent="0.25">
      <c r="A79" s="6"/>
      <c r="B79" s="6"/>
      <c r="C79" s="6"/>
      <c r="D79" s="6"/>
      <c r="E79" s="196"/>
      <c r="F79" s="6"/>
      <c r="G79" s="196"/>
      <c r="H79" s="6"/>
      <c r="I79" s="6"/>
      <c r="J79" s="6"/>
      <c r="K79" s="6"/>
      <c r="N79" s="9"/>
      <c r="O79" s="9"/>
      <c r="P79" s="9"/>
      <c r="Q79" s="9"/>
      <c r="R79" s="197"/>
      <c r="S79" s="9"/>
      <c r="T79" s="197"/>
      <c r="U79" s="9"/>
      <c r="V79" s="9"/>
      <c r="W79" s="9"/>
      <c r="X79" s="9"/>
      <c r="Y79" s="10"/>
    </row>
    <row r="80" spans="1:25" ht="16.5" x14ac:dyDescent="0.3">
      <c r="A80" s="6" t="s">
        <v>436</v>
      </c>
      <c r="B80" s="6"/>
      <c r="C80" s="6"/>
      <c r="D80" s="6"/>
      <c r="E80" s="6"/>
      <c r="F80" s="6"/>
      <c r="G80" s="6"/>
      <c r="H80" s="6"/>
      <c r="I80" s="6"/>
      <c r="J80" s="6"/>
      <c r="K80" s="6"/>
      <c r="N80" s="9" t="s">
        <v>436</v>
      </c>
      <c r="O80" s="9"/>
      <c r="P80" s="9"/>
      <c r="Q80" s="9"/>
      <c r="R80" s="9"/>
      <c r="S80" s="9"/>
      <c r="T80" s="9"/>
      <c r="U80" s="9"/>
      <c r="V80" s="9"/>
      <c r="W80" s="9"/>
      <c r="X80" s="9"/>
      <c r="Y80" s="10"/>
    </row>
    <row r="81" spans="1:25" ht="15" x14ac:dyDescent="0.25">
      <c r="A81" s="6"/>
      <c r="B81" s="6"/>
      <c r="C81" s="6"/>
      <c r="D81" s="6"/>
      <c r="E81" s="196"/>
      <c r="F81" s="6"/>
      <c r="G81" s="196"/>
      <c r="H81" s="6"/>
      <c r="I81" s="6"/>
      <c r="J81" s="6"/>
      <c r="K81" s="6"/>
      <c r="N81" s="9"/>
      <c r="O81" s="9"/>
      <c r="P81" s="9"/>
      <c r="Q81" s="9"/>
      <c r="R81" s="197"/>
      <c r="S81" s="9"/>
      <c r="T81" s="197"/>
      <c r="U81" s="9"/>
      <c r="V81" s="9"/>
      <c r="W81" s="9"/>
      <c r="X81" s="9"/>
      <c r="Y81" s="10"/>
    </row>
    <row r="82" spans="1:25" ht="15" x14ac:dyDescent="0.25">
      <c r="A82" s="6"/>
      <c r="B82" s="6" t="s">
        <v>308</v>
      </c>
      <c r="C82" s="111">
        <f>(2.3*C44*LOG(C78/C57))/(144*(C78-C57))</f>
        <v>1.5850835578355891</v>
      </c>
      <c r="D82" s="6" t="s">
        <v>309</v>
      </c>
      <c r="E82" s="207">
        <f>(2.3*E44*LOG(E78/E57))/(144*(E78-E57))</f>
        <v>1.188812668376692</v>
      </c>
      <c r="F82" s="6" t="s">
        <v>309</v>
      </c>
      <c r="G82" s="207">
        <f>(2.3*G44*LOG(G78/G57))/(144*(G78-G57))</f>
        <v>0.99067722364724342</v>
      </c>
      <c r="H82" s="6" t="s">
        <v>309</v>
      </c>
      <c r="I82" s="6"/>
      <c r="J82" s="6"/>
      <c r="K82" s="6"/>
      <c r="N82" s="9"/>
      <c r="O82" s="9" t="s">
        <v>308</v>
      </c>
      <c r="P82" s="84">
        <f>(2.3*P44*LOG(P78/P57))/(144*(P78-P57))</f>
        <v>1.5850835578355891</v>
      </c>
      <c r="Q82" s="9" t="s">
        <v>309</v>
      </c>
      <c r="R82" s="208">
        <f>(2.3*R44*LOG(R78/R57))/(144*(R78-R57))</f>
        <v>1.188812668376692</v>
      </c>
      <c r="S82" s="9" t="s">
        <v>309</v>
      </c>
      <c r="T82" s="208">
        <f>(2.3*T44*LOG(T78/T57))/(144*(T78-T57))</f>
        <v>0.99067722364724342</v>
      </c>
      <c r="U82" s="9" t="s">
        <v>309</v>
      </c>
      <c r="V82" s="9"/>
      <c r="W82" s="9"/>
      <c r="X82" s="9"/>
      <c r="Y82" s="10"/>
    </row>
    <row r="83" spans="1:25" ht="15" x14ac:dyDescent="0.25">
      <c r="A83" s="6"/>
      <c r="B83" s="6"/>
      <c r="C83" s="6"/>
      <c r="D83" s="6"/>
      <c r="E83" s="196"/>
      <c r="F83" s="6"/>
      <c r="G83" s="196"/>
      <c r="H83" s="6"/>
      <c r="I83" s="6"/>
      <c r="J83" s="6"/>
      <c r="K83" s="6"/>
      <c r="N83" s="9"/>
      <c r="O83" s="9"/>
      <c r="P83" s="9"/>
      <c r="Q83" s="9"/>
      <c r="R83" s="197"/>
      <c r="S83" s="9"/>
      <c r="T83" s="197"/>
      <c r="U83" s="9"/>
      <c r="V83" s="9"/>
      <c r="W83" s="9"/>
      <c r="X83" s="9"/>
      <c r="Y83" s="10"/>
    </row>
    <row r="84" spans="1:25" ht="12.75" customHeight="1" x14ac:dyDescent="0.25">
      <c r="A84" s="11" t="s">
        <v>437</v>
      </c>
      <c r="B84" s="11"/>
      <c r="C84" s="11"/>
      <c r="D84" s="11"/>
      <c r="E84" s="11"/>
      <c r="F84" s="11"/>
      <c r="G84" s="11"/>
      <c r="H84" s="11"/>
      <c r="I84" s="11"/>
      <c r="J84" s="11"/>
      <c r="K84" s="6"/>
      <c r="N84" s="33" t="s">
        <v>437</v>
      </c>
      <c r="O84" s="33"/>
      <c r="P84" s="33"/>
      <c r="Q84" s="33"/>
      <c r="R84" s="33"/>
      <c r="S84" s="33"/>
      <c r="T84" s="33"/>
      <c r="U84" s="33"/>
      <c r="V84" s="33"/>
      <c r="W84" s="33"/>
      <c r="X84" s="9"/>
      <c r="Y84" s="10"/>
    </row>
    <row r="85" spans="1:25" ht="15" x14ac:dyDescent="0.25">
      <c r="A85" s="11"/>
      <c r="B85" s="11"/>
      <c r="C85" s="11"/>
      <c r="D85" s="11"/>
      <c r="E85" s="11"/>
      <c r="F85" s="11"/>
      <c r="G85" s="11"/>
      <c r="H85" s="11"/>
      <c r="I85" s="11"/>
      <c r="J85" s="11"/>
      <c r="K85" s="6"/>
      <c r="N85" s="33"/>
      <c r="O85" s="33"/>
      <c r="P85" s="33"/>
      <c r="Q85" s="33"/>
      <c r="R85" s="33"/>
      <c r="S85" s="33"/>
      <c r="T85" s="33"/>
      <c r="U85" s="33"/>
      <c r="V85" s="33"/>
      <c r="W85" s="33"/>
      <c r="X85" s="9"/>
      <c r="Y85" s="10"/>
    </row>
    <row r="86" spans="1:25" ht="15" x14ac:dyDescent="0.25">
      <c r="A86" s="6"/>
      <c r="B86" s="6"/>
      <c r="C86" s="6"/>
      <c r="D86" s="6"/>
      <c r="E86" s="196"/>
      <c r="F86" s="6"/>
      <c r="G86" s="196"/>
      <c r="H86" s="6"/>
      <c r="I86" s="6"/>
      <c r="J86" s="6"/>
      <c r="K86" s="6"/>
      <c r="N86" s="93"/>
      <c r="O86" s="93"/>
      <c r="P86" s="93"/>
      <c r="Q86" s="93"/>
      <c r="R86" s="93"/>
      <c r="S86" s="93"/>
      <c r="T86" s="93"/>
      <c r="U86" s="93"/>
      <c r="V86" s="93"/>
      <c r="W86" s="93"/>
      <c r="X86" s="9"/>
      <c r="Y86" s="10"/>
    </row>
    <row r="87" spans="1:25" ht="18.75" x14ac:dyDescent="0.3">
      <c r="A87" s="6"/>
      <c r="B87" s="6" t="s">
        <v>438</v>
      </c>
      <c r="C87" s="106">
        <f>C47*$C$10/144</f>
        <v>0.22021901709401709</v>
      </c>
      <c r="D87" s="106" t="s">
        <v>409</v>
      </c>
      <c r="E87" s="209">
        <f>E47*$C$10/144</f>
        <v>0.29362535612535612</v>
      </c>
      <c r="F87" s="106" t="s">
        <v>409</v>
      </c>
      <c r="G87" s="209">
        <f>G47*$C$10/144</f>
        <v>0.35235042735042738</v>
      </c>
      <c r="H87" s="106" t="s">
        <v>409</v>
      </c>
      <c r="I87" s="6"/>
      <c r="J87" s="6"/>
      <c r="K87" s="6"/>
      <c r="N87" s="83" t="s">
        <v>629</v>
      </c>
      <c r="O87" s="210">
        <f>P47</f>
        <v>105.00509424350484</v>
      </c>
      <c r="P87" s="93" t="s">
        <v>573</v>
      </c>
      <c r="Q87" s="203">
        <f>P10/144</f>
        <v>2.0972222222222221E-3</v>
      </c>
      <c r="R87" s="93"/>
      <c r="S87" s="93"/>
      <c r="T87" s="93"/>
      <c r="U87" s="93"/>
      <c r="V87" s="93"/>
      <c r="W87" s="93"/>
      <c r="X87" s="9"/>
      <c r="Y87" s="10"/>
    </row>
    <row r="88" spans="1:25" ht="15" x14ac:dyDescent="0.25">
      <c r="A88" s="6"/>
      <c r="B88" s="6"/>
      <c r="C88" s="6"/>
      <c r="D88" s="6"/>
      <c r="E88" s="196"/>
      <c r="F88" s="6"/>
      <c r="G88" s="196"/>
      <c r="H88" s="6"/>
      <c r="I88" s="6"/>
      <c r="J88" s="6"/>
      <c r="K88" s="6"/>
      <c r="N88" s="9"/>
      <c r="O88" s="9"/>
      <c r="P88" s="9"/>
      <c r="Q88" s="9"/>
      <c r="R88" s="197"/>
      <c r="S88" s="9"/>
      <c r="T88" s="197"/>
      <c r="U88" s="9"/>
      <c r="V88" s="9"/>
      <c r="W88" s="9"/>
      <c r="X88" s="9"/>
      <c r="Y88" s="10"/>
    </row>
    <row r="89" spans="1:25" ht="18.75" x14ac:dyDescent="0.3">
      <c r="A89" s="6" t="s">
        <v>310</v>
      </c>
      <c r="B89" s="6"/>
      <c r="C89" s="6"/>
      <c r="D89" s="6"/>
      <c r="E89" s="6"/>
      <c r="F89" s="6"/>
      <c r="G89" s="6"/>
      <c r="H89" s="6"/>
      <c r="I89" s="6"/>
      <c r="J89" s="6"/>
      <c r="K89" s="6"/>
      <c r="N89" s="9"/>
      <c r="O89" s="9" t="s">
        <v>438</v>
      </c>
      <c r="P89" s="107">
        <f>P47*$P$10/144</f>
        <v>0.22021901709401709</v>
      </c>
      <c r="Q89" s="107" t="s">
        <v>409</v>
      </c>
      <c r="R89" s="211">
        <f>R47*$P$10/144</f>
        <v>0.29362535612535612</v>
      </c>
      <c r="S89" s="107" t="s">
        <v>409</v>
      </c>
      <c r="T89" s="211">
        <f>T47*$P$10/144</f>
        <v>0.35235042735042738</v>
      </c>
      <c r="U89" s="107" t="s">
        <v>409</v>
      </c>
      <c r="V89" s="9"/>
      <c r="W89" s="9"/>
      <c r="X89" s="9"/>
      <c r="Y89" s="10"/>
    </row>
    <row r="90" spans="1:25" ht="15" x14ac:dyDescent="0.25">
      <c r="A90" s="6"/>
      <c r="B90" s="6"/>
      <c r="C90" s="6"/>
      <c r="D90" s="6"/>
      <c r="E90" s="196"/>
      <c r="F90" s="6"/>
      <c r="G90" s="196"/>
      <c r="H90" s="6"/>
      <c r="I90" s="6"/>
      <c r="J90" s="6"/>
      <c r="K90" s="6"/>
      <c r="N90" s="9"/>
      <c r="O90" s="9"/>
      <c r="P90" s="9"/>
      <c r="Q90" s="9"/>
      <c r="R90" s="197"/>
      <c r="S90" s="9"/>
      <c r="T90" s="197"/>
      <c r="U90" s="9"/>
      <c r="V90" s="9"/>
      <c r="W90" s="9"/>
      <c r="X90" s="9"/>
      <c r="Y90" s="10"/>
    </row>
    <row r="91" spans="1:25" ht="18.75" x14ac:dyDescent="0.3">
      <c r="A91" s="6"/>
      <c r="B91" s="6" t="s">
        <v>439</v>
      </c>
      <c r="C91" s="175">
        <f>(C61+40800)/C87</f>
        <v>926350.51546391752</v>
      </c>
      <c r="D91" s="6" t="s">
        <v>440</v>
      </c>
      <c r="E91" s="198">
        <f>(E61+40800)/E87</f>
        <v>694762.88659793814</v>
      </c>
      <c r="F91" s="6" t="s">
        <v>440</v>
      </c>
      <c r="G91" s="198">
        <f>(G61+40800)/G87</f>
        <v>578969.07216494845</v>
      </c>
      <c r="H91" s="6" t="s">
        <v>440</v>
      </c>
      <c r="I91" s="6"/>
      <c r="J91" s="6"/>
      <c r="K91" s="6"/>
      <c r="N91" s="9" t="s">
        <v>310</v>
      </c>
      <c r="O91" s="9"/>
      <c r="P91" s="9"/>
      <c r="Q91" s="9"/>
      <c r="R91" s="9"/>
      <c r="S91" s="9"/>
      <c r="T91" s="9"/>
      <c r="U91" s="9"/>
      <c r="V91" s="9"/>
      <c r="W91" s="9"/>
      <c r="X91" s="9"/>
      <c r="Y91" s="10"/>
    </row>
    <row r="92" spans="1:25" ht="15" x14ac:dyDescent="0.25">
      <c r="A92" s="6"/>
      <c r="B92" s="6"/>
      <c r="C92" s="6"/>
      <c r="D92" s="6"/>
      <c r="E92" s="196"/>
      <c r="F92" s="6"/>
      <c r="G92" s="196"/>
      <c r="H92" s="6"/>
      <c r="I92" s="6"/>
      <c r="J92" s="6"/>
      <c r="K92" s="6"/>
      <c r="N92" s="9"/>
      <c r="O92" s="9"/>
      <c r="P92" s="9"/>
      <c r="Q92" s="9"/>
      <c r="R92" s="197"/>
      <c r="S92" s="9"/>
      <c r="T92" s="197"/>
      <c r="U92" s="9"/>
      <c r="V92" s="9"/>
      <c r="W92" s="9"/>
      <c r="X92" s="9"/>
      <c r="Y92" s="10"/>
    </row>
    <row r="93" spans="1:25" ht="16.5" x14ac:dyDescent="0.3">
      <c r="A93" s="6" t="s">
        <v>314</v>
      </c>
      <c r="B93" s="6"/>
      <c r="C93" s="6"/>
      <c r="D93" s="6"/>
      <c r="E93" s="123"/>
      <c r="F93" s="6"/>
      <c r="G93" s="6"/>
      <c r="H93" s="6"/>
      <c r="I93" s="6"/>
      <c r="J93" s="6"/>
      <c r="K93" s="6"/>
      <c r="N93" s="83" t="s">
        <v>630</v>
      </c>
      <c r="O93" s="22">
        <f>(P61+N5)</f>
        <v>204000</v>
      </c>
      <c r="P93" s="108" t="s">
        <v>575</v>
      </c>
      <c r="Q93" s="169">
        <f>P89</f>
        <v>0.22021901709401709</v>
      </c>
      <c r="R93" s="197"/>
      <c r="S93" s="9"/>
      <c r="T93" s="197"/>
      <c r="U93" s="9"/>
      <c r="V93" s="9"/>
      <c r="W93" s="9"/>
      <c r="X93" s="9"/>
      <c r="Y93" s="10"/>
    </row>
    <row r="94" spans="1:25" ht="15" x14ac:dyDescent="0.25">
      <c r="A94" s="6"/>
      <c r="B94" s="6"/>
      <c r="C94" s="6"/>
      <c r="D94" s="6"/>
      <c r="E94" s="196"/>
      <c r="F94" s="6"/>
      <c r="G94" s="196"/>
      <c r="H94" s="6"/>
      <c r="I94" s="6"/>
      <c r="J94" s="6"/>
      <c r="K94" s="6"/>
      <c r="N94" s="9"/>
      <c r="O94" s="9"/>
      <c r="P94" s="9"/>
      <c r="Q94" s="9"/>
      <c r="R94" s="197"/>
      <c r="S94" s="9"/>
      <c r="T94" s="197"/>
      <c r="U94" s="9"/>
      <c r="V94" s="9"/>
      <c r="W94" s="9"/>
      <c r="X94" s="9"/>
      <c r="Y94" s="10"/>
    </row>
    <row r="95" spans="1:25" ht="18.75" x14ac:dyDescent="0.3">
      <c r="A95" s="6"/>
      <c r="B95" s="6" t="s">
        <v>220</v>
      </c>
      <c r="C95" s="6">
        <f>0.1*2.42</f>
        <v>0.24199999999999999</v>
      </c>
      <c r="D95" s="6" t="s">
        <v>312</v>
      </c>
      <c r="E95" s="196">
        <f>0.1*2.42</f>
        <v>0.24199999999999999</v>
      </c>
      <c r="F95" s="6" t="s">
        <v>312</v>
      </c>
      <c r="G95" s="196">
        <f>0.1*2.42</f>
        <v>0.24199999999999999</v>
      </c>
      <c r="H95" s="6" t="s">
        <v>312</v>
      </c>
      <c r="I95" s="6"/>
      <c r="J95" s="6"/>
      <c r="K95" s="6"/>
      <c r="N95" s="9"/>
      <c r="O95" s="9" t="s">
        <v>439</v>
      </c>
      <c r="P95" s="176">
        <f>(P61+N5)/P89</f>
        <v>926350.51546391752</v>
      </c>
      <c r="Q95" s="9" t="s">
        <v>440</v>
      </c>
      <c r="R95" s="199">
        <f>(R61+N5)/R89</f>
        <v>694762.88659793814</v>
      </c>
      <c r="S95" s="9" t="s">
        <v>440</v>
      </c>
      <c r="T95" s="199">
        <f>(T61+N5)/T89</f>
        <v>578969.07216494845</v>
      </c>
      <c r="U95" s="9" t="s">
        <v>440</v>
      </c>
      <c r="V95" s="9"/>
      <c r="W95" s="9"/>
      <c r="X95" s="9"/>
      <c r="Y95" s="10"/>
    </row>
    <row r="96" spans="1:25" ht="15" x14ac:dyDescent="0.25">
      <c r="A96" s="6"/>
      <c r="B96" s="6"/>
      <c r="C96" s="6"/>
      <c r="D96" s="6"/>
      <c r="E96" s="196"/>
      <c r="F96" s="6"/>
      <c r="G96" s="196"/>
      <c r="H96" s="6"/>
      <c r="I96" s="6"/>
      <c r="J96" s="6"/>
      <c r="K96" s="6"/>
      <c r="N96" s="9"/>
      <c r="O96" s="9"/>
      <c r="P96" s="9"/>
      <c r="Q96" s="9"/>
      <c r="R96" s="197"/>
      <c r="S96" s="9"/>
      <c r="T96" s="197"/>
      <c r="U96" s="9"/>
      <c r="V96" s="9"/>
      <c r="W96" s="9"/>
      <c r="X96" s="9"/>
      <c r="Y96" s="10"/>
    </row>
    <row r="97" spans="1:25" ht="15" x14ac:dyDescent="0.25">
      <c r="A97" s="6" t="s">
        <v>313</v>
      </c>
      <c r="B97" s="6"/>
      <c r="C97" s="6"/>
      <c r="D97" s="6"/>
      <c r="E97" s="123"/>
      <c r="F97" s="6"/>
      <c r="G97" s="6"/>
      <c r="H97" s="6"/>
      <c r="I97" s="6"/>
      <c r="J97" s="6"/>
      <c r="K97" s="6"/>
      <c r="N97" s="9" t="s">
        <v>314</v>
      </c>
      <c r="O97" s="9"/>
      <c r="P97" s="9"/>
      <c r="Q97" s="9"/>
      <c r="R97" s="153"/>
      <c r="S97" s="9"/>
      <c r="T97" s="9"/>
      <c r="U97" s="9"/>
      <c r="V97" s="9"/>
      <c r="W97" s="9"/>
      <c r="X97" s="9"/>
      <c r="Y97" s="10"/>
    </row>
    <row r="98" spans="1:25" ht="15" x14ac:dyDescent="0.25">
      <c r="A98" s="6"/>
      <c r="B98" s="6"/>
      <c r="C98" s="6"/>
      <c r="D98" s="6"/>
      <c r="E98" s="196"/>
      <c r="F98" s="6"/>
      <c r="G98" s="196"/>
      <c r="H98" s="6"/>
      <c r="I98" s="6"/>
      <c r="J98" s="6"/>
      <c r="K98" s="6"/>
      <c r="N98" s="9"/>
      <c r="O98" s="9"/>
      <c r="P98" s="9"/>
      <c r="Q98" s="9"/>
      <c r="R98" s="197"/>
      <c r="S98" s="9"/>
      <c r="T98" s="197"/>
      <c r="U98" s="9"/>
      <c r="V98" s="9"/>
      <c r="W98" s="9"/>
      <c r="X98" s="9"/>
      <c r="Y98" s="10"/>
    </row>
    <row r="99" spans="1:25" ht="15" x14ac:dyDescent="0.25">
      <c r="A99" s="6"/>
      <c r="B99" s="6" t="s">
        <v>90</v>
      </c>
      <c r="C99" s="106">
        <f>0.62/12</f>
        <v>5.1666666666666666E-2</v>
      </c>
      <c r="D99" s="6" t="s">
        <v>96</v>
      </c>
      <c r="E99" s="209">
        <f>0.62/12</f>
        <v>5.1666666666666666E-2</v>
      </c>
      <c r="F99" s="6" t="s">
        <v>96</v>
      </c>
      <c r="G99" s="209">
        <f>0.62/12</f>
        <v>5.1666666666666666E-2</v>
      </c>
      <c r="H99" s="6" t="s">
        <v>96</v>
      </c>
      <c r="I99" s="6"/>
      <c r="J99" s="6"/>
      <c r="K99" s="6"/>
      <c r="N99" s="9"/>
      <c r="O99" s="9" t="s">
        <v>220</v>
      </c>
      <c r="P99" s="9">
        <f>0.1*2.42</f>
        <v>0.24199999999999999</v>
      </c>
      <c r="Q99" s="9" t="s">
        <v>312</v>
      </c>
      <c r="R99" s="197">
        <f>0.1*2.42</f>
        <v>0.24199999999999999</v>
      </c>
      <c r="S99" s="9" t="s">
        <v>312</v>
      </c>
      <c r="T99" s="197">
        <f>0.1*2.42</f>
        <v>0.24199999999999999</v>
      </c>
      <c r="U99" s="9" t="s">
        <v>312</v>
      </c>
      <c r="V99" s="9"/>
      <c r="W99" s="9"/>
      <c r="X99" s="9"/>
      <c r="Y99" s="10"/>
    </row>
    <row r="100" spans="1:25" ht="15" x14ac:dyDescent="0.25">
      <c r="A100" s="6"/>
      <c r="B100" s="6"/>
      <c r="C100" s="6"/>
      <c r="D100" s="6"/>
      <c r="E100" s="196"/>
      <c r="F100" s="6"/>
      <c r="G100" s="196"/>
      <c r="H100" s="6"/>
      <c r="I100" s="6"/>
      <c r="J100" s="6"/>
      <c r="K100" s="6"/>
      <c r="N100" s="9"/>
      <c r="O100" s="9"/>
      <c r="P100" s="9"/>
      <c r="Q100" s="9"/>
      <c r="R100" s="197"/>
      <c r="S100" s="9"/>
      <c r="T100" s="197"/>
      <c r="U100" s="9"/>
      <c r="V100" s="9"/>
      <c r="W100" s="9"/>
      <c r="X100" s="9"/>
      <c r="Y100" s="10"/>
    </row>
    <row r="101" spans="1:25" ht="16.5" x14ac:dyDescent="0.3">
      <c r="A101" s="6" t="s">
        <v>441</v>
      </c>
      <c r="B101" s="6"/>
      <c r="C101" s="6"/>
      <c r="D101" s="6"/>
      <c r="E101" s="123"/>
      <c r="F101" s="6"/>
      <c r="G101" s="6"/>
      <c r="H101" s="6"/>
      <c r="I101" s="6"/>
      <c r="J101" s="6"/>
      <c r="K101" s="6"/>
      <c r="N101" s="9" t="s">
        <v>313</v>
      </c>
      <c r="O101" s="9"/>
      <c r="P101" s="9"/>
      <c r="Q101" s="9"/>
      <c r="R101" s="153"/>
      <c r="S101" s="9"/>
      <c r="T101" s="9"/>
      <c r="U101" s="9"/>
      <c r="V101" s="9"/>
      <c r="W101" s="9"/>
      <c r="X101" s="9"/>
      <c r="Y101" s="10"/>
    </row>
    <row r="102" spans="1:25" ht="15" x14ac:dyDescent="0.25">
      <c r="A102" s="6"/>
      <c r="B102" s="6"/>
      <c r="C102" s="6"/>
      <c r="D102" s="6"/>
      <c r="E102" s="196"/>
      <c r="F102" s="6"/>
      <c r="G102" s="196"/>
      <c r="H102" s="6"/>
      <c r="I102" s="6"/>
      <c r="J102" s="6"/>
      <c r="K102" s="6"/>
      <c r="N102" s="9"/>
      <c r="O102" s="9"/>
      <c r="P102" s="9"/>
      <c r="Q102" s="9"/>
      <c r="R102" s="197"/>
      <c r="S102" s="9"/>
      <c r="T102" s="197"/>
      <c r="U102" s="9"/>
      <c r="V102" s="9"/>
      <c r="W102" s="9"/>
      <c r="X102" s="9"/>
      <c r="Y102" s="10"/>
    </row>
    <row r="103" spans="1:25" ht="15" x14ac:dyDescent="0.25">
      <c r="A103" s="6"/>
      <c r="B103" s="6" t="s">
        <v>179</v>
      </c>
      <c r="C103" s="175">
        <f>C99*C91/C95</f>
        <v>197774.55908664904</v>
      </c>
      <c r="D103" s="6"/>
      <c r="E103" s="198">
        <f>E99*E91/E95</f>
        <v>148330.91931498679</v>
      </c>
      <c r="F103" s="6"/>
      <c r="G103" s="198">
        <f>G99*G91/G95</f>
        <v>123609.09942915566</v>
      </c>
      <c r="H103" s="6"/>
      <c r="I103" s="6"/>
      <c r="J103" s="6"/>
      <c r="K103" s="6"/>
      <c r="N103" s="9"/>
      <c r="O103" s="9" t="s">
        <v>90</v>
      </c>
      <c r="P103" s="107">
        <f>0.62/12</f>
        <v>5.1666666666666666E-2</v>
      </c>
      <c r="Q103" s="9" t="s">
        <v>96</v>
      </c>
      <c r="R103" s="211">
        <f>0.62/12</f>
        <v>5.1666666666666666E-2</v>
      </c>
      <c r="S103" s="9" t="s">
        <v>96</v>
      </c>
      <c r="T103" s="211">
        <f>0.62/12</f>
        <v>5.1666666666666666E-2</v>
      </c>
      <c r="U103" s="9" t="s">
        <v>96</v>
      </c>
      <c r="V103" s="9"/>
      <c r="W103" s="9"/>
      <c r="X103" s="9"/>
      <c r="Y103" s="10"/>
    </row>
    <row r="104" spans="1:25" ht="15" x14ac:dyDescent="0.25">
      <c r="A104" s="6"/>
      <c r="B104" s="6"/>
      <c r="C104" s="6"/>
      <c r="D104" s="6"/>
      <c r="E104" s="196"/>
      <c r="F104" s="6"/>
      <c r="G104" s="196"/>
      <c r="H104" s="6"/>
      <c r="I104" s="6"/>
      <c r="J104" s="6"/>
      <c r="K104" s="6"/>
      <c r="N104" s="9"/>
      <c r="O104" s="9"/>
      <c r="P104" s="9"/>
      <c r="Q104" s="9"/>
      <c r="R104" s="197"/>
      <c r="S104" s="9"/>
      <c r="T104" s="197"/>
      <c r="U104" s="9"/>
      <c r="V104" s="9"/>
      <c r="W104" s="9"/>
      <c r="X104" s="9"/>
      <c r="Y104" s="10"/>
    </row>
    <row r="105" spans="1:25" ht="16.5" x14ac:dyDescent="0.3">
      <c r="A105" s="6" t="s">
        <v>315</v>
      </c>
      <c r="B105" s="6"/>
      <c r="C105" s="6"/>
      <c r="D105" s="6"/>
      <c r="E105" s="123"/>
      <c r="F105" s="6"/>
      <c r="G105" s="6"/>
      <c r="H105" s="6"/>
      <c r="I105" s="6"/>
      <c r="J105" s="6"/>
      <c r="K105" s="6"/>
      <c r="N105" s="9" t="s">
        <v>441</v>
      </c>
      <c r="O105" s="9"/>
      <c r="P105" s="9"/>
      <c r="Q105" s="9"/>
      <c r="R105" s="153"/>
      <c r="S105" s="9"/>
      <c r="T105" s="9"/>
      <c r="U105" s="9"/>
      <c r="V105" s="9"/>
      <c r="W105" s="9"/>
      <c r="X105" s="9"/>
      <c r="Y105" s="10"/>
    </row>
    <row r="106" spans="1:25" ht="15" x14ac:dyDescent="0.25">
      <c r="A106" s="6"/>
      <c r="B106" s="6"/>
      <c r="C106" s="6"/>
      <c r="D106" s="6"/>
      <c r="E106" s="196"/>
      <c r="F106" s="6"/>
      <c r="G106" s="196"/>
      <c r="H106" s="6"/>
      <c r="I106" s="6"/>
      <c r="J106" s="6"/>
      <c r="K106" s="6"/>
      <c r="N106" s="9"/>
      <c r="O106" s="9"/>
      <c r="P106" s="9"/>
      <c r="Q106" s="9"/>
      <c r="R106" s="153"/>
      <c r="S106" s="9"/>
      <c r="T106" s="9"/>
      <c r="U106" s="9"/>
      <c r="V106" s="9"/>
      <c r="W106" s="9"/>
      <c r="X106" s="9"/>
      <c r="Y106" s="10"/>
    </row>
    <row r="107" spans="1:25" ht="18" x14ac:dyDescent="0.25">
      <c r="A107" s="6"/>
      <c r="B107" s="6" t="s">
        <v>141</v>
      </c>
      <c r="C107" s="6">
        <v>1.27E-4</v>
      </c>
      <c r="D107" s="6" t="s">
        <v>442</v>
      </c>
      <c r="E107" s="196">
        <v>1.35E-4</v>
      </c>
      <c r="F107" s="6" t="s">
        <v>442</v>
      </c>
      <c r="G107" s="196">
        <f>-3*10^-5*LN(G103)+0.0005</f>
        <v>1.4825361676181305E-4</v>
      </c>
      <c r="H107" s="6"/>
      <c r="I107" s="6"/>
      <c r="J107" s="6"/>
      <c r="K107" s="6"/>
      <c r="N107" s="83" t="s">
        <v>631</v>
      </c>
      <c r="O107" s="112">
        <f>P103</f>
        <v>5.1666666666666666E-2</v>
      </c>
      <c r="P107" s="22" t="s">
        <v>573</v>
      </c>
      <c r="Q107" s="206">
        <f>P95</f>
        <v>926350.51546391752</v>
      </c>
      <c r="R107" s="212" t="s">
        <v>575</v>
      </c>
      <c r="S107" s="31">
        <f>R99</f>
        <v>0.24199999999999999</v>
      </c>
      <c r="T107" s="9"/>
      <c r="U107" s="9"/>
      <c r="V107" s="9"/>
      <c r="W107" s="9"/>
      <c r="X107" s="9"/>
      <c r="Y107" s="10"/>
    </row>
    <row r="108" spans="1:25" ht="15" x14ac:dyDescent="0.25">
      <c r="A108" s="6"/>
      <c r="B108" s="6"/>
      <c r="C108" s="6"/>
      <c r="D108" s="6"/>
      <c r="E108" s="196"/>
      <c r="F108" s="6"/>
      <c r="G108" s="196"/>
      <c r="H108" s="6"/>
      <c r="I108" s="6"/>
      <c r="J108" s="6"/>
      <c r="K108" s="6"/>
      <c r="N108" s="9"/>
      <c r="O108" s="9"/>
      <c r="P108" s="9"/>
      <c r="Q108" s="9"/>
      <c r="R108" s="197"/>
      <c r="S108" s="9"/>
      <c r="T108" s="197"/>
      <c r="U108" s="9"/>
      <c r="V108" s="9"/>
      <c r="W108" s="9"/>
      <c r="X108" s="9"/>
      <c r="Y108" s="10"/>
    </row>
    <row r="109" spans="1:25" ht="15" x14ac:dyDescent="0.25">
      <c r="A109" s="6" t="s">
        <v>633</v>
      </c>
      <c r="B109" s="6"/>
      <c r="C109" s="6"/>
      <c r="D109" s="6"/>
      <c r="E109" s="6"/>
      <c r="F109" s="6"/>
      <c r="G109" s="6"/>
      <c r="H109" s="6"/>
      <c r="I109" s="6"/>
      <c r="J109" s="6"/>
      <c r="K109" s="6"/>
      <c r="N109" s="9"/>
      <c r="O109" s="9" t="s">
        <v>179</v>
      </c>
      <c r="P109" s="176">
        <f>P103*P95/P99</f>
        <v>197774.55908664904</v>
      </c>
      <c r="Q109" s="9"/>
      <c r="R109" s="199">
        <f>R103*R95/R99</f>
        <v>148330.91931498679</v>
      </c>
      <c r="S109" s="9"/>
      <c r="T109" s="199">
        <f>T103*T95/T99</f>
        <v>123609.09942915566</v>
      </c>
      <c r="U109" s="9"/>
      <c r="V109" s="9"/>
      <c r="W109" s="9"/>
      <c r="X109" s="9"/>
      <c r="Y109" s="10"/>
    </row>
    <row r="110" spans="1:25" ht="15" x14ac:dyDescent="0.25">
      <c r="A110" s="6"/>
      <c r="B110" s="6"/>
      <c r="C110" s="6"/>
      <c r="D110" s="6"/>
      <c r="E110" s="196"/>
      <c r="F110" s="6"/>
      <c r="G110" s="196"/>
      <c r="H110" s="6"/>
      <c r="I110" s="6"/>
      <c r="J110" s="6"/>
      <c r="K110" s="6"/>
      <c r="N110" s="9"/>
      <c r="O110" s="9"/>
      <c r="P110" s="9"/>
      <c r="Q110" s="9"/>
      <c r="R110" s="197"/>
      <c r="S110" s="9"/>
      <c r="T110" s="197"/>
      <c r="U110" s="9"/>
      <c r="V110" s="9"/>
      <c r="W110" s="9"/>
      <c r="X110" s="9"/>
      <c r="Y110" s="10"/>
    </row>
    <row r="111" spans="1:25" ht="16.5" x14ac:dyDescent="0.3">
      <c r="A111" s="6"/>
      <c r="B111" s="6" t="s">
        <v>443</v>
      </c>
      <c r="C111" s="106">
        <f>($C$13+(1/C53)/62.4)/2</f>
        <v>0.23318910256410255</v>
      </c>
      <c r="D111" s="106"/>
      <c r="E111" s="209">
        <f>($C$13+(1/E53)/62.4)/2</f>
        <v>0.23318910256410255</v>
      </c>
      <c r="F111" s="6"/>
      <c r="G111" s="209">
        <f>($C$13+(1/G53)/62.4)/2</f>
        <v>0.23318910256410255</v>
      </c>
      <c r="H111" s="6"/>
      <c r="I111" s="6"/>
      <c r="J111" s="6"/>
      <c r="K111" s="6"/>
      <c r="N111" s="82" t="s">
        <v>569</v>
      </c>
      <c r="O111" s="9"/>
      <c r="P111" s="9"/>
      <c r="Q111" s="9"/>
      <c r="R111" s="153"/>
      <c r="S111" s="9"/>
      <c r="T111" s="9"/>
      <c r="U111" s="9"/>
      <c r="V111" s="9"/>
      <c r="W111" s="9"/>
      <c r="X111" s="9"/>
      <c r="Y111" s="10"/>
    </row>
    <row r="112" spans="1:25" ht="15" x14ac:dyDescent="0.25">
      <c r="A112" s="6"/>
      <c r="B112" s="6"/>
      <c r="C112" s="6"/>
      <c r="D112" s="6"/>
      <c r="E112" s="196"/>
      <c r="F112" s="6"/>
      <c r="G112" s="196"/>
      <c r="H112" s="6"/>
      <c r="I112" s="6"/>
      <c r="J112" s="6"/>
      <c r="K112" s="6"/>
      <c r="N112" s="9"/>
      <c r="O112" s="9"/>
      <c r="P112" s="9"/>
      <c r="Q112" s="9"/>
      <c r="R112" s="197"/>
      <c r="S112" s="9"/>
      <c r="T112" s="197"/>
      <c r="U112" s="9"/>
      <c r="V112" s="9"/>
      <c r="W112" s="9"/>
      <c r="X112" s="9"/>
      <c r="Y112" s="10"/>
    </row>
    <row r="113" spans="1:25" ht="18" x14ac:dyDescent="0.25">
      <c r="A113" s="6" t="s">
        <v>634</v>
      </c>
      <c r="B113" s="6"/>
      <c r="C113" s="6"/>
      <c r="D113" s="6"/>
      <c r="E113" s="6"/>
      <c r="F113" s="6"/>
      <c r="G113" s="6"/>
      <c r="H113" s="6"/>
      <c r="I113" s="6"/>
      <c r="J113" s="6"/>
      <c r="K113" s="6"/>
      <c r="N113" s="9"/>
      <c r="O113" s="9" t="s">
        <v>141</v>
      </c>
      <c r="P113" s="233">
        <v>1.27E-4</v>
      </c>
      <c r="Q113" s="9" t="s">
        <v>442</v>
      </c>
      <c r="R113" s="248">
        <v>1.35E-4</v>
      </c>
      <c r="S113" s="9" t="s">
        <v>442</v>
      </c>
      <c r="T113" s="247">
        <f>-3*10^-5*LN(T109)+0.0005</f>
        <v>1.4825361676181305E-4</v>
      </c>
      <c r="U113" s="9" t="s">
        <v>442</v>
      </c>
      <c r="V113" s="9"/>
      <c r="W113" s="9"/>
      <c r="X113" s="9"/>
      <c r="Y113" s="10"/>
    </row>
    <row r="114" spans="1:25" ht="15" x14ac:dyDescent="0.25">
      <c r="A114" s="6"/>
      <c r="B114" s="6"/>
      <c r="C114" s="6"/>
      <c r="D114" s="6"/>
      <c r="E114" s="196"/>
      <c r="F114" s="6"/>
      <c r="G114" s="196"/>
      <c r="H114" s="6"/>
      <c r="I114" s="6"/>
      <c r="J114" s="6"/>
      <c r="K114" s="6"/>
      <c r="N114" s="9"/>
      <c r="O114" s="9"/>
      <c r="P114" s="9"/>
      <c r="Q114" s="9"/>
      <c r="R114" s="197"/>
      <c r="S114" s="9"/>
      <c r="T114" s="197"/>
      <c r="U114" s="9"/>
      <c r="V114" s="9"/>
      <c r="W114" s="9"/>
      <c r="X114" s="9"/>
      <c r="Y114" s="10"/>
    </row>
    <row r="115" spans="1:25" ht="15" x14ac:dyDescent="0.25">
      <c r="A115" s="6"/>
      <c r="B115" s="6" t="s">
        <v>182</v>
      </c>
      <c r="C115" s="111">
        <f>(C107*(C91^2)*C44)/(5.22*(10^10)*C99*C111)</f>
        <v>2.7725871184015674</v>
      </c>
      <c r="D115" s="111" t="s">
        <v>309</v>
      </c>
      <c r="E115" s="207">
        <f>(E107*(E91^2)*E44)/(5.22*(10^10)*E99*E111)</f>
        <v>1.2433661474623174</v>
      </c>
      <c r="F115" s="6" t="s">
        <v>309</v>
      </c>
      <c r="G115" s="207">
        <f>(G107*(G91^2)*G44)/(5.22*(10^10)*G99*G111)</f>
        <v>0.79018144856177264</v>
      </c>
      <c r="H115" s="6" t="s">
        <v>309</v>
      </c>
      <c r="I115" s="6"/>
      <c r="J115" s="6"/>
      <c r="K115" s="6"/>
      <c r="N115" s="9" t="s">
        <v>632</v>
      </c>
      <c r="O115" s="9"/>
      <c r="P115" s="9"/>
      <c r="Q115" s="9"/>
      <c r="R115" s="9"/>
      <c r="S115" s="9"/>
      <c r="T115" s="9"/>
      <c r="U115" s="9"/>
      <c r="V115" s="9"/>
      <c r="W115" s="9"/>
      <c r="X115" s="9"/>
      <c r="Y115" s="10"/>
    </row>
    <row r="116" spans="1:25" ht="15" x14ac:dyDescent="0.25">
      <c r="A116" s="6"/>
      <c r="B116" s="6"/>
      <c r="C116" s="6"/>
      <c r="D116" s="6"/>
      <c r="E116" s="196"/>
      <c r="F116" s="6"/>
      <c r="G116" s="196"/>
      <c r="H116" s="6"/>
      <c r="I116" s="6"/>
      <c r="J116" s="6"/>
      <c r="K116" s="6"/>
      <c r="N116" s="9"/>
      <c r="O116" s="9"/>
      <c r="P116" s="9"/>
      <c r="Q116" s="9"/>
      <c r="R116" s="9"/>
      <c r="S116" s="9"/>
      <c r="T116" s="9"/>
      <c r="U116" s="9"/>
      <c r="V116" s="9"/>
      <c r="W116" s="9"/>
      <c r="X116" s="9"/>
      <c r="Y116" s="10"/>
    </row>
    <row r="117" spans="1:25" ht="16.5" x14ac:dyDescent="0.3">
      <c r="A117" s="6" t="s">
        <v>316</v>
      </c>
      <c r="B117" s="6"/>
      <c r="C117" s="6"/>
      <c r="D117" s="6"/>
      <c r="E117" s="6"/>
      <c r="F117" s="6"/>
      <c r="G117" s="6"/>
      <c r="H117" s="6"/>
      <c r="I117" s="6"/>
      <c r="J117" s="6"/>
      <c r="K117" s="6"/>
      <c r="N117" s="83" t="s">
        <v>635</v>
      </c>
      <c r="O117" s="22">
        <f>P13</f>
        <v>0.43</v>
      </c>
      <c r="P117" s="22" t="s">
        <v>636</v>
      </c>
      <c r="Q117" s="112">
        <f>1/P53/62.4</f>
        <v>3.6378205128205131E-2</v>
      </c>
      <c r="R117" s="9" t="s">
        <v>607</v>
      </c>
      <c r="S117" s="9"/>
      <c r="T117" s="9"/>
      <c r="U117" s="9"/>
      <c r="V117" s="9"/>
      <c r="W117" s="9"/>
      <c r="X117" s="9"/>
      <c r="Y117" s="10"/>
    </row>
    <row r="118" spans="1:25" ht="15" x14ac:dyDescent="0.25">
      <c r="A118" s="6"/>
      <c r="B118" s="6"/>
      <c r="C118" s="6"/>
      <c r="D118" s="6"/>
      <c r="E118" s="196"/>
      <c r="F118" s="6"/>
      <c r="G118" s="196"/>
      <c r="H118" s="6"/>
      <c r="I118" s="6"/>
      <c r="J118" s="6"/>
      <c r="K118" s="6"/>
      <c r="N118" s="9"/>
      <c r="O118" s="9"/>
      <c r="P118" s="9"/>
      <c r="Q118" s="9"/>
      <c r="R118" s="197"/>
      <c r="S118" s="9"/>
      <c r="T118" s="197"/>
      <c r="U118" s="9"/>
      <c r="V118" s="9"/>
      <c r="W118" s="9"/>
      <c r="X118" s="9"/>
      <c r="Y118" s="10"/>
    </row>
    <row r="119" spans="1:25" ht="16.5" x14ac:dyDescent="0.3">
      <c r="A119" s="6"/>
      <c r="B119" s="6" t="s">
        <v>317</v>
      </c>
      <c r="C119" s="111">
        <f>C115+C82</f>
        <v>4.3576706762371566</v>
      </c>
      <c r="D119" s="111" t="s">
        <v>309</v>
      </c>
      <c r="E119" s="207">
        <f>E115+E82</f>
        <v>2.4321788158390092</v>
      </c>
      <c r="F119" s="6" t="s">
        <v>309</v>
      </c>
      <c r="G119" s="207">
        <f>G115+G82</f>
        <v>1.7808586722090161</v>
      </c>
      <c r="H119" s="6" t="s">
        <v>309</v>
      </c>
      <c r="I119" s="6"/>
      <c r="J119" s="6"/>
      <c r="K119" s="6"/>
      <c r="N119" s="9"/>
      <c r="O119" s="9" t="s">
        <v>443</v>
      </c>
      <c r="P119" s="107">
        <f>($P$13+(1/P53)/62.4)/2</f>
        <v>0.23318910256410255</v>
      </c>
      <c r="Q119" s="107"/>
      <c r="R119" s="211">
        <f>($P$13+(1/R53)/62.4)/2</f>
        <v>0.23318910256410255</v>
      </c>
      <c r="S119" s="9"/>
      <c r="T119" s="211">
        <f>($P$13+(1/T53)/62.4)/2</f>
        <v>0.23318910256410255</v>
      </c>
      <c r="U119" s="9"/>
      <c r="V119" s="9"/>
      <c r="W119" s="9"/>
      <c r="X119" s="9"/>
      <c r="Y119" s="10"/>
    </row>
    <row r="120" spans="1:25" ht="15" x14ac:dyDescent="0.25">
      <c r="A120" s="6"/>
      <c r="B120" s="6"/>
      <c r="C120" s="6"/>
      <c r="D120" s="6"/>
      <c r="E120" s="196"/>
      <c r="F120" s="6"/>
      <c r="G120" s="196"/>
      <c r="H120" s="6"/>
      <c r="I120" s="6"/>
      <c r="J120" s="6"/>
      <c r="K120" s="6"/>
      <c r="N120" s="9"/>
      <c r="O120" s="9"/>
      <c r="P120" s="9"/>
      <c r="Q120" s="9"/>
      <c r="R120" s="197"/>
      <c r="S120" s="9"/>
      <c r="T120" s="197"/>
      <c r="U120" s="9"/>
      <c r="V120" s="9"/>
      <c r="W120" s="9"/>
      <c r="X120" s="9"/>
      <c r="Y120" s="10"/>
    </row>
    <row r="121" spans="1:25" ht="15" x14ac:dyDescent="0.25">
      <c r="A121" s="6" t="s">
        <v>318</v>
      </c>
      <c r="B121" s="6"/>
      <c r="C121" s="6"/>
      <c r="D121" s="6"/>
      <c r="E121" s="6"/>
      <c r="F121" s="6"/>
      <c r="G121" s="6"/>
      <c r="H121" s="6"/>
      <c r="I121" s="6"/>
      <c r="J121" s="6"/>
      <c r="K121" s="6"/>
      <c r="N121" s="9" t="s">
        <v>634</v>
      </c>
      <c r="O121" s="9"/>
      <c r="P121" s="9"/>
      <c r="Q121" s="9"/>
      <c r="R121" s="9"/>
      <c r="S121" s="9"/>
      <c r="T121" s="9"/>
      <c r="U121" s="9"/>
      <c r="V121" s="9"/>
      <c r="W121" s="9"/>
      <c r="X121" s="9"/>
      <c r="Y121" s="10"/>
    </row>
    <row r="122" spans="1:25" ht="15" x14ac:dyDescent="0.25">
      <c r="A122" s="6"/>
      <c r="B122" s="6"/>
      <c r="C122" s="6"/>
      <c r="D122" s="6"/>
      <c r="E122" s="196"/>
      <c r="F122" s="6"/>
      <c r="G122" s="196"/>
      <c r="H122" s="6"/>
      <c r="I122" s="6"/>
      <c r="J122" s="6"/>
      <c r="K122" s="6"/>
      <c r="N122" s="9"/>
      <c r="O122" s="9"/>
      <c r="P122" s="9"/>
      <c r="Q122" s="9"/>
      <c r="R122" s="197"/>
      <c r="S122" s="9"/>
      <c r="T122" s="197"/>
      <c r="U122" s="9"/>
      <c r="V122" s="9"/>
      <c r="W122" s="9"/>
      <c r="X122" s="9"/>
      <c r="Y122" s="10"/>
    </row>
    <row r="123" spans="1:25" ht="15" x14ac:dyDescent="0.25">
      <c r="A123" s="6"/>
      <c r="B123" s="6"/>
      <c r="C123" s="111">
        <f>C44*$C$13*62.4/144</f>
        <v>2.9813333333333336</v>
      </c>
      <c r="D123" s="111" t="s">
        <v>309</v>
      </c>
      <c r="E123" s="207">
        <f>E44*$C$13*62.4/144</f>
        <v>2.2359999999999998</v>
      </c>
      <c r="F123" s="6" t="s">
        <v>309</v>
      </c>
      <c r="G123" s="207">
        <f>G44*$C$13*62.4/144</f>
        <v>1.8633333333333333</v>
      </c>
      <c r="H123" s="6" t="s">
        <v>309</v>
      </c>
      <c r="I123" s="6"/>
      <c r="J123" s="6"/>
      <c r="K123" s="6"/>
      <c r="N123" s="9"/>
      <c r="O123" s="9" t="s">
        <v>182</v>
      </c>
      <c r="P123" s="84">
        <f>(P113*(P95^2)*P44)/(5.22*(10^10)*P103*P119)</f>
        <v>2.7725871184015674</v>
      </c>
      <c r="Q123" s="84" t="s">
        <v>309</v>
      </c>
      <c r="R123" s="208">
        <f>(R113*(R95^2)*R44)/(5.22*(10^10)*R103*R119)</f>
        <v>1.2433661474623174</v>
      </c>
      <c r="S123" s="9" t="s">
        <v>309</v>
      </c>
      <c r="T123" s="208">
        <f>(T113*(T95^2)*T44)/(5.22*(10^10)*T103*T119)</f>
        <v>0.79018144856177264</v>
      </c>
      <c r="U123" s="9" t="s">
        <v>309</v>
      </c>
      <c r="V123" s="9"/>
      <c r="W123" s="9"/>
      <c r="X123" s="9"/>
      <c r="Y123" s="10"/>
    </row>
    <row r="124" spans="1:25" ht="15" x14ac:dyDescent="0.25">
      <c r="A124" s="6"/>
      <c r="B124" s="6"/>
      <c r="C124" s="111"/>
      <c r="D124" s="111"/>
      <c r="E124" s="207"/>
      <c r="F124" s="6"/>
      <c r="G124" s="207"/>
      <c r="H124" s="6"/>
      <c r="I124" s="6"/>
      <c r="J124" s="6"/>
      <c r="K124" s="6"/>
      <c r="N124" s="9"/>
      <c r="O124" s="9"/>
      <c r="P124" s="9"/>
      <c r="Q124" s="9"/>
      <c r="R124" s="197"/>
      <c r="S124" s="9"/>
      <c r="T124" s="197"/>
      <c r="U124" s="9"/>
      <c r="V124" s="9"/>
      <c r="W124" s="9"/>
      <c r="X124" s="9"/>
      <c r="Y124" s="10"/>
    </row>
    <row r="125" spans="1:25" ht="15" x14ac:dyDescent="0.25">
      <c r="A125" s="6" t="s">
        <v>319</v>
      </c>
      <c r="B125" s="6"/>
      <c r="C125" s="6"/>
      <c r="D125" s="6"/>
      <c r="E125" s="6"/>
      <c r="F125" s="6"/>
      <c r="G125" s="6"/>
      <c r="H125" s="6"/>
      <c r="I125" s="6"/>
      <c r="J125" s="6"/>
      <c r="K125" s="6"/>
      <c r="N125" s="9" t="s">
        <v>316</v>
      </c>
      <c r="O125" s="9"/>
      <c r="P125" s="9"/>
      <c r="Q125" s="9"/>
      <c r="R125" s="9"/>
      <c r="S125" s="9"/>
      <c r="T125" s="9"/>
      <c r="U125" s="9"/>
      <c r="V125" s="9"/>
      <c r="W125" s="9"/>
      <c r="X125" s="9"/>
      <c r="Y125" s="10"/>
    </row>
    <row r="126" spans="1:25" ht="15" x14ac:dyDescent="0.25">
      <c r="A126" s="6"/>
      <c r="B126" s="6"/>
      <c r="C126" s="6"/>
      <c r="D126" s="6"/>
      <c r="E126" s="196"/>
      <c r="F126" s="6"/>
      <c r="G126" s="196"/>
      <c r="H126" s="6"/>
      <c r="I126" s="6"/>
      <c r="J126" s="6"/>
      <c r="K126" s="6"/>
      <c r="N126" s="9"/>
      <c r="O126" s="9"/>
      <c r="P126" s="9"/>
      <c r="Q126" s="9"/>
      <c r="R126" s="9"/>
      <c r="S126" s="9"/>
      <c r="T126" s="9"/>
      <c r="U126" s="9"/>
      <c r="V126" s="9"/>
      <c r="W126" s="9"/>
      <c r="X126" s="9"/>
      <c r="Y126" s="10"/>
    </row>
    <row r="127" spans="1:25" ht="15" x14ac:dyDescent="0.25">
      <c r="A127" s="6"/>
      <c r="B127" s="6"/>
      <c r="C127" s="111">
        <f>C123-C119</f>
        <v>-1.376337342903823</v>
      </c>
      <c r="D127" s="111" t="s">
        <v>309</v>
      </c>
      <c r="E127" s="207">
        <f>E123-E119</f>
        <v>-0.19617881583900942</v>
      </c>
      <c r="F127" s="6" t="s">
        <v>309</v>
      </c>
      <c r="G127" s="207">
        <f>G123-G119</f>
        <v>8.2474661124317228E-2</v>
      </c>
      <c r="H127" s="6" t="s">
        <v>309</v>
      </c>
      <c r="I127" s="6"/>
      <c r="J127" s="6"/>
      <c r="K127" s="6"/>
      <c r="N127" s="9" t="s">
        <v>637</v>
      </c>
      <c r="O127" s="178">
        <f>P123</f>
        <v>2.7725871184015674</v>
      </c>
      <c r="P127" s="22" t="s">
        <v>582</v>
      </c>
      <c r="Q127" s="178">
        <f>P82</f>
        <v>1.5850835578355891</v>
      </c>
      <c r="R127" s="197"/>
      <c r="S127" s="9"/>
      <c r="T127" s="197"/>
      <c r="U127" s="9"/>
      <c r="V127" s="9"/>
      <c r="W127" s="9"/>
      <c r="X127" s="9"/>
      <c r="Y127" s="10"/>
    </row>
    <row r="128" spans="1:25" ht="15" customHeight="1" x14ac:dyDescent="0.25">
      <c r="A128" s="11" t="s">
        <v>320</v>
      </c>
      <c r="B128" s="11"/>
      <c r="C128" s="11"/>
      <c r="D128" s="11"/>
      <c r="E128" s="11"/>
      <c r="F128" s="11"/>
      <c r="G128" s="11"/>
      <c r="H128" s="11"/>
      <c r="I128" s="11"/>
      <c r="J128" s="11"/>
      <c r="K128" s="11"/>
      <c r="N128" s="9"/>
      <c r="O128" s="9"/>
      <c r="P128" s="9"/>
      <c r="Q128" s="9"/>
      <c r="R128" s="197"/>
      <c r="S128" s="9"/>
      <c r="T128" s="197"/>
      <c r="U128" s="9"/>
      <c r="V128" s="9"/>
      <c r="W128" s="9"/>
      <c r="X128" s="9"/>
      <c r="Y128" s="10"/>
    </row>
    <row r="129" spans="1:25" ht="15" x14ac:dyDescent="0.25">
      <c r="A129" s="11"/>
      <c r="B129" s="11"/>
      <c r="C129" s="11"/>
      <c r="D129" s="11"/>
      <c r="E129" s="11"/>
      <c r="F129" s="11"/>
      <c r="G129" s="11"/>
      <c r="H129" s="11"/>
      <c r="I129" s="11"/>
      <c r="J129" s="11"/>
      <c r="K129" s="11"/>
      <c r="N129" s="9"/>
      <c r="O129" s="9" t="s">
        <v>317</v>
      </c>
      <c r="P129" s="84">
        <f>P123+P82</f>
        <v>4.3576706762371566</v>
      </c>
      <c r="Q129" s="84" t="s">
        <v>309</v>
      </c>
      <c r="R129" s="208">
        <f>R123+R82</f>
        <v>2.4321788158390092</v>
      </c>
      <c r="S129" s="9" t="s">
        <v>309</v>
      </c>
      <c r="T129" s="208">
        <f>T123+T82</f>
        <v>1.7808586722090161</v>
      </c>
      <c r="U129" s="9" t="s">
        <v>309</v>
      </c>
      <c r="V129" s="9"/>
      <c r="W129" s="9"/>
      <c r="X129" s="9"/>
      <c r="Y129" s="10"/>
    </row>
    <row r="130" spans="1:25" ht="15" x14ac:dyDescent="0.25">
      <c r="A130" s="11"/>
      <c r="B130" s="11"/>
      <c r="C130" s="11"/>
      <c r="D130" s="11"/>
      <c r="E130" s="11"/>
      <c r="F130" s="11"/>
      <c r="G130" s="11"/>
      <c r="H130" s="11"/>
      <c r="I130" s="11"/>
      <c r="J130" s="11"/>
      <c r="K130" s="11"/>
      <c r="N130" s="9"/>
      <c r="O130" s="9"/>
      <c r="P130" s="9"/>
      <c r="Q130" s="9"/>
      <c r="R130" s="197"/>
      <c r="S130" s="9"/>
      <c r="T130" s="197"/>
      <c r="U130" s="9"/>
      <c r="V130" s="9"/>
      <c r="W130" s="9"/>
      <c r="X130" s="9"/>
      <c r="Y130" s="10"/>
    </row>
    <row r="131" spans="1:25" ht="15" x14ac:dyDescent="0.25">
      <c r="A131" s="11"/>
      <c r="B131" s="11"/>
      <c r="C131" s="11"/>
      <c r="D131" s="11"/>
      <c r="E131" s="11"/>
      <c r="F131" s="11"/>
      <c r="G131" s="11"/>
      <c r="H131" s="11"/>
      <c r="I131" s="11"/>
      <c r="J131" s="11"/>
      <c r="K131" s="11"/>
      <c r="N131" s="9" t="s">
        <v>318</v>
      </c>
      <c r="O131" s="9"/>
      <c r="P131" s="9"/>
      <c r="Q131" s="9"/>
      <c r="R131" s="9"/>
      <c r="S131" s="9"/>
      <c r="T131" s="9"/>
      <c r="U131" s="9"/>
      <c r="V131" s="9"/>
      <c r="W131" s="9"/>
      <c r="X131" s="9"/>
      <c r="Y131" s="10"/>
    </row>
    <row r="132" spans="1:25" ht="15" x14ac:dyDescent="0.25">
      <c r="A132" s="11"/>
      <c r="B132" s="11"/>
      <c r="C132" s="11"/>
      <c r="D132" s="11"/>
      <c r="E132" s="11"/>
      <c r="F132" s="11"/>
      <c r="G132" s="11"/>
      <c r="H132" s="11"/>
      <c r="I132" s="11"/>
      <c r="J132" s="11"/>
      <c r="K132" s="11"/>
      <c r="N132" s="9"/>
      <c r="O132" s="9"/>
      <c r="P132" s="153"/>
      <c r="Q132" s="153"/>
      <c r="R132" s="153"/>
      <c r="S132" s="153"/>
      <c r="T132" s="153"/>
      <c r="U132" s="9"/>
      <c r="V132" s="9"/>
      <c r="W132" s="9"/>
      <c r="X132" s="9"/>
      <c r="Y132" s="10"/>
    </row>
    <row r="133" spans="1:25" ht="15" x14ac:dyDescent="0.25">
      <c r="A133" s="11"/>
      <c r="B133" s="11"/>
      <c r="C133" s="11"/>
      <c r="D133" s="11"/>
      <c r="E133" s="11"/>
      <c r="F133" s="11"/>
      <c r="G133" s="11"/>
      <c r="H133" s="11"/>
      <c r="I133" s="11"/>
      <c r="J133" s="11"/>
      <c r="K133" s="11"/>
      <c r="N133" s="83" t="s">
        <v>587</v>
      </c>
      <c r="O133" s="22">
        <f>P44</f>
        <v>16</v>
      </c>
      <c r="P133" s="22" t="s">
        <v>573</v>
      </c>
      <c r="Q133" s="137">
        <f>P13</f>
        <v>0.43</v>
      </c>
      <c r="R133" s="153" t="s">
        <v>638</v>
      </c>
      <c r="S133" s="153"/>
      <c r="T133" s="153"/>
      <c r="U133" s="9"/>
      <c r="V133" s="9"/>
      <c r="W133" s="9"/>
      <c r="X133" s="9"/>
      <c r="Y133" s="10"/>
    </row>
    <row r="134" spans="1:25" ht="15" x14ac:dyDescent="0.25">
      <c r="A134" s="213"/>
      <c r="B134" s="213"/>
      <c r="C134" s="213"/>
      <c r="D134" s="213"/>
      <c r="E134" s="213"/>
      <c r="F134" s="213"/>
      <c r="G134" s="213"/>
      <c r="H134" s="213"/>
      <c r="I134" s="213"/>
      <c r="J134" s="213"/>
      <c r="K134" s="213"/>
      <c r="N134" s="9"/>
      <c r="O134" s="9"/>
      <c r="P134" s="9"/>
      <c r="Q134" s="9"/>
      <c r="R134" s="197"/>
      <c r="S134" s="9"/>
      <c r="T134" s="197"/>
      <c r="U134" s="9"/>
      <c r="V134" s="9"/>
      <c r="W134" s="9"/>
      <c r="X134" s="9"/>
      <c r="Y134" s="10"/>
    </row>
    <row r="135" spans="1:25" ht="15" x14ac:dyDescent="0.25">
      <c r="A135" s="214"/>
      <c r="B135" s="214"/>
      <c r="C135" s="214"/>
      <c r="D135" s="214"/>
      <c r="E135" s="214"/>
      <c r="F135" s="214"/>
      <c r="G135" s="214"/>
      <c r="H135" s="214"/>
      <c r="I135" s="214"/>
      <c r="J135" s="214"/>
      <c r="K135" s="214"/>
      <c r="N135" s="9"/>
      <c r="O135" s="9"/>
      <c r="P135" s="84">
        <f>P44*$P$13*62.4/144</f>
        <v>2.9813333333333336</v>
      </c>
      <c r="Q135" s="84" t="s">
        <v>309</v>
      </c>
      <c r="R135" s="208">
        <f>R44*$P$13*62.4/144</f>
        <v>2.2359999999999998</v>
      </c>
      <c r="S135" s="9" t="s">
        <v>309</v>
      </c>
      <c r="T135" s="208">
        <f>T44*$P$13*62.4/144</f>
        <v>1.8633333333333333</v>
      </c>
      <c r="U135" s="9" t="s">
        <v>309</v>
      </c>
      <c r="V135" s="9" t="s">
        <v>684</v>
      </c>
      <c r="W135" s="9"/>
      <c r="X135" s="9"/>
      <c r="Y135" s="10"/>
    </row>
    <row r="136" spans="1:25" ht="15" x14ac:dyDescent="0.25">
      <c r="A136" s="214"/>
      <c r="B136" s="214"/>
      <c r="C136" s="214"/>
      <c r="D136" s="214"/>
      <c r="E136" s="214"/>
      <c r="F136" s="214"/>
      <c r="G136" s="214"/>
      <c r="H136" s="214"/>
      <c r="I136" s="214"/>
      <c r="J136" s="214"/>
      <c r="K136" s="214"/>
      <c r="N136" s="9"/>
      <c r="O136" s="9"/>
      <c r="P136" s="9"/>
      <c r="Q136" s="9"/>
      <c r="R136" s="197"/>
      <c r="S136" s="9"/>
      <c r="T136" s="197"/>
      <c r="U136" s="9"/>
      <c r="V136" s="9"/>
      <c r="W136" s="9"/>
      <c r="X136" s="9"/>
      <c r="Y136" s="10"/>
    </row>
    <row r="137" spans="1:25" ht="15" x14ac:dyDescent="0.25">
      <c r="A137" s="214"/>
      <c r="B137" s="214"/>
      <c r="C137" s="214"/>
      <c r="D137" s="214"/>
      <c r="E137" s="214"/>
      <c r="F137" s="214"/>
      <c r="G137" s="214"/>
      <c r="H137" s="214"/>
      <c r="I137" s="214"/>
      <c r="J137" s="214"/>
      <c r="K137" s="214"/>
      <c r="N137" s="9" t="s">
        <v>319</v>
      </c>
      <c r="O137" s="9"/>
      <c r="P137" s="9"/>
      <c r="Q137" s="9"/>
      <c r="R137" s="9"/>
      <c r="S137" s="9"/>
      <c r="T137" s="9"/>
      <c r="U137" s="9"/>
      <c r="V137" s="9"/>
      <c r="W137" s="9"/>
      <c r="X137" s="9"/>
      <c r="Y137" s="10"/>
    </row>
    <row r="138" spans="1:25" ht="15" x14ac:dyDescent="0.25">
      <c r="A138" s="214"/>
      <c r="B138" s="214"/>
      <c r="C138" s="214"/>
      <c r="D138" s="214"/>
      <c r="E138" s="214"/>
      <c r="F138" s="214"/>
      <c r="G138" s="214"/>
      <c r="H138" s="214"/>
      <c r="I138" s="214"/>
      <c r="J138" s="214"/>
      <c r="K138" s="214"/>
      <c r="N138" s="9"/>
      <c r="O138" s="9"/>
      <c r="P138" s="9"/>
      <c r="Q138" s="9"/>
      <c r="R138" s="9"/>
      <c r="S138" s="9"/>
      <c r="T138" s="9"/>
      <c r="U138" s="9"/>
      <c r="V138" s="9"/>
      <c r="W138" s="9"/>
      <c r="X138" s="9"/>
      <c r="Y138" s="10"/>
    </row>
    <row r="139" spans="1:25" ht="15" x14ac:dyDescent="0.25">
      <c r="A139" s="214"/>
      <c r="B139" s="214"/>
      <c r="C139" s="214"/>
      <c r="D139" s="214"/>
      <c r="E139" s="214"/>
      <c r="F139" s="214"/>
      <c r="G139" s="214"/>
      <c r="H139" s="214"/>
      <c r="I139" s="214"/>
      <c r="J139" s="214"/>
      <c r="K139" s="214"/>
      <c r="N139" s="9" t="s">
        <v>640</v>
      </c>
      <c r="O139" s="178">
        <f>P135</f>
        <v>2.9813333333333336</v>
      </c>
      <c r="P139" s="22" t="s">
        <v>127</v>
      </c>
      <c r="Q139" s="178">
        <f>P129</f>
        <v>4.3576706762371566</v>
      </c>
      <c r="R139" s="9"/>
      <c r="S139" s="9"/>
      <c r="T139" s="9"/>
      <c r="U139" s="9"/>
      <c r="V139" s="9"/>
      <c r="W139" s="9"/>
      <c r="X139" s="9"/>
      <c r="Y139" s="10"/>
    </row>
    <row r="140" spans="1:25" ht="15" x14ac:dyDescent="0.25">
      <c r="A140" s="214"/>
      <c r="B140" s="214"/>
      <c r="C140" s="214"/>
      <c r="D140" s="214"/>
      <c r="E140" s="214"/>
      <c r="F140" s="214"/>
      <c r="G140" s="214"/>
      <c r="H140" s="214"/>
      <c r="I140" s="214"/>
      <c r="J140" s="214"/>
      <c r="K140" s="214"/>
      <c r="N140" s="9"/>
      <c r="O140" s="9"/>
      <c r="P140" s="9"/>
      <c r="Q140" s="9"/>
      <c r="R140" s="197"/>
      <c r="S140" s="9"/>
      <c r="T140" s="197"/>
      <c r="U140" s="9"/>
      <c r="V140" s="9"/>
      <c r="W140" s="9"/>
      <c r="X140" s="9"/>
      <c r="Y140" s="10"/>
    </row>
    <row r="141" spans="1:25" ht="15" x14ac:dyDescent="0.25">
      <c r="A141" s="214"/>
      <c r="B141" s="214"/>
      <c r="C141" s="214"/>
      <c r="D141" s="214"/>
      <c r="E141" s="214"/>
      <c r="F141" s="214"/>
      <c r="G141" s="214"/>
      <c r="H141" s="214"/>
      <c r="I141" s="214"/>
      <c r="J141" s="214"/>
      <c r="K141" s="214"/>
      <c r="N141" s="9"/>
      <c r="O141" s="9" t="s">
        <v>639</v>
      </c>
      <c r="P141" s="84">
        <f>P135-P129</f>
        <v>-1.376337342903823</v>
      </c>
      <c r="Q141" s="84" t="s">
        <v>309</v>
      </c>
      <c r="R141" s="208">
        <f>R135-R129</f>
        <v>-0.19617881583900942</v>
      </c>
      <c r="S141" s="9" t="s">
        <v>309</v>
      </c>
      <c r="T141" s="208">
        <f>T135-T129</f>
        <v>8.2474661124317228E-2</v>
      </c>
      <c r="U141" s="9" t="s">
        <v>309</v>
      </c>
      <c r="V141" s="9" t="s">
        <v>683</v>
      </c>
      <c r="W141" s="9"/>
      <c r="X141" s="9"/>
      <c r="Y141" s="10"/>
    </row>
    <row r="142" spans="1:25" ht="15" x14ac:dyDescent="0.25">
      <c r="A142" s="214"/>
      <c r="B142" s="214"/>
      <c r="C142" s="214"/>
      <c r="D142" s="214"/>
      <c r="E142" s="214"/>
      <c r="F142" s="214"/>
      <c r="G142" s="214"/>
      <c r="H142" s="214"/>
      <c r="I142" s="214"/>
      <c r="J142" s="214"/>
      <c r="K142" s="214"/>
      <c r="N142" s="9"/>
      <c r="O142" s="9"/>
      <c r="P142" s="9"/>
      <c r="Q142" s="9"/>
      <c r="R142" s="9"/>
      <c r="S142" s="9"/>
      <c r="T142" s="9"/>
      <c r="U142" s="9"/>
      <c r="V142" s="9"/>
      <c r="W142" s="9"/>
      <c r="X142" s="9"/>
      <c r="Y142" s="10"/>
    </row>
    <row r="143" spans="1:25" ht="15" x14ac:dyDescent="0.25">
      <c r="A143" s="214"/>
      <c r="B143" s="214"/>
      <c r="C143" s="214"/>
      <c r="D143" s="214"/>
      <c r="E143" s="214"/>
      <c r="F143" s="214"/>
      <c r="G143" s="214"/>
      <c r="H143" s="214"/>
      <c r="I143" s="214"/>
      <c r="J143" s="214"/>
      <c r="K143" s="214"/>
      <c r="N143" s="215"/>
      <c r="O143" s="215"/>
      <c r="P143" s="215"/>
      <c r="Q143" s="215"/>
      <c r="R143" s="215"/>
      <c r="S143" s="215"/>
      <c r="T143" s="215"/>
      <c r="U143" s="215"/>
      <c r="V143" s="215"/>
      <c r="W143" s="215"/>
      <c r="X143" s="173"/>
    </row>
    <row r="144" spans="1:25" ht="15" x14ac:dyDescent="0.25">
      <c r="A144" s="214"/>
      <c r="B144" s="214"/>
      <c r="C144" s="214"/>
      <c r="D144" s="214"/>
      <c r="E144" s="214"/>
      <c r="F144" s="214"/>
      <c r="G144" s="214"/>
      <c r="H144" s="214"/>
      <c r="I144" s="214"/>
      <c r="J144" s="214"/>
      <c r="K144" s="77" t="s">
        <v>718</v>
      </c>
      <c r="N144" s="215"/>
      <c r="O144" s="215"/>
      <c r="P144" s="215"/>
      <c r="Q144" s="215"/>
      <c r="R144" s="215"/>
      <c r="S144" s="215"/>
      <c r="T144" s="215"/>
      <c r="U144" s="215"/>
      <c r="V144" s="215"/>
      <c r="W144" s="215"/>
      <c r="X144" s="173"/>
    </row>
    <row r="145" spans="1:24" ht="12.75" customHeight="1" x14ac:dyDescent="0.25">
      <c r="A145" s="214"/>
      <c r="B145" s="214"/>
      <c r="C145" s="214"/>
      <c r="D145" s="214"/>
      <c r="E145" s="214"/>
      <c r="F145" s="214"/>
      <c r="G145" s="214"/>
      <c r="H145" s="214"/>
      <c r="I145" s="214"/>
      <c r="J145" s="214"/>
      <c r="K145" s="77" t="s">
        <v>719</v>
      </c>
      <c r="L145" s="216"/>
      <c r="M145" s="216"/>
      <c r="N145" s="215"/>
      <c r="O145" s="215"/>
      <c r="P145" s="215"/>
      <c r="Q145" s="215"/>
      <c r="R145" s="215"/>
      <c r="S145" s="215"/>
      <c r="T145" s="215"/>
      <c r="U145" s="215"/>
      <c r="V145" s="215"/>
      <c r="W145" s="215"/>
      <c r="X145" s="215"/>
    </row>
    <row r="146" spans="1:24" ht="12.75" customHeight="1" x14ac:dyDescent="0.25">
      <c r="A146" s="214"/>
      <c r="B146" s="214"/>
      <c r="C146" s="214"/>
      <c r="D146" s="214"/>
      <c r="E146" s="214"/>
      <c r="F146" s="214"/>
      <c r="G146" s="214"/>
      <c r="H146" s="214"/>
      <c r="I146" s="214"/>
      <c r="J146" s="214"/>
      <c r="K146" s="77" t="s">
        <v>720</v>
      </c>
      <c r="L146" s="216"/>
      <c r="M146" s="216"/>
      <c r="N146" s="215"/>
      <c r="O146" s="215"/>
      <c r="P146" s="215"/>
      <c r="Q146" s="215"/>
      <c r="R146" s="215"/>
      <c r="S146" s="215"/>
      <c r="T146" s="215"/>
      <c r="U146" s="215"/>
      <c r="V146" s="215"/>
      <c r="W146" s="215"/>
      <c r="X146" s="215"/>
    </row>
    <row r="147" spans="1:24" ht="12.75" customHeight="1" x14ac:dyDescent="0.25">
      <c r="A147" s="214"/>
      <c r="B147" s="214"/>
      <c r="C147" s="214"/>
      <c r="D147" s="214"/>
      <c r="E147" s="214"/>
      <c r="F147" s="214"/>
      <c r="G147" s="214"/>
      <c r="H147" s="214"/>
      <c r="I147" s="214"/>
      <c r="J147" s="214"/>
      <c r="K147" s="77" t="s">
        <v>721</v>
      </c>
      <c r="L147" s="216"/>
      <c r="M147" s="216"/>
      <c r="N147" s="215"/>
      <c r="O147" s="215"/>
      <c r="P147" s="215"/>
      <c r="Q147" s="215"/>
      <c r="R147" s="215"/>
      <c r="S147" s="215"/>
      <c r="T147" s="215"/>
      <c r="U147" s="215"/>
      <c r="V147" s="215"/>
      <c r="W147" s="215"/>
      <c r="X147" s="215"/>
    </row>
    <row r="148" spans="1:24" ht="12.75" customHeight="1" x14ac:dyDescent="0.25">
      <c r="A148" s="214"/>
      <c r="B148" s="214"/>
      <c r="C148" s="214"/>
      <c r="D148" s="214"/>
      <c r="E148" s="214"/>
      <c r="F148" s="214"/>
      <c r="G148" s="214"/>
      <c r="H148" s="214"/>
      <c r="I148" s="214"/>
      <c r="J148" s="214"/>
      <c r="K148" s="77" t="s">
        <v>722</v>
      </c>
      <c r="L148" s="216"/>
      <c r="M148" s="216"/>
      <c r="N148" s="215"/>
      <c r="O148" s="215"/>
      <c r="P148" s="215"/>
      <c r="Q148" s="215"/>
      <c r="R148" s="215"/>
      <c r="S148" s="215"/>
      <c r="T148" s="215"/>
      <c r="U148" s="215"/>
      <c r="V148" s="215"/>
      <c r="W148" s="215"/>
      <c r="X148" s="215"/>
    </row>
    <row r="149" spans="1:24" ht="12.75" customHeight="1" x14ac:dyDescent="0.25">
      <c r="A149" s="214"/>
      <c r="B149" s="214"/>
      <c r="C149" s="214"/>
      <c r="D149" s="214"/>
      <c r="E149" s="214"/>
      <c r="F149" s="214"/>
      <c r="G149" s="214"/>
      <c r="H149" s="214"/>
      <c r="I149" s="214"/>
      <c r="J149" s="214"/>
      <c r="K149" s="214"/>
      <c r="L149" s="216"/>
      <c r="M149" s="216"/>
      <c r="X149" s="215"/>
    </row>
    <row r="150" spans="1:24" ht="30" customHeight="1" x14ac:dyDescent="0.25">
      <c r="A150" s="214"/>
      <c r="B150" s="214"/>
      <c r="C150" s="214"/>
      <c r="D150" s="214"/>
      <c r="E150" s="214"/>
      <c r="F150" s="214"/>
      <c r="G150" s="214"/>
      <c r="H150" s="214"/>
      <c r="I150" s="214"/>
      <c r="J150" s="214"/>
      <c r="K150" s="214"/>
      <c r="L150" s="216"/>
      <c r="M150" s="216"/>
      <c r="X150" s="215"/>
    </row>
    <row r="151" spans="1:24" ht="15" x14ac:dyDescent="0.25">
      <c r="A151" s="214"/>
      <c r="B151" s="214"/>
      <c r="C151" s="214"/>
      <c r="D151" s="214"/>
      <c r="E151" s="214"/>
      <c r="F151" s="214"/>
      <c r="G151" s="214"/>
      <c r="H151" s="214"/>
      <c r="I151" s="214"/>
      <c r="J151" s="214"/>
      <c r="K151" s="214"/>
      <c r="L151" s="216"/>
      <c r="M151" s="216"/>
    </row>
    <row r="152" spans="1:24" ht="15" x14ac:dyDescent="0.25">
      <c r="A152" s="214"/>
      <c r="B152" s="214"/>
      <c r="C152" s="214"/>
      <c r="D152" s="214"/>
      <c r="E152" s="214"/>
      <c r="F152" s="214"/>
      <c r="G152" s="214"/>
      <c r="H152" s="214"/>
      <c r="I152" s="214"/>
      <c r="J152" s="214"/>
      <c r="K152" s="214"/>
    </row>
    <row r="153" spans="1:24" ht="15" x14ac:dyDescent="0.25">
      <c r="A153" s="214"/>
      <c r="B153" s="214"/>
      <c r="C153" s="214"/>
      <c r="D153" s="214"/>
      <c r="E153" s="214"/>
      <c r="F153" s="214"/>
      <c r="G153" s="214"/>
      <c r="H153" s="214"/>
      <c r="I153" s="214"/>
      <c r="J153" s="214"/>
      <c r="K153" s="214"/>
    </row>
    <row r="154" spans="1:24" ht="15" x14ac:dyDescent="0.25">
      <c r="A154" s="214"/>
      <c r="B154" s="214"/>
      <c r="C154" s="214"/>
      <c r="D154" s="214"/>
      <c r="E154" s="214"/>
      <c r="F154" s="214"/>
      <c r="G154" s="214"/>
      <c r="H154" s="214"/>
      <c r="I154" s="214"/>
      <c r="J154" s="214"/>
      <c r="K154" s="214"/>
    </row>
    <row r="155" spans="1:24" ht="15" x14ac:dyDescent="0.25">
      <c r="A155" s="214"/>
      <c r="B155" s="214"/>
      <c r="C155" s="214"/>
      <c r="D155" s="214"/>
      <c r="E155" s="214"/>
      <c r="F155" s="214"/>
      <c r="G155" s="214"/>
      <c r="H155" s="214"/>
      <c r="I155" s="214"/>
      <c r="J155" s="214"/>
      <c r="K155" s="214"/>
    </row>
    <row r="156" spans="1:24" ht="15" x14ac:dyDescent="0.25">
      <c r="A156" s="214"/>
      <c r="B156" s="214"/>
      <c r="C156" s="214"/>
      <c r="D156" s="214"/>
      <c r="E156" s="214"/>
      <c r="F156" s="214"/>
      <c r="G156" s="214"/>
      <c r="H156" s="214"/>
      <c r="I156" s="214"/>
      <c r="J156" s="214"/>
      <c r="K156" s="214"/>
    </row>
    <row r="157" spans="1:24" ht="15" x14ac:dyDescent="0.25">
      <c r="A157" s="214"/>
      <c r="B157" s="214"/>
      <c r="C157" s="214"/>
      <c r="D157" s="214"/>
      <c r="E157" s="214"/>
      <c r="F157" s="214"/>
      <c r="G157" s="214"/>
      <c r="H157" s="214"/>
      <c r="I157" s="214"/>
      <c r="J157" s="214"/>
      <c r="K157" s="214"/>
    </row>
    <row r="158" spans="1:24" ht="15" x14ac:dyDescent="0.25">
      <c r="A158" s="214"/>
      <c r="B158" s="214"/>
      <c r="C158" s="214"/>
      <c r="D158" s="214"/>
      <c r="E158" s="214"/>
      <c r="F158" s="214"/>
      <c r="G158" s="214"/>
      <c r="H158" s="214"/>
      <c r="I158" s="214"/>
      <c r="J158" s="214"/>
      <c r="K158" s="214"/>
    </row>
    <row r="159" spans="1:24" ht="15" x14ac:dyDescent="0.25">
      <c r="A159" s="214"/>
      <c r="B159" s="214"/>
      <c r="C159" s="214"/>
      <c r="D159" s="214"/>
      <c r="E159" s="214"/>
      <c r="F159" s="214"/>
      <c r="G159" s="214"/>
      <c r="H159" s="214"/>
      <c r="I159" s="214"/>
      <c r="J159" s="214"/>
      <c r="K159" s="214"/>
    </row>
  </sheetData>
  <sheetProtection password="F030" sheet="1" objects="1" scenarios="1"/>
  <mergeCells count="11">
    <mergeCell ref="N2:X2"/>
    <mergeCell ref="N3:W3"/>
    <mergeCell ref="O5:P5"/>
    <mergeCell ref="A2:K5"/>
    <mergeCell ref="A128:K133"/>
    <mergeCell ref="A40:I41"/>
    <mergeCell ref="A84:J85"/>
    <mergeCell ref="C43:H43"/>
    <mergeCell ref="N40:V41"/>
    <mergeCell ref="P43:U43"/>
    <mergeCell ref="N84:W85"/>
  </mergeCells>
  <phoneticPr fontId="3"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7"/>
  <sheetViews>
    <sheetView topLeftCell="G42" zoomScale="80" zoomScaleNormal="80" workbookViewId="0">
      <selection activeCell="Q55" sqref="Q55"/>
    </sheetView>
  </sheetViews>
  <sheetFormatPr defaultRowHeight="12.75" x14ac:dyDescent="0.2"/>
  <cols>
    <col min="1" max="1" width="9.140625" style="7"/>
    <col min="2" max="2" width="11.42578125" style="7" bestFit="1" customWidth="1"/>
    <col min="3" max="16" width="9.140625" style="7"/>
    <col min="17" max="17" width="11" style="7" customWidth="1"/>
    <col min="18" max="16384" width="9.140625" style="7"/>
  </cols>
  <sheetData>
    <row r="1" spans="1:29" ht="15" x14ac:dyDescent="0.25">
      <c r="A1" s="5" t="s">
        <v>511</v>
      </c>
      <c r="B1" s="6"/>
      <c r="C1" s="6"/>
      <c r="D1" s="6"/>
      <c r="E1" s="6"/>
      <c r="F1" s="6"/>
      <c r="G1" s="6"/>
      <c r="H1" s="6"/>
      <c r="I1" s="6"/>
      <c r="J1" s="6"/>
      <c r="K1" s="6"/>
      <c r="L1" s="6"/>
      <c r="M1" s="6"/>
      <c r="P1" s="8" t="s">
        <v>655</v>
      </c>
      <c r="Q1" s="9"/>
      <c r="R1" s="9"/>
      <c r="S1" s="9"/>
      <c r="T1" s="9"/>
      <c r="U1" s="9"/>
      <c r="V1" s="9"/>
      <c r="W1" s="9"/>
      <c r="X1" s="9"/>
      <c r="Y1" s="9"/>
      <c r="Z1" s="9"/>
      <c r="AA1" s="9"/>
      <c r="AB1" s="9"/>
      <c r="AC1" s="10"/>
    </row>
    <row r="2" spans="1:29" ht="12.75" customHeight="1" x14ac:dyDescent="0.25">
      <c r="A2" s="11" t="s">
        <v>321</v>
      </c>
      <c r="B2" s="11"/>
      <c r="C2" s="11"/>
      <c r="D2" s="11"/>
      <c r="E2" s="11"/>
      <c r="F2" s="11"/>
      <c r="G2" s="11"/>
      <c r="H2" s="11"/>
      <c r="I2" s="11"/>
      <c r="J2" s="11"/>
      <c r="K2" s="11"/>
      <c r="L2" s="11"/>
      <c r="M2" s="11"/>
      <c r="P2" s="33" t="s">
        <v>517</v>
      </c>
      <c r="Q2" s="33"/>
      <c r="R2" s="33"/>
      <c r="S2" s="33"/>
      <c r="T2" s="33"/>
      <c r="U2" s="33"/>
      <c r="V2" s="33"/>
      <c r="W2" s="33"/>
      <c r="X2" s="33"/>
      <c r="Y2" s="33"/>
      <c r="Z2" s="33"/>
      <c r="AA2" s="12"/>
      <c r="AB2" s="12"/>
      <c r="AC2" s="10"/>
    </row>
    <row r="3" spans="1:29" ht="17.25" customHeight="1" x14ac:dyDescent="0.25">
      <c r="A3" s="11"/>
      <c r="B3" s="11"/>
      <c r="C3" s="11"/>
      <c r="D3" s="11"/>
      <c r="E3" s="11"/>
      <c r="F3" s="11"/>
      <c r="G3" s="11"/>
      <c r="H3" s="11"/>
      <c r="I3" s="11"/>
      <c r="J3" s="11"/>
      <c r="K3" s="11"/>
      <c r="L3" s="11"/>
      <c r="M3" s="11"/>
      <c r="P3" s="33"/>
      <c r="Q3" s="33"/>
      <c r="R3" s="33"/>
      <c r="S3" s="33"/>
      <c r="T3" s="33"/>
      <c r="U3" s="33"/>
      <c r="V3" s="33"/>
      <c r="W3" s="33"/>
      <c r="X3" s="33"/>
      <c r="Y3" s="33"/>
      <c r="Z3" s="33"/>
      <c r="AA3" s="12"/>
      <c r="AB3" s="12"/>
      <c r="AC3" s="10"/>
    </row>
    <row r="4" spans="1:29" ht="21" customHeight="1" x14ac:dyDescent="0.25">
      <c r="A4" s="11"/>
      <c r="B4" s="11"/>
      <c r="C4" s="11"/>
      <c r="D4" s="11"/>
      <c r="E4" s="11"/>
      <c r="F4" s="11"/>
      <c r="G4" s="11"/>
      <c r="H4" s="11"/>
      <c r="I4" s="11"/>
      <c r="J4" s="11"/>
      <c r="K4" s="11"/>
      <c r="L4" s="11"/>
      <c r="M4" s="11"/>
      <c r="P4" s="95" t="s">
        <v>475</v>
      </c>
      <c r="Q4" s="95"/>
      <c r="R4" s="95"/>
      <c r="S4" s="95"/>
      <c r="T4" s="95"/>
      <c r="U4" s="12"/>
      <c r="V4" s="12"/>
      <c r="W4" s="12"/>
      <c r="X4" s="12"/>
      <c r="Y4" s="12"/>
      <c r="Z4" s="12"/>
      <c r="AA4" s="12"/>
      <c r="AB4" s="12"/>
      <c r="AC4" s="10"/>
    </row>
    <row r="5" spans="1:29" ht="15" x14ac:dyDescent="0.25">
      <c r="A5" s="15"/>
      <c r="B5" s="15"/>
      <c r="C5" s="15"/>
      <c r="D5" s="15"/>
      <c r="E5" s="15"/>
      <c r="F5" s="15"/>
      <c r="G5" s="15"/>
      <c r="H5" s="15"/>
      <c r="I5" s="15"/>
      <c r="J5" s="15"/>
      <c r="K5" s="15"/>
      <c r="L5" s="15"/>
      <c r="M5" s="15"/>
      <c r="P5" s="12"/>
      <c r="Q5" s="12"/>
      <c r="R5" s="12"/>
      <c r="S5" s="12"/>
      <c r="T5" s="12"/>
      <c r="U5" s="12"/>
      <c r="V5" s="12"/>
      <c r="W5" s="12"/>
      <c r="X5" s="12"/>
      <c r="Y5" s="12"/>
      <c r="Z5" s="12"/>
      <c r="AA5" s="12"/>
      <c r="AB5" s="12"/>
      <c r="AC5" s="10"/>
    </row>
    <row r="6" spans="1:29" ht="15" x14ac:dyDescent="0.25">
      <c r="A6" s="6"/>
      <c r="B6" s="6" t="s">
        <v>9</v>
      </c>
      <c r="C6" s="20" t="s">
        <v>322</v>
      </c>
      <c r="D6" s="6"/>
      <c r="E6" s="6"/>
      <c r="F6" s="6"/>
      <c r="G6" s="6"/>
      <c r="H6" s="6"/>
      <c r="I6" s="6"/>
      <c r="J6" s="6"/>
      <c r="K6" s="6"/>
      <c r="L6" s="6"/>
      <c r="M6" s="6"/>
      <c r="P6" s="9"/>
      <c r="Q6" s="9" t="s">
        <v>9</v>
      </c>
      <c r="R6" s="22" t="s">
        <v>322</v>
      </c>
      <c r="S6" s="9"/>
      <c r="T6" s="9"/>
      <c r="U6" s="233">
        <v>75</v>
      </c>
      <c r="V6" s="9" t="s">
        <v>513</v>
      </c>
      <c r="W6" s="9"/>
      <c r="X6" s="9"/>
      <c r="Y6" s="9"/>
      <c r="Z6" s="9"/>
      <c r="AA6" s="9"/>
      <c r="AB6" s="9"/>
      <c r="AC6" s="10"/>
    </row>
    <row r="7" spans="1:29" ht="16.5" x14ac:dyDescent="0.3">
      <c r="A7" s="6"/>
      <c r="B7" s="20" t="s">
        <v>444</v>
      </c>
      <c r="C7" s="24">
        <v>90.6</v>
      </c>
      <c r="D7" s="6"/>
      <c r="E7" s="6"/>
      <c r="F7" s="6"/>
      <c r="G7" s="6"/>
      <c r="H7" s="6"/>
      <c r="I7" s="6"/>
      <c r="J7" s="6"/>
      <c r="K7" s="6"/>
      <c r="L7" s="6"/>
      <c r="M7" s="6"/>
      <c r="P7" s="9"/>
      <c r="Q7" s="22" t="s">
        <v>444</v>
      </c>
      <c r="R7" s="230">
        <v>90.6</v>
      </c>
      <c r="S7" s="9"/>
      <c r="T7" s="9"/>
      <c r="U7" s="232"/>
      <c r="V7" s="9"/>
      <c r="W7" s="9"/>
      <c r="X7" s="9"/>
      <c r="Y7" s="9"/>
      <c r="Z7" s="9"/>
      <c r="AA7" s="9"/>
      <c r="AB7" s="9"/>
      <c r="AC7" s="10"/>
    </row>
    <row r="8" spans="1:29" ht="16.5" x14ac:dyDescent="0.3">
      <c r="A8" s="6"/>
      <c r="B8" s="20" t="s">
        <v>373</v>
      </c>
      <c r="C8" s="24">
        <v>4.3</v>
      </c>
      <c r="D8" s="6"/>
      <c r="E8" s="6"/>
      <c r="F8" s="6"/>
      <c r="G8" s="6"/>
      <c r="H8" s="6"/>
      <c r="I8" s="6"/>
      <c r="J8" s="6"/>
      <c r="K8" s="6"/>
      <c r="L8" s="6"/>
      <c r="M8" s="6"/>
      <c r="P8" s="9"/>
      <c r="Q8" s="22" t="s">
        <v>373</v>
      </c>
      <c r="R8" s="230">
        <v>4.3</v>
      </c>
      <c r="S8" s="9"/>
      <c r="T8" s="9"/>
      <c r="U8" s="233">
        <v>6</v>
      </c>
      <c r="V8" s="9" t="s">
        <v>514</v>
      </c>
      <c r="W8" s="9"/>
      <c r="X8" s="9"/>
      <c r="Y8" s="9"/>
      <c r="Z8" s="9"/>
      <c r="AA8" s="9"/>
      <c r="AB8" s="9"/>
      <c r="AC8" s="10"/>
    </row>
    <row r="9" spans="1:29" ht="16.5" x14ac:dyDescent="0.3">
      <c r="A9" s="6"/>
      <c r="B9" s="20" t="s">
        <v>374</v>
      </c>
      <c r="C9" s="24">
        <v>3.2</v>
      </c>
      <c r="D9" s="6"/>
      <c r="E9" s="6"/>
      <c r="F9" s="6"/>
      <c r="G9" s="6"/>
      <c r="H9" s="6"/>
      <c r="I9" s="6"/>
      <c r="J9" s="6"/>
      <c r="K9" s="6"/>
      <c r="L9" s="6"/>
      <c r="M9" s="6"/>
      <c r="P9" s="9"/>
      <c r="Q9" s="22" t="s">
        <v>374</v>
      </c>
      <c r="R9" s="230">
        <v>3.2</v>
      </c>
      <c r="S9" s="9"/>
      <c r="T9" s="9"/>
      <c r="U9" s="232"/>
      <c r="V9" s="9"/>
      <c r="W9" s="9"/>
      <c r="X9" s="9"/>
      <c r="Y9" s="9"/>
      <c r="Z9" s="9"/>
      <c r="AA9" s="9"/>
      <c r="AB9" s="9"/>
      <c r="AC9" s="10"/>
    </row>
    <row r="10" spans="1:29" ht="16.5" x14ac:dyDescent="0.3">
      <c r="A10" s="6"/>
      <c r="B10" s="20" t="s">
        <v>375</v>
      </c>
      <c r="C10" s="24">
        <v>0.5</v>
      </c>
      <c r="D10" s="6"/>
      <c r="E10" s="6"/>
      <c r="F10" s="6"/>
      <c r="G10" s="6"/>
      <c r="H10" s="6"/>
      <c r="I10" s="6"/>
      <c r="J10" s="6"/>
      <c r="K10" s="6"/>
      <c r="L10" s="6"/>
      <c r="M10" s="6"/>
      <c r="P10" s="9"/>
      <c r="Q10" s="22" t="s">
        <v>375</v>
      </c>
      <c r="R10" s="230">
        <v>0.5</v>
      </c>
      <c r="S10" s="9"/>
      <c r="T10" s="9"/>
      <c r="U10" s="233">
        <v>104</v>
      </c>
      <c r="V10" s="9" t="s">
        <v>515</v>
      </c>
      <c r="W10" s="9"/>
      <c r="X10" s="9"/>
      <c r="Y10" s="9"/>
      <c r="Z10" s="9"/>
      <c r="AA10" s="9"/>
      <c r="AB10" s="9"/>
      <c r="AC10" s="10"/>
    </row>
    <row r="11" spans="1:29" ht="16.5" x14ac:dyDescent="0.3">
      <c r="A11" s="6"/>
      <c r="B11" s="20" t="s">
        <v>376</v>
      </c>
      <c r="C11" s="24">
        <v>1</v>
      </c>
      <c r="D11" s="6"/>
      <c r="E11" s="6"/>
      <c r="F11" s="6"/>
      <c r="G11" s="6"/>
      <c r="H11" s="6"/>
      <c r="I11" s="6"/>
      <c r="J11" s="6"/>
      <c r="K11" s="6"/>
      <c r="L11" s="6"/>
      <c r="M11" s="6"/>
      <c r="P11" s="9"/>
      <c r="Q11" s="22" t="s">
        <v>376</v>
      </c>
      <c r="R11" s="230">
        <v>1</v>
      </c>
      <c r="S11" s="9"/>
      <c r="T11" s="9"/>
      <c r="U11" s="233"/>
      <c r="V11" s="9"/>
      <c r="W11" s="9"/>
      <c r="X11" s="9"/>
      <c r="Y11" s="9"/>
      <c r="Z11" s="9"/>
      <c r="AA11" s="9"/>
      <c r="AB11" s="9"/>
      <c r="AC11" s="10"/>
    </row>
    <row r="12" spans="1:29" ht="16.5" x14ac:dyDescent="0.3">
      <c r="A12" s="6"/>
      <c r="B12" s="20" t="s">
        <v>389</v>
      </c>
      <c r="C12" s="24">
        <v>0.4</v>
      </c>
      <c r="D12" s="6"/>
      <c r="E12" s="6"/>
      <c r="F12" s="6"/>
      <c r="G12" s="6"/>
      <c r="H12" s="6"/>
      <c r="I12" s="6"/>
      <c r="J12" s="6"/>
      <c r="K12" s="6"/>
      <c r="L12" s="6"/>
      <c r="M12" s="6"/>
      <c r="P12" s="9"/>
      <c r="Q12" s="22" t="s">
        <v>389</v>
      </c>
      <c r="R12" s="230">
        <v>0.4</v>
      </c>
      <c r="S12" s="9"/>
      <c r="T12" s="9"/>
      <c r="U12" s="233">
        <v>1000</v>
      </c>
      <c r="V12" s="9" t="s">
        <v>516</v>
      </c>
      <c r="W12" s="9"/>
      <c r="X12" s="9"/>
      <c r="Y12" s="9"/>
      <c r="Z12" s="9"/>
      <c r="AA12" s="9"/>
      <c r="AB12" s="9"/>
      <c r="AC12" s="10"/>
    </row>
    <row r="13" spans="1:29" ht="15" x14ac:dyDescent="0.25">
      <c r="A13" s="6"/>
      <c r="B13" s="6"/>
      <c r="C13" s="6"/>
      <c r="D13" s="6"/>
      <c r="E13" s="6"/>
      <c r="F13" s="6"/>
      <c r="G13" s="6"/>
      <c r="H13" s="6"/>
      <c r="I13" s="6"/>
      <c r="J13" s="6"/>
      <c r="K13" s="6"/>
      <c r="L13" s="6"/>
      <c r="M13" s="6"/>
      <c r="P13" s="9"/>
      <c r="Q13" s="9"/>
      <c r="R13" s="9"/>
      <c r="S13" s="9"/>
      <c r="T13" s="9"/>
      <c r="U13" s="9"/>
      <c r="V13" s="9"/>
      <c r="W13" s="9"/>
      <c r="X13" s="9"/>
      <c r="Y13" s="9"/>
      <c r="Z13" s="9"/>
      <c r="AA13" s="9"/>
      <c r="AB13" s="9"/>
      <c r="AC13" s="10"/>
    </row>
    <row r="14" spans="1:29" ht="15" x14ac:dyDescent="0.25">
      <c r="A14" s="96" t="s">
        <v>323</v>
      </c>
      <c r="B14" s="6"/>
      <c r="C14" s="6"/>
      <c r="D14" s="6"/>
      <c r="E14" s="6"/>
      <c r="F14" s="6"/>
      <c r="G14" s="6"/>
      <c r="H14" s="6"/>
      <c r="I14" s="6"/>
      <c r="J14" s="6"/>
      <c r="K14" s="6"/>
      <c r="L14" s="6"/>
      <c r="M14" s="6"/>
      <c r="P14" s="217" t="s">
        <v>512</v>
      </c>
      <c r="Q14" s="9"/>
      <c r="R14" s="9"/>
      <c r="S14" s="9"/>
      <c r="T14" s="9"/>
      <c r="U14" s="9"/>
      <c r="V14" s="9"/>
      <c r="W14" s="9"/>
      <c r="X14" s="9"/>
      <c r="Y14" s="9"/>
      <c r="Z14" s="9"/>
      <c r="AA14" s="9"/>
      <c r="AB14" s="9"/>
      <c r="AC14" s="10"/>
    </row>
    <row r="15" spans="1:29" ht="15" x14ac:dyDescent="0.25">
      <c r="A15" s="6"/>
      <c r="B15" s="6"/>
      <c r="C15" s="6"/>
      <c r="D15" s="6"/>
      <c r="E15" s="6"/>
      <c r="F15" s="6"/>
      <c r="G15" s="6"/>
      <c r="H15" s="6"/>
      <c r="I15" s="6"/>
      <c r="J15" s="6"/>
      <c r="K15" s="6"/>
      <c r="L15" s="6"/>
      <c r="M15" s="6"/>
      <c r="P15" s="9"/>
      <c r="Q15" s="9"/>
      <c r="R15" s="9"/>
      <c r="S15" s="9"/>
      <c r="T15" s="9"/>
      <c r="U15" s="9"/>
      <c r="V15" s="9"/>
      <c r="W15" s="9"/>
      <c r="X15" s="9"/>
      <c r="Y15" s="9"/>
      <c r="Z15" s="9"/>
      <c r="AA15" s="9"/>
      <c r="AB15" s="9"/>
      <c r="AC15" s="10"/>
    </row>
    <row r="16" spans="1:29" ht="15" x14ac:dyDescent="0.25">
      <c r="A16" s="6"/>
      <c r="B16" s="6" t="s">
        <v>9</v>
      </c>
      <c r="C16" s="20" t="s">
        <v>156</v>
      </c>
      <c r="D16" s="6"/>
      <c r="E16" s="6"/>
      <c r="F16" s="6"/>
      <c r="G16" s="6"/>
      <c r="H16" s="6"/>
      <c r="I16" s="6"/>
      <c r="J16" s="6"/>
      <c r="K16" s="6"/>
      <c r="L16" s="6"/>
      <c r="M16" s="6"/>
      <c r="P16" s="9"/>
      <c r="Q16" s="9" t="s">
        <v>9</v>
      </c>
      <c r="R16" s="22" t="s">
        <v>156</v>
      </c>
      <c r="S16" s="9"/>
      <c r="T16" s="9"/>
      <c r="U16" s="9"/>
      <c r="V16" s="9"/>
      <c r="W16" s="9"/>
      <c r="X16" s="9"/>
      <c r="Y16" s="9"/>
      <c r="Z16" s="9"/>
      <c r="AA16" s="9"/>
      <c r="AB16" s="9"/>
      <c r="AC16" s="10"/>
    </row>
    <row r="17" spans="1:29" ht="16.5" x14ac:dyDescent="0.3">
      <c r="A17" s="6"/>
      <c r="B17" s="20" t="s">
        <v>444</v>
      </c>
      <c r="C17" s="106">
        <v>3.25</v>
      </c>
      <c r="D17" s="6"/>
      <c r="E17" s="6"/>
      <c r="F17" s="6"/>
      <c r="G17" s="6"/>
      <c r="H17" s="6"/>
      <c r="I17" s="6"/>
      <c r="J17" s="6"/>
      <c r="K17" s="6"/>
      <c r="L17" s="6"/>
      <c r="M17" s="6"/>
      <c r="P17" s="9"/>
      <c r="Q17" s="22" t="s">
        <v>444</v>
      </c>
      <c r="R17" s="249">
        <v>3.25</v>
      </c>
      <c r="S17" s="9"/>
      <c r="T17" s="9"/>
      <c r="U17" s="9"/>
      <c r="V17" s="9"/>
      <c r="W17" s="9"/>
      <c r="X17" s="9"/>
      <c r="Y17" s="9"/>
      <c r="Z17" s="9"/>
      <c r="AA17" s="9"/>
      <c r="AB17" s="9"/>
      <c r="AC17" s="10"/>
    </row>
    <row r="18" spans="1:29" ht="16.5" x14ac:dyDescent="0.3">
      <c r="A18" s="6"/>
      <c r="B18" s="20" t="s">
        <v>373</v>
      </c>
      <c r="C18" s="106">
        <v>0.9</v>
      </c>
      <c r="D18" s="6"/>
      <c r="E18" s="6"/>
      <c r="F18" s="6"/>
      <c r="G18" s="6"/>
      <c r="H18" s="6"/>
      <c r="I18" s="6"/>
      <c r="J18" s="6"/>
      <c r="K18" s="6"/>
      <c r="L18" s="6"/>
      <c r="M18" s="6"/>
      <c r="P18" s="9"/>
      <c r="Q18" s="22" t="s">
        <v>373</v>
      </c>
      <c r="R18" s="249">
        <v>0.9</v>
      </c>
      <c r="S18" s="9"/>
      <c r="T18" s="9"/>
      <c r="U18" s="9"/>
      <c r="V18" s="9"/>
      <c r="W18" s="9"/>
      <c r="X18" s="9"/>
      <c r="Y18" s="9"/>
      <c r="Z18" s="9"/>
      <c r="AA18" s="9"/>
      <c r="AB18" s="9"/>
      <c r="AC18" s="10"/>
    </row>
    <row r="19" spans="1:29" ht="16.5" x14ac:dyDescent="0.3">
      <c r="A19" s="6"/>
      <c r="B19" s="20" t="s">
        <v>374</v>
      </c>
      <c r="C19" s="106">
        <v>0.37</v>
      </c>
      <c r="D19" s="6"/>
      <c r="E19" s="6"/>
      <c r="F19" s="6"/>
      <c r="G19" s="6"/>
      <c r="H19" s="6"/>
      <c r="I19" s="6"/>
      <c r="J19" s="6"/>
      <c r="K19" s="6"/>
      <c r="L19" s="6"/>
      <c r="M19" s="6"/>
      <c r="P19" s="9"/>
      <c r="Q19" s="22" t="s">
        <v>374</v>
      </c>
      <c r="R19" s="249">
        <v>0.37</v>
      </c>
      <c r="S19" s="9"/>
      <c r="T19" s="9"/>
      <c r="U19" s="9"/>
      <c r="V19" s="9"/>
      <c r="W19" s="9"/>
      <c r="X19" s="9"/>
      <c r="Y19" s="9"/>
      <c r="Z19" s="9"/>
      <c r="AA19" s="9"/>
      <c r="AB19" s="9"/>
      <c r="AC19" s="10"/>
    </row>
    <row r="20" spans="1:29" ht="16.5" x14ac:dyDescent="0.3">
      <c r="A20" s="6"/>
      <c r="B20" s="20" t="s">
        <v>375</v>
      </c>
      <c r="C20" s="106">
        <v>0.1</v>
      </c>
      <c r="D20" s="6"/>
      <c r="E20" s="6"/>
      <c r="F20" s="6"/>
      <c r="G20" s="6"/>
      <c r="H20" s="6"/>
      <c r="I20" s="6"/>
      <c r="J20" s="6"/>
      <c r="K20" s="6"/>
      <c r="L20" s="6"/>
      <c r="M20" s="6"/>
      <c r="P20" s="9"/>
      <c r="Q20" s="22" t="s">
        <v>375</v>
      </c>
      <c r="R20" s="249">
        <v>0.21</v>
      </c>
      <c r="S20" s="9"/>
      <c r="T20" s="9"/>
      <c r="U20" s="9"/>
      <c r="V20" s="9"/>
      <c r="W20" s="9"/>
      <c r="X20" s="9"/>
      <c r="Y20" s="9"/>
      <c r="Z20" s="9"/>
      <c r="AA20" s="9"/>
      <c r="AB20" s="9"/>
      <c r="AC20" s="10"/>
    </row>
    <row r="21" spans="1:29" ht="16.5" x14ac:dyDescent="0.3">
      <c r="A21" s="6"/>
      <c r="B21" s="20" t="s">
        <v>376</v>
      </c>
      <c r="C21" s="106">
        <v>0.17</v>
      </c>
      <c r="D21" s="6"/>
      <c r="E21" s="6"/>
      <c r="F21" s="6"/>
      <c r="G21" s="6"/>
      <c r="H21" s="6"/>
      <c r="I21" s="6"/>
      <c r="J21" s="6"/>
      <c r="K21" s="6"/>
      <c r="L21" s="6"/>
      <c r="M21" s="6"/>
      <c r="P21" s="9"/>
      <c r="Q21" s="22" t="s">
        <v>376</v>
      </c>
      <c r="R21" s="249">
        <v>0.17</v>
      </c>
      <c r="S21" s="9"/>
      <c r="T21" s="9"/>
      <c r="U21" s="9"/>
      <c r="V21" s="9"/>
      <c r="W21" s="9"/>
      <c r="X21" s="9"/>
      <c r="Y21" s="9"/>
      <c r="Z21" s="9"/>
      <c r="AA21" s="9"/>
      <c r="AB21" s="9"/>
      <c r="AC21" s="10"/>
    </row>
    <row r="22" spans="1:29" ht="16.5" x14ac:dyDescent="0.3">
      <c r="A22" s="6"/>
      <c r="B22" s="20" t="s">
        <v>389</v>
      </c>
      <c r="C22" s="106">
        <v>3.5000000000000003E-2</v>
      </c>
      <c r="D22" s="6"/>
      <c r="E22" s="6"/>
      <c r="F22" s="6"/>
      <c r="G22" s="6"/>
      <c r="H22" s="6"/>
      <c r="I22" s="6"/>
      <c r="J22" s="6"/>
      <c r="K22" s="6"/>
      <c r="L22" s="6"/>
      <c r="M22" s="6"/>
      <c r="P22" s="9"/>
      <c r="Q22" s="22" t="s">
        <v>389</v>
      </c>
      <c r="R22" s="249">
        <v>3.5000000000000003E-2</v>
      </c>
      <c r="S22" s="9"/>
      <c r="T22" s="9"/>
      <c r="U22" s="9"/>
      <c r="V22" s="9"/>
      <c r="W22" s="9"/>
      <c r="X22" s="9"/>
      <c r="Y22" s="9"/>
      <c r="Z22" s="9"/>
      <c r="AA22" s="9"/>
      <c r="AB22" s="9"/>
      <c r="AC22" s="10"/>
    </row>
    <row r="23" spans="1:29" ht="15" x14ac:dyDescent="0.25">
      <c r="A23" s="6"/>
      <c r="B23" s="6"/>
      <c r="C23" s="6"/>
      <c r="D23" s="6"/>
      <c r="E23" s="6"/>
      <c r="F23" s="6"/>
      <c r="G23" s="6"/>
      <c r="H23" s="6"/>
      <c r="I23" s="6"/>
      <c r="J23" s="6"/>
      <c r="K23" s="6"/>
      <c r="L23" s="6"/>
      <c r="M23" s="6"/>
      <c r="P23" s="9"/>
      <c r="Q23" s="9"/>
      <c r="R23" s="9"/>
      <c r="S23" s="9"/>
      <c r="T23" s="9"/>
      <c r="U23" s="9"/>
      <c r="V23" s="9"/>
      <c r="W23" s="9"/>
      <c r="X23" s="9"/>
      <c r="Y23" s="9"/>
      <c r="Z23" s="9"/>
      <c r="AA23" s="9"/>
      <c r="AB23" s="9"/>
      <c r="AC23" s="10"/>
    </row>
    <row r="24" spans="1:29" ht="15" x14ac:dyDescent="0.25">
      <c r="A24" s="96" t="s">
        <v>326</v>
      </c>
      <c r="B24" s="6"/>
      <c r="C24" s="6"/>
      <c r="D24" s="6"/>
      <c r="E24" s="6"/>
      <c r="F24" s="6"/>
      <c r="G24" s="6"/>
      <c r="H24" s="6"/>
      <c r="I24" s="6"/>
      <c r="J24" s="6"/>
      <c r="K24" s="6"/>
      <c r="L24" s="6"/>
      <c r="M24" s="6"/>
      <c r="P24" s="217" t="s">
        <v>518</v>
      </c>
      <c r="Q24" s="9"/>
      <c r="R24" s="9"/>
      <c r="S24" s="9"/>
      <c r="T24" s="9"/>
      <c r="U24" s="9"/>
      <c r="V24" s="9"/>
      <c r="W24" s="9"/>
      <c r="X24" s="9"/>
      <c r="Y24" s="9"/>
      <c r="Z24" s="9"/>
      <c r="AA24" s="9"/>
      <c r="AB24" s="9"/>
      <c r="AC24" s="10"/>
    </row>
    <row r="25" spans="1:29" ht="15" x14ac:dyDescent="0.25">
      <c r="A25" s="96"/>
      <c r="B25" s="6"/>
      <c r="C25" s="6"/>
      <c r="D25" s="6"/>
      <c r="E25" s="6"/>
      <c r="F25" s="6"/>
      <c r="G25" s="6"/>
      <c r="H25" s="6"/>
      <c r="I25" s="6"/>
      <c r="J25" s="6"/>
      <c r="K25" s="6"/>
      <c r="L25" s="6"/>
      <c r="M25" s="6"/>
      <c r="P25" s="31"/>
      <c r="Q25" s="9"/>
      <c r="R25" s="9"/>
      <c r="S25" s="9"/>
      <c r="T25" s="9"/>
      <c r="U25" s="9"/>
      <c r="V25" s="9"/>
      <c r="W25" s="9"/>
      <c r="X25" s="9"/>
      <c r="Y25" s="9"/>
      <c r="Z25" s="9"/>
      <c r="AA25" s="9"/>
      <c r="AB25" s="9"/>
      <c r="AC25" s="10"/>
    </row>
    <row r="26" spans="1:29" ht="15" x14ac:dyDescent="0.25">
      <c r="A26" s="6"/>
      <c r="B26" s="6" t="s">
        <v>131</v>
      </c>
      <c r="C26" s="6">
        <v>0.8</v>
      </c>
      <c r="D26" s="6"/>
      <c r="E26" s="6"/>
      <c r="F26" s="6"/>
      <c r="G26" s="6"/>
      <c r="H26" s="6"/>
      <c r="I26" s="6"/>
      <c r="J26" s="6"/>
      <c r="K26" s="6"/>
      <c r="L26" s="6"/>
      <c r="M26" s="6"/>
      <c r="P26" s="9"/>
      <c r="Q26" s="9" t="s">
        <v>131</v>
      </c>
      <c r="R26" s="233">
        <v>0.8</v>
      </c>
      <c r="S26" s="9"/>
      <c r="T26" s="9"/>
      <c r="U26" s="9"/>
      <c r="V26" s="9"/>
      <c r="W26" s="9"/>
      <c r="X26" s="9"/>
      <c r="Y26" s="9"/>
      <c r="Z26" s="9"/>
      <c r="AA26" s="9"/>
      <c r="AB26" s="9"/>
      <c r="AC26" s="10"/>
    </row>
    <row r="27" spans="1:29" ht="15" x14ac:dyDescent="0.25">
      <c r="A27" s="6"/>
      <c r="B27" s="6"/>
      <c r="C27" s="6"/>
      <c r="D27" s="6"/>
      <c r="E27" s="6"/>
      <c r="F27" s="6"/>
      <c r="G27" s="6"/>
      <c r="H27" s="6"/>
      <c r="I27" s="6"/>
      <c r="J27" s="6"/>
      <c r="K27" s="6"/>
      <c r="L27" s="6"/>
      <c r="M27" s="6"/>
      <c r="P27" s="9"/>
      <c r="Q27" s="9"/>
      <c r="R27" s="9"/>
      <c r="S27" s="9"/>
      <c r="T27" s="9"/>
      <c r="U27" s="9"/>
      <c r="V27" s="9"/>
      <c r="W27" s="9"/>
      <c r="X27" s="9"/>
      <c r="Y27" s="232"/>
      <c r="Z27" s="9"/>
      <c r="AA27" s="9"/>
      <c r="AB27" s="9"/>
      <c r="AC27" s="10"/>
    </row>
    <row r="28" spans="1:29" ht="15" x14ac:dyDescent="0.25">
      <c r="A28" s="6" t="s">
        <v>324</v>
      </c>
      <c r="B28" s="6"/>
      <c r="C28" s="6"/>
      <c r="D28" s="6"/>
      <c r="E28" s="6"/>
      <c r="F28" s="6"/>
      <c r="G28" s="6"/>
      <c r="H28" s="6"/>
      <c r="I28" s="6"/>
      <c r="J28" s="6"/>
      <c r="K28" s="6"/>
      <c r="L28" s="6"/>
      <c r="M28" s="6"/>
      <c r="P28" s="9" t="s">
        <v>324</v>
      </c>
      <c r="Q28" s="9"/>
      <c r="R28" s="9"/>
      <c r="S28" s="9"/>
      <c r="T28" s="9"/>
      <c r="U28" s="9"/>
      <c r="V28" s="9"/>
      <c r="W28" s="9"/>
      <c r="X28" s="9"/>
      <c r="Y28" s="9"/>
      <c r="Z28" s="9"/>
      <c r="AA28" s="9"/>
      <c r="AB28" s="9"/>
      <c r="AC28" s="10"/>
    </row>
    <row r="29" spans="1:29" ht="15" x14ac:dyDescent="0.25">
      <c r="A29" s="6"/>
      <c r="B29" s="6"/>
      <c r="C29" s="6"/>
      <c r="D29" s="6"/>
      <c r="E29" s="6"/>
      <c r="F29" s="6"/>
      <c r="G29" s="6"/>
      <c r="H29" s="6"/>
      <c r="I29" s="6"/>
      <c r="J29" s="6"/>
      <c r="K29" s="6"/>
      <c r="L29" s="6"/>
      <c r="M29" s="6"/>
      <c r="P29" s="9"/>
      <c r="Q29" s="9"/>
      <c r="R29" s="9"/>
      <c r="S29" s="9"/>
      <c r="T29" s="9"/>
      <c r="U29" s="9"/>
      <c r="V29" s="9"/>
      <c r="W29" s="9"/>
      <c r="X29" s="9"/>
      <c r="Y29" s="9"/>
      <c r="Z29" s="9"/>
      <c r="AA29" s="9"/>
      <c r="AB29" s="9"/>
      <c r="AC29" s="10"/>
    </row>
    <row r="30" spans="1:29" ht="16.5" x14ac:dyDescent="0.3">
      <c r="A30" s="6"/>
      <c r="B30" s="6" t="s">
        <v>445</v>
      </c>
      <c r="C30" s="6">
        <f>C26*C19*100</f>
        <v>29.599999999999998</v>
      </c>
      <c r="D30" s="6" t="s">
        <v>41</v>
      </c>
      <c r="E30" s="6"/>
      <c r="F30" s="6"/>
      <c r="G30" s="6"/>
      <c r="H30" s="6"/>
      <c r="I30" s="6"/>
      <c r="J30" s="6"/>
      <c r="K30" s="6"/>
      <c r="L30" s="6"/>
      <c r="M30" s="6"/>
      <c r="P30" s="9"/>
      <c r="Q30" s="9" t="s">
        <v>445</v>
      </c>
      <c r="R30" s="9">
        <f>R26*R19*100</f>
        <v>29.599999999999998</v>
      </c>
      <c r="S30" s="9" t="s">
        <v>41</v>
      </c>
      <c r="T30" s="9"/>
      <c r="U30" s="9"/>
      <c r="V30" s="9"/>
      <c r="W30" s="9"/>
      <c r="X30" s="9"/>
      <c r="Y30" s="9"/>
      <c r="Z30" s="9"/>
      <c r="AA30" s="9"/>
      <c r="AB30" s="9"/>
      <c r="AC30" s="10"/>
    </row>
    <row r="31" spans="1:29" ht="15" x14ac:dyDescent="0.25">
      <c r="A31" s="6"/>
      <c r="B31" s="6"/>
      <c r="C31" s="6"/>
      <c r="D31" s="6"/>
      <c r="E31" s="6"/>
      <c r="F31" s="6"/>
      <c r="G31" s="6"/>
      <c r="H31" s="6"/>
      <c r="I31" s="6"/>
      <c r="J31" s="6"/>
      <c r="K31" s="6"/>
      <c r="L31" s="6"/>
      <c r="M31" s="6"/>
      <c r="P31" s="9"/>
      <c r="Q31" s="9"/>
      <c r="R31" s="9"/>
      <c r="S31" s="9"/>
      <c r="T31" s="9"/>
      <c r="U31" s="9"/>
      <c r="V31" s="9"/>
      <c r="W31" s="9"/>
      <c r="X31" s="9"/>
      <c r="Y31" s="9"/>
      <c r="Z31" s="9"/>
      <c r="AA31" s="9"/>
      <c r="AB31" s="9"/>
      <c r="AC31" s="10"/>
    </row>
    <row r="32" spans="1:29" ht="15" x14ac:dyDescent="0.25">
      <c r="A32" s="6" t="s">
        <v>325</v>
      </c>
      <c r="B32" s="6"/>
      <c r="C32" s="106"/>
      <c r="D32" s="6"/>
      <c r="E32" s="6"/>
      <c r="F32" s="6"/>
      <c r="G32" s="6"/>
      <c r="H32" s="6"/>
      <c r="I32" s="6"/>
      <c r="J32" s="6"/>
      <c r="K32" s="6"/>
      <c r="L32" s="6"/>
      <c r="M32" s="6"/>
      <c r="P32" s="9" t="s">
        <v>325</v>
      </c>
      <c r="Q32" s="9"/>
      <c r="R32" s="107"/>
      <c r="S32" s="9"/>
      <c r="T32" s="9"/>
      <c r="U32" s="9"/>
      <c r="V32" s="9"/>
      <c r="W32" s="9"/>
      <c r="X32" s="9"/>
      <c r="Y32" s="9"/>
      <c r="Z32" s="9"/>
      <c r="AA32" s="9"/>
      <c r="AB32" s="9"/>
      <c r="AC32" s="10"/>
    </row>
    <row r="33" spans="1:29" ht="15" x14ac:dyDescent="0.25">
      <c r="A33" s="6"/>
      <c r="B33" s="6"/>
      <c r="C33" s="6"/>
      <c r="D33" s="6"/>
      <c r="E33" s="6"/>
      <c r="F33" s="6"/>
      <c r="G33" s="6"/>
      <c r="H33" s="6"/>
      <c r="I33" s="6"/>
      <c r="J33" s="6"/>
      <c r="K33" s="6"/>
      <c r="L33" s="6"/>
      <c r="M33" s="6"/>
      <c r="P33" s="9"/>
      <c r="Q33" s="9"/>
      <c r="R33" s="9"/>
      <c r="S33" s="9"/>
      <c r="T33" s="9"/>
      <c r="U33" s="9"/>
      <c r="V33" s="9"/>
      <c r="W33" s="9"/>
      <c r="X33" s="9"/>
      <c r="Y33" s="9"/>
      <c r="Z33" s="9"/>
      <c r="AA33" s="9"/>
      <c r="AB33" s="9"/>
      <c r="AC33" s="10"/>
    </row>
    <row r="34" spans="1:29" ht="15" x14ac:dyDescent="0.25">
      <c r="A34" s="6"/>
      <c r="B34" s="6" t="s">
        <v>9</v>
      </c>
      <c r="C34" s="20" t="s">
        <v>131</v>
      </c>
      <c r="D34" s="6"/>
      <c r="E34" s="6"/>
      <c r="F34" s="6"/>
      <c r="G34" s="6"/>
      <c r="H34" s="6"/>
      <c r="I34" s="6"/>
      <c r="J34" s="6"/>
      <c r="K34" s="6"/>
      <c r="L34" s="6"/>
      <c r="M34" s="6"/>
      <c r="P34" s="9"/>
      <c r="Q34" s="9" t="s">
        <v>9</v>
      </c>
      <c r="R34" s="22" t="s">
        <v>131</v>
      </c>
      <c r="S34" s="9"/>
      <c r="T34" s="9"/>
      <c r="U34" s="9"/>
      <c r="V34" s="9"/>
      <c r="W34" s="9"/>
      <c r="X34" s="9"/>
      <c r="Y34" s="9"/>
      <c r="Z34" s="9"/>
      <c r="AA34" s="9"/>
      <c r="AB34" s="9"/>
      <c r="AC34" s="10"/>
    </row>
    <row r="35" spans="1:29" ht="16.5" x14ac:dyDescent="0.3">
      <c r="A35" s="6"/>
      <c r="B35" s="20" t="s">
        <v>444</v>
      </c>
      <c r="C35" s="106">
        <f t="shared" ref="C35:C40" si="0">$C$30/(C17*100)</f>
        <v>9.1076923076923069E-2</v>
      </c>
      <c r="D35" s="6"/>
      <c r="E35" s="6"/>
      <c r="F35" s="6"/>
      <c r="G35" s="6"/>
      <c r="H35" s="6"/>
      <c r="I35" s="6"/>
      <c r="J35" s="6"/>
      <c r="K35" s="6"/>
      <c r="L35" s="6"/>
      <c r="M35" s="6"/>
      <c r="P35" s="9"/>
      <c r="Q35" s="22" t="s">
        <v>444</v>
      </c>
      <c r="R35" s="107">
        <f t="shared" ref="R35:R40" si="1">$R$30/(R17*100)</f>
        <v>9.1076923076923069E-2</v>
      </c>
      <c r="S35" s="9"/>
      <c r="T35" s="9"/>
      <c r="U35" s="9"/>
      <c r="V35" s="9"/>
      <c r="W35" s="9"/>
      <c r="X35" s="9"/>
      <c r="Y35" s="9"/>
      <c r="Z35" s="9"/>
      <c r="AA35" s="9"/>
      <c r="AB35" s="9"/>
      <c r="AC35" s="10"/>
    </row>
    <row r="36" spans="1:29" ht="16.5" x14ac:dyDescent="0.3">
      <c r="A36" s="6"/>
      <c r="B36" s="20" t="s">
        <v>373</v>
      </c>
      <c r="C36" s="106">
        <f t="shared" si="0"/>
        <v>0.32888888888888884</v>
      </c>
      <c r="D36" s="6"/>
      <c r="E36" s="6"/>
      <c r="F36" s="6"/>
      <c r="G36" s="6"/>
      <c r="H36" s="6"/>
      <c r="I36" s="6"/>
      <c r="J36" s="6"/>
      <c r="K36" s="6"/>
      <c r="L36" s="6"/>
      <c r="M36" s="6"/>
      <c r="P36" s="9"/>
      <c r="Q36" s="22" t="s">
        <v>373</v>
      </c>
      <c r="R36" s="107">
        <f t="shared" si="1"/>
        <v>0.32888888888888884</v>
      </c>
      <c r="S36" s="9"/>
      <c r="T36" s="9"/>
      <c r="U36" s="9"/>
      <c r="V36" s="9"/>
      <c r="W36" s="9"/>
      <c r="X36" s="9"/>
      <c r="Y36" s="9"/>
      <c r="Z36" s="9"/>
      <c r="AA36" s="9"/>
      <c r="AB36" s="9"/>
      <c r="AC36" s="10"/>
    </row>
    <row r="37" spans="1:29" ht="16.5" x14ac:dyDescent="0.3">
      <c r="A37" s="6"/>
      <c r="B37" s="20" t="s">
        <v>374</v>
      </c>
      <c r="C37" s="106">
        <f t="shared" si="0"/>
        <v>0.79999999999999993</v>
      </c>
      <c r="D37" s="6"/>
      <c r="E37" s="6"/>
      <c r="F37" s="6"/>
      <c r="G37" s="6"/>
      <c r="H37" s="6"/>
      <c r="I37" s="6"/>
      <c r="J37" s="6"/>
      <c r="K37" s="6"/>
      <c r="L37" s="6"/>
      <c r="M37" s="6"/>
      <c r="P37" s="9"/>
      <c r="Q37" s="22" t="s">
        <v>374</v>
      </c>
      <c r="R37" s="107">
        <f t="shared" si="1"/>
        <v>0.79999999999999993</v>
      </c>
      <c r="S37" s="9"/>
      <c r="T37" s="9"/>
      <c r="U37" s="9"/>
      <c r="V37" s="9"/>
      <c r="W37" s="9"/>
      <c r="X37" s="9"/>
      <c r="Y37" s="9"/>
      <c r="Z37" s="9"/>
      <c r="AA37" s="9"/>
      <c r="AB37" s="9"/>
      <c r="AC37" s="10"/>
    </row>
    <row r="38" spans="1:29" ht="16.5" x14ac:dyDescent="0.3">
      <c r="A38" s="6"/>
      <c r="B38" s="20" t="s">
        <v>375</v>
      </c>
      <c r="C38" s="106">
        <f t="shared" si="0"/>
        <v>2.96</v>
      </c>
      <c r="D38" s="6"/>
      <c r="E38" s="6"/>
      <c r="F38" s="6"/>
      <c r="G38" s="6"/>
      <c r="H38" s="6"/>
      <c r="I38" s="6"/>
      <c r="J38" s="6"/>
      <c r="K38" s="6"/>
      <c r="L38" s="6"/>
      <c r="M38" s="6"/>
      <c r="P38" s="9"/>
      <c r="Q38" s="22" t="s">
        <v>375</v>
      </c>
      <c r="R38" s="107">
        <f t="shared" si="1"/>
        <v>1.4095238095238094</v>
      </c>
      <c r="S38" s="9"/>
      <c r="T38" s="9"/>
      <c r="U38" s="9"/>
      <c r="V38" s="9"/>
      <c r="W38" s="9"/>
      <c r="X38" s="9"/>
      <c r="Y38" s="9"/>
      <c r="Z38" s="9"/>
      <c r="AA38" s="9"/>
      <c r="AB38" s="9"/>
      <c r="AC38" s="10"/>
    </row>
    <row r="39" spans="1:29" ht="16.5" x14ac:dyDescent="0.3">
      <c r="A39" s="6"/>
      <c r="B39" s="20" t="s">
        <v>376</v>
      </c>
      <c r="C39" s="106">
        <f t="shared" si="0"/>
        <v>1.7411764705882351</v>
      </c>
      <c r="D39" s="6"/>
      <c r="E39" s="6"/>
      <c r="F39" s="6"/>
      <c r="G39" s="6"/>
      <c r="H39" s="6"/>
      <c r="I39" s="6"/>
      <c r="J39" s="6"/>
      <c r="K39" s="6"/>
      <c r="L39" s="6"/>
      <c r="M39" s="6"/>
      <c r="P39" s="9"/>
      <c r="Q39" s="22" t="s">
        <v>376</v>
      </c>
      <c r="R39" s="107">
        <f t="shared" si="1"/>
        <v>1.7411764705882351</v>
      </c>
      <c r="S39" s="9"/>
      <c r="T39" s="9"/>
      <c r="U39" s="9"/>
      <c r="V39" s="9"/>
      <c r="W39" s="9"/>
      <c r="X39" s="9"/>
      <c r="Y39" s="9"/>
      <c r="Z39" s="9"/>
      <c r="AA39" s="9"/>
      <c r="AB39" s="9"/>
      <c r="AC39" s="10"/>
    </row>
    <row r="40" spans="1:29" ht="16.5" x14ac:dyDescent="0.3">
      <c r="A40" s="6"/>
      <c r="B40" s="20" t="s">
        <v>389</v>
      </c>
      <c r="C40" s="106">
        <f t="shared" si="0"/>
        <v>8.4571428571428555</v>
      </c>
      <c r="D40" s="6"/>
      <c r="E40" s="6"/>
      <c r="F40" s="6"/>
      <c r="G40" s="6"/>
      <c r="H40" s="6"/>
      <c r="I40" s="6"/>
      <c r="J40" s="6"/>
      <c r="K40" s="6"/>
      <c r="L40" s="6"/>
      <c r="M40" s="6"/>
      <c r="P40" s="9"/>
      <c r="Q40" s="22" t="s">
        <v>389</v>
      </c>
      <c r="R40" s="107">
        <f t="shared" si="1"/>
        <v>8.4571428571428555</v>
      </c>
      <c r="S40" s="9"/>
      <c r="T40" s="9"/>
      <c r="U40" s="9"/>
      <c r="V40" s="9"/>
      <c r="W40" s="9"/>
      <c r="X40" s="9"/>
      <c r="Y40" s="9"/>
      <c r="Z40" s="9"/>
      <c r="AA40" s="9"/>
      <c r="AB40" s="9"/>
      <c r="AC40" s="10"/>
    </row>
    <row r="41" spans="1:29" ht="15" x14ac:dyDescent="0.25">
      <c r="A41" s="6"/>
      <c r="B41" s="6"/>
      <c r="C41" s="6"/>
      <c r="D41" s="6"/>
      <c r="E41" s="6"/>
      <c r="F41" s="6"/>
      <c r="G41" s="6"/>
      <c r="H41" s="6"/>
      <c r="I41" s="6"/>
      <c r="J41" s="6"/>
      <c r="K41" s="6"/>
      <c r="L41" s="6"/>
      <c r="M41" s="6"/>
      <c r="P41" s="9"/>
      <c r="Q41" s="9"/>
      <c r="R41" s="9"/>
      <c r="S41" s="9"/>
      <c r="T41" s="9"/>
      <c r="U41" s="9"/>
      <c r="V41" s="9"/>
      <c r="W41" s="9"/>
      <c r="X41" s="9"/>
      <c r="Y41" s="9"/>
      <c r="Z41" s="9"/>
      <c r="AA41" s="9"/>
      <c r="AB41" s="9"/>
      <c r="AC41" s="10"/>
    </row>
    <row r="42" spans="1:29" ht="15" x14ac:dyDescent="0.25">
      <c r="A42" s="6" t="s">
        <v>327</v>
      </c>
      <c r="B42" s="6"/>
      <c r="C42" s="6"/>
      <c r="D42" s="6"/>
      <c r="E42" s="6"/>
      <c r="F42" s="6"/>
      <c r="G42" s="6"/>
      <c r="H42" s="6"/>
      <c r="I42" s="6"/>
      <c r="J42" s="6"/>
      <c r="K42" s="6"/>
      <c r="L42" s="6"/>
      <c r="M42" s="6"/>
      <c r="P42" s="82" t="s">
        <v>519</v>
      </c>
      <c r="Q42" s="9"/>
      <c r="R42" s="9"/>
      <c r="S42" s="9"/>
      <c r="T42" s="9"/>
      <c r="U42" s="9"/>
      <c r="V42" s="9"/>
      <c r="W42" s="9"/>
      <c r="X42" s="9"/>
      <c r="Y42" s="9"/>
      <c r="Z42" s="9"/>
      <c r="AA42" s="9"/>
      <c r="AB42" s="9"/>
      <c r="AC42" s="10"/>
    </row>
    <row r="43" spans="1:29" ht="15" x14ac:dyDescent="0.25">
      <c r="A43" s="6"/>
      <c r="B43" s="6"/>
      <c r="C43" s="6"/>
      <c r="D43" s="6"/>
      <c r="E43" s="6"/>
      <c r="F43" s="6"/>
      <c r="G43" s="6"/>
      <c r="H43" s="6"/>
      <c r="I43" s="6"/>
      <c r="J43" s="6"/>
      <c r="K43" s="6"/>
      <c r="L43" s="6"/>
      <c r="M43" s="6"/>
      <c r="P43" s="9"/>
      <c r="Q43" s="9"/>
      <c r="R43" s="9"/>
      <c r="S43" s="9"/>
      <c r="T43" s="9"/>
      <c r="U43" s="9"/>
      <c r="V43" s="9"/>
      <c r="W43" s="9"/>
      <c r="X43" s="9"/>
      <c r="Y43" s="9"/>
      <c r="Z43" s="9"/>
      <c r="AA43" s="9"/>
      <c r="AB43" s="9"/>
      <c r="AC43" s="10"/>
    </row>
    <row r="44" spans="1:29" ht="15" x14ac:dyDescent="0.25">
      <c r="A44" s="6"/>
      <c r="B44" s="6" t="s">
        <v>9</v>
      </c>
      <c r="C44" s="20" t="s">
        <v>328</v>
      </c>
      <c r="D44" s="6"/>
      <c r="E44" s="6"/>
      <c r="F44" s="6"/>
      <c r="G44" s="6"/>
      <c r="H44" s="6"/>
      <c r="I44" s="6"/>
      <c r="J44" s="6"/>
      <c r="K44" s="6"/>
      <c r="L44" s="6"/>
      <c r="M44" s="6"/>
      <c r="P44" s="9"/>
      <c r="Q44" s="9" t="s">
        <v>9</v>
      </c>
      <c r="R44" s="22" t="s">
        <v>328</v>
      </c>
      <c r="S44" s="9"/>
      <c r="T44" s="9"/>
      <c r="U44" s="9"/>
      <c r="V44" s="9"/>
      <c r="W44" s="9"/>
      <c r="X44" s="9"/>
      <c r="Y44" s="9"/>
      <c r="Z44" s="9"/>
      <c r="AA44" s="9"/>
      <c r="AB44" s="9"/>
      <c r="AC44" s="10"/>
    </row>
    <row r="45" spans="1:29" ht="16.5" x14ac:dyDescent="0.3">
      <c r="A45" s="6"/>
      <c r="B45" s="20" t="s">
        <v>444</v>
      </c>
      <c r="C45" s="6">
        <v>9.0999999999999998E-2</v>
      </c>
      <c r="D45" s="6"/>
      <c r="E45" s="6"/>
      <c r="F45" s="6"/>
      <c r="G45" s="6"/>
      <c r="H45" s="6"/>
      <c r="I45" s="6"/>
      <c r="J45" s="6"/>
      <c r="K45" s="6"/>
      <c r="L45" s="6"/>
      <c r="M45" s="6"/>
      <c r="P45" s="9"/>
      <c r="Q45" s="22" t="s">
        <v>444</v>
      </c>
      <c r="R45" s="233">
        <v>9.0999999999999998E-2</v>
      </c>
      <c r="S45" s="9"/>
      <c r="T45" s="9"/>
      <c r="U45" s="9"/>
      <c r="V45" s="9"/>
      <c r="W45" s="9"/>
      <c r="X45" s="9"/>
      <c r="Y45" s="9"/>
      <c r="Z45" s="9"/>
      <c r="AA45" s="9"/>
      <c r="AB45" s="9"/>
      <c r="AC45" s="10"/>
    </row>
    <row r="46" spans="1:29" ht="16.5" x14ac:dyDescent="0.3">
      <c r="A46" s="6"/>
      <c r="B46" s="20" t="s">
        <v>373</v>
      </c>
      <c r="C46" s="6">
        <v>0.32900000000000001</v>
      </c>
      <c r="D46" s="6"/>
      <c r="E46" s="6"/>
      <c r="F46" s="6"/>
      <c r="G46" s="6"/>
      <c r="H46" s="6"/>
      <c r="I46" s="6"/>
      <c r="J46" s="6"/>
      <c r="K46" s="6"/>
      <c r="L46" s="6"/>
      <c r="M46" s="6"/>
      <c r="P46" s="9"/>
      <c r="Q46" s="22" t="s">
        <v>373</v>
      </c>
      <c r="R46" s="233">
        <v>0.32900000000000001</v>
      </c>
      <c r="S46" s="9"/>
      <c r="T46" s="9"/>
      <c r="U46" s="9"/>
      <c r="V46" s="9"/>
      <c r="W46" s="9"/>
      <c r="X46" s="9"/>
      <c r="Y46" s="9"/>
      <c r="Z46" s="9"/>
      <c r="AA46" s="9"/>
      <c r="AB46" s="9"/>
      <c r="AC46" s="10"/>
    </row>
    <row r="47" spans="1:29" ht="16.5" x14ac:dyDescent="0.3">
      <c r="A47" s="6"/>
      <c r="B47" s="20" t="s">
        <v>374</v>
      </c>
      <c r="C47" s="6">
        <v>0.75</v>
      </c>
      <c r="D47" s="6"/>
      <c r="E47" s="6"/>
      <c r="F47" s="6"/>
      <c r="G47" s="6"/>
      <c r="H47" s="6"/>
      <c r="I47" s="6"/>
      <c r="J47" s="6"/>
      <c r="K47" s="6"/>
      <c r="L47" s="6"/>
      <c r="M47" s="6"/>
      <c r="P47" s="9"/>
      <c r="Q47" s="22" t="s">
        <v>374</v>
      </c>
      <c r="R47" s="233">
        <v>0.75</v>
      </c>
      <c r="S47" s="9"/>
      <c r="T47" s="9"/>
      <c r="U47" s="9"/>
      <c r="V47" s="9"/>
      <c r="W47" s="9"/>
      <c r="X47" s="9"/>
      <c r="Y47" s="9"/>
      <c r="Z47" s="9"/>
      <c r="AA47" s="9"/>
      <c r="AB47" s="9"/>
      <c r="AC47" s="10"/>
    </row>
    <row r="48" spans="1:29" ht="16.5" x14ac:dyDescent="0.3">
      <c r="A48" s="6"/>
      <c r="B48" s="20" t="s">
        <v>375</v>
      </c>
      <c r="C48" s="6">
        <v>0.96</v>
      </c>
      <c r="D48" s="6"/>
      <c r="E48" s="6"/>
      <c r="F48" s="6"/>
      <c r="G48" s="6"/>
      <c r="H48" s="6"/>
      <c r="I48" s="6"/>
      <c r="J48" s="6"/>
      <c r="K48" s="6"/>
      <c r="L48" s="6"/>
      <c r="M48" s="6"/>
      <c r="P48" s="9"/>
      <c r="Q48" s="22" t="s">
        <v>375</v>
      </c>
      <c r="R48" s="233">
        <v>0.96</v>
      </c>
      <c r="S48" s="9"/>
      <c r="T48" s="9"/>
      <c r="U48" s="9"/>
      <c r="V48" s="9"/>
      <c r="W48" s="9"/>
      <c r="X48" s="9"/>
      <c r="Y48" s="9"/>
      <c r="Z48" s="9"/>
      <c r="AA48" s="9"/>
      <c r="AB48" s="9"/>
      <c r="AC48" s="10"/>
    </row>
    <row r="49" spans="1:29" ht="16.5" x14ac:dyDescent="0.3">
      <c r="A49" s="6"/>
      <c r="B49" s="20" t="s">
        <v>376</v>
      </c>
      <c r="C49" s="6">
        <v>0.98</v>
      </c>
      <c r="D49" s="6"/>
      <c r="E49" s="6"/>
      <c r="F49" s="6"/>
      <c r="G49" s="6"/>
      <c r="H49" s="6"/>
      <c r="I49" s="6"/>
      <c r="J49" s="6"/>
      <c r="K49" s="6"/>
      <c r="L49" s="6"/>
      <c r="M49" s="6"/>
      <c r="P49" s="9"/>
      <c r="Q49" s="22" t="s">
        <v>376</v>
      </c>
      <c r="R49" s="233">
        <v>0.98499999999999999</v>
      </c>
      <c r="S49" s="9"/>
      <c r="T49" s="9"/>
      <c r="U49" s="9"/>
      <c r="V49" s="9"/>
      <c r="W49" s="9"/>
      <c r="X49" s="9"/>
      <c r="Y49" s="9"/>
      <c r="Z49" s="9"/>
      <c r="AA49" s="9"/>
      <c r="AB49" s="9"/>
      <c r="AC49" s="10"/>
    </row>
    <row r="50" spans="1:29" ht="16.5" x14ac:dyDescent="0.3">
      <c r="A50" s="6"/>
      <c r="B50" s="20" t="s">
        <v>389</v>
      </c>
      <c r="C50" s="6">
        <v>1</v>
      </c>
      <c r="D50" s="6"/>
      <c r="E50" s="6"/>
      <c r="F50" s="6"/>
      <c r="G50" s="6"/>
      <c r="H50" s="6"/>
      <c r="I50" s="6"/>
      <c r="J50" s="6"/>
      <c r="K50" s="6"/>
      <c r="L50" s="6"/>
      <c r="M50" s="6"/>
      <c r="P50" s="9"/>
      <c r="Q50" s="22" t="s">
        <v>389</v>
      </c>
      <c r="R50" s="233">
        <v>1</v>
      </c>
      <c r="S50" s="9"/>
      <c r="T50" s="9"/>
      <c r="U50" s="9"/>
      <c r="V50" s="9"/>
      <c r="W50" s="9"/>
      <c r="X50" s="9"/>
      <c r="Y50" s="9"/>
      <c r="Z50" s="9"/>
      <c r="AA50" s="9"/>
      <c r="AB50" s="9"/>
      <c r="AC50" s="10"/>
    </row>
    <row r="51" spans="1:29" ht="15" x14ac:dyDescent="0.25">
      <c r="A51" s="6"/>
      <c r="B51" s="6"/>
      <c r="C51" s="6"/>
      <c r="D51" s="6"/>
      <c r="E51" s="6"/>
      <c r="F51" s="6"/>
      <c r="G51" s="6"/>
      <c r="H51" s="6"/>
      <c r="I51" s="6"/>
      <c r="J51" s="6"/>
      <c r="K51" s="6"/>
      <c r="L51" s="6"/>
      <c r="M51" s="6"/>
      <c r="P51" s="9"/>
      <c r="Q51" s="9"/>
      <c r="R51" s="9"/>
      <c r="S51" s="9"/>
      <c r="T51" s="9"/>
      <c r="U51" s="9"/>
      <c r="V51" s="9"/>
      <c r="W51" s="9"/>
      <c r="X51" s="9"/>
      <c r="Y51" s="9"/>
      <c r="Z51" s="9"/>
      <c r="AA51" s="9"/>
      <c r="AB51" s="9"/>
      <c r="AC51" s="10"/>
    </row>
    <row r="52" spans="1:29" ht="15" x14ac:dyDescent="0.25">
      <c r="A52" s="6" t="s">
        <v>329</v>
      </c>
      <c r="B52" s="6"/>
      <c r="C52" s="6"/>
      <c r="D52" s="6"/>
      <c r="E52" s="6"/>
      <c r="F52" s="6"/>
      <c r="G52" s="6"/>
      <c r="H52" s="6"/>
      <c r="I52" s="6"/>
      <c r="J52" s="6"/>
      <c r="K52" s="6"/>
      <c r="L52" s="6"/>
      <c r="M52" s="6"/>
      <c r="P52" s="9" t="s">
        <v>329</v>
      </c>
      <c r="Q52" s="9"/>
      <c r="R52" s="9"/>
      <c r="S52" s="9"/>
      <c r="T52" s="9"/>
      <c r="U52" s="9"/>
      <c r="V52" s="9"/>
      <c r="W52" s="9"/>
      <c r="X52" s="9"/>
      <c r="Y52" s="9"/>
      <c r="Z52" s="9"/>
      <c r="AA52" s="9"/>
      <c r="AB52" s="9"/>
      <c r="AC52" s="10"/>
    </row>
    <row r="53" spans="1:29" ht="15" x14ac:dyDescent="0.25">
      <c r="A53" s="6"/>
      <c r="B53" s="6"/>
      <c r="C53" s="6"/>
      <c r="D53" s="6"/>
      <c r="E53" s="6"/>
      <c r="F53" s="6"/>
      <c r="G53" s="6"/>
      <c r="H53" s="6"/>
      <c r="I53" s="6"/>
      <c r="J53" s="6"/>
      <c r="K53" s="6"/>
      <c r="L53" s="6"/>
      <c r="M53" s="6"/>
      <c r="P53" s="9"/>
      <c r="Q53" s="9"/>
      <c r="R53" s="9"/>
      <c r="S53" s="9"/>
      <c r="T53" s="9"/>
      <c r="U53" s="9"/>
      <c r="V53" s="9"/>
      <c r="W53" s="9"/>
      <c r="X53" s="9"/>
      <c r="Y53" s="9"/>
      <c r="Z53" s="9"/>
      <c r="AA53" s="9"/>
      <c r="AB53" s="9"/>
      <c r="AC53" s="10"/>
    </row>
    <row r="54" spans="1:29" ht="16.5" x14ac:dyDescent="0.3">
      <c r="A54" s="6"/>
      <c r="B54" s="6" t="s">
        <v>9</v>
      </c>
      <c r="C54" s="20" t="s">
        <v>446</v>
      </c>
      <c r="D54" s="6"/>
      <c r="E54" s="6"/>
      <c r="F54" s="6"/>
      <c r="G54" s="6"/>
      <c r="H54" s="6"/>
      <c r="I54" s="6"/>
      <c r="J54" s="6"/>
      <c r="K54" s="6"/>
      <c r="L54" s="6"/>
      <c r="M54" s="6"/>
      <c r="P54" s="9"/>
      <c r="Q54" s="9" t="s">
        <v>9</v>
      </c>
      <c r="R54" s="22" t="s">
        <v>446</v>
      </c>
      <c r="S54" s="9"/>
      <c r="T54" s="9"/>
      <c r="U54" s="9"/>
      <c r="V54" s="9"/>
      <c r="W54" s="9"/>
      <c r="X54" s="9"/>
      <c r="Y54" s="9"/>
      <c r="Z54" s="9"/>
      <c r="AA54" s="9"/>
      <c r="AB54" s="9"/>
      <c r="AC54" s="10"/>
    </row>
    <row r="55" spans="1:29" ht="16.5" x14ac:dyDescent="0.3">
      <c r="A55" s="6"/>
      <c r="B55" s="20" t="s">
        <v>444</v>
      </c>
      <c r="C55" s="111">
        <f t="shared" ref="C55:C60" si="2">C7*(1-C45)</f>
        <v>82.355400000000003</v>
      </c>
      <c r="D55" s="6"/>
      <c r="E55" s="6"/>
      <c r="F55" s="6"/>
      <c r="G55" s="6"/>
      <c r="H55" s="6"/>
      <c r="I55" s="6"/>
      <c r="J55" s="6"/>
      <c r="K55" s="6"/>
      <c r="L55" s="6"/>
      <c r="M55" s="6"/>
      <c r="P55" s="9"/>
      <c r="Q55" s="22" t="s">
        <v>444</v>
      </c>
      <c r="R55" s="84">
        <f t="shared" ref="R55:R60" si="3">R7*(1-R45)</f>
        <v>82.355400000000003</v>
      </c>
      <c r="S55" s="9"/>
      <c r="T55" s="9"/>
      <c r="U55" s="9"/>
      <c r="V55" s="9"/>
      <c r="W55" s="9"/>
      <c r="X55" s="9"/>
      <c r="Y55" s="9"/>
      <c r="Z55" s="9"/>
      <c r="AA55" s="9"/>
      <c r="AB55" s="9"/>
      <c r="AC55" s="10"/>
    </row>
    <row r="56" spans="1:29" ht="16.5" x14ac:dyDescent="0.3">
      <c r="A56" s="6"/>
      <c r="B56" s="20" t="s">
        <v>373</v>
      </c>
      <c r="C56" s="111">
        <f t="shared" si="2"/>
        <v>2.8853</v>
      </c>
      <c r="D56" s="6"/>
      <c r="E56" s="6"/>
      <c r="F56" s="6"/>
      <c r="G56" s="6"/>
      <c r="H56" s="6"/>
      <c r="I56" s="6"/>
      <c r="J56" s="6"/>
      <c r="K56" s="6"/>
      <c r="L56" s="6"/>
      <c r="M56" s="6"/>
      <c r="P56" s="9"/>
      <c r="Q56" s="22" t="s">
        <v>373</v>
      </c>
      <c r="R56" s="84">
        <f t="shared" si="3"/>
        <v>2.8853</v>
      </c>
      <c r="S56" s="9"/>
      <c r="T56" s="9"/>
      <c r="U56" s="9"/>
      <c r="V56" s="9"/>
      <c r="W56" s="9"/>
      <c r="X56" s="9"/>
      <c r="Y56" s="9"/>
      <c r="Z56" s="9"/>
      <c r="AA56" s="9"/>
      <c r="AB56" s="9"/>
      <c r="AC56" s="10"/>
    </row>
    <row r="57" spans="1:29" ht="16.5" x14ac:dyDescent="0.3">
      <c r="A57" s="6"/>
      <c r="B57" s="20" t="s">
        <v>374</v>
      </c>
      <c r="C57" s="111">
        <f t="shared" si="2"/>
        <v>0.8</v>
      </c>
      <c r="D57" s="6"/>
      <c r="E57" s="6"/>
      <c r="F57" s="6"/>
      <c r="G57" s="6"/>
      <c r="H57" s="6"/>
      <c r="I57" s="6"/>
      <c r="J57" s="6"/>
      <c r="K57" s="6"/>
      <c r="L57" s="6"/>
      <c r="M57" s="6"/>
      <c r="P57" s="9"/>
      <c r="Q57" s="22" t="s">
        <v>374</v>
      </c>
      <c r="R57" s="84">
        <f t="shared" si="3"/>
        <v>0.8</v>
      </c>
      <c r="S57" s="9"/>
      <c r="T57" s="9"/>
      <c r="U57" s="9"/>
      <c r="V57" s="9"/>
      <c r="W57" s="9"/>
      <c r="X57" s="9"/>
      <c r="Y57" s="9"/>
      <c r="Z57" s="9"/>
      <c r="AA57" s="9"/>
      <c r="AB57" s="9"/>
      <c r="AC57" s="10"/>
    </row>
    <row r="58" spans="1:29" ht="16.5" x14ac:dyDescent="0.3">
      <c r="A58" s="6"/>
      <c r="B58" s="20" t="s">
        <v>375</v>
      </c>
      <c r="C58" s="111">
        <f t="shared" si="2"/>
        <v>2.0000000000000018E-2</v>
      </c>
      <c r="D58" s="6"/>
      <c r="E58" s="6"/>
      <c r="F58" s="6"/>
      <c r="G58" s="6"/>
      <c r="H58" s="6"/>
      <c r="I58" s="6"/>
      <c r="J58" s="6"/>
      <c r="K58" s="6"/>
      <c r="L58" s="6"/>
      <c r="M58" s="6"/>
      <c r="P58" s="9"/>
      <c r="Q58" s="22" t="s">
        <v>375</v>
      </c>
      <c r="R58" s="84">
        <f t="shared" si="3"/>
        <v>2.0000000000000018E-2</v>
      </c>
      <c r="S58" s="9"/>
      <c r="T58" s="9"/>
      <c r="U58" s="9"/>
      <c r="V58" s="9"/>
      <c r="W58" s="9"/>
      <c r="X58" s="9"/>
      <c r="Y58" s="9"/>
      <c r="Z58" s="9"/>
      <c r="AA58" s="9"/>
      <c r="AB58" s="9"/>
      <c r="AC58" s="10"/>
    </row>
    <row r="59" spans="1:29" ht="16.5" x14ac:dyDescent="0.3">
      <c r="A59" s="6"/>
      <c r="B59" s="20" t="s">
        <v>376</v>
      </c>
      <c r="C59" s="111">
        <f t="shared" si="2"/>
        <v>2.0000000000000018E-2</v>
      </c>
      <c r="D59" s="6"/>
      <c r="E59" s="6"/>
      <c r="F59" s="6"/>
      <c r="G59" s="6"/>
      <c r="H59" s="6"/>
      <c r="I59" s="6"/>
      <c r="J59" s="6"/>
      <c r="K59" s="6"/>
      <c r="L59" s="6"/>
      <c r="M59" s="6"/>
      <c r="P59" s="9"/>
      <c r="Q59" s="22" t="s">
        <v>376</v>
      </c>
      <c r="R59" s="84">
        <f t="shared" si="3"/>
        <v>1.5000000000000013E-2</v>
      </c>
      <c r="S59" s="9"/>
      <c r="T59" s="9"/>
      <c r="U59" s="9"/>
      <c r="V59" s="9"/>
      <c r="W59" s="9"/>
      <c r="X59" s="9"/>
      <c r="Y59" s="9"/>
      <c r="Z59" s="9"/>
      <c r="AA59" s="9"/>
      <c r="AB59" s="9"/>
      <c r="AC59" s="10"/>
    </row>
    <row r="60" spans="1:29" ht="16.5" x14ac:dyDescent="0.3">
      <c r="A60" s="6"/>
      <c r="B60" s="20" t="s">
        <v>389</v>
      </c>
      <c r="C60" s="111">
        <f t="shared" si="2"/>
        <v>0</v>
      </c>
      <c r="D60" s="6"/>
      <c r="E60" s="6"/>
      <c r="F60" s="6"/>
      <c r="G60" s="6"/>
      <c r="H60" s="6"/>
      <c r="I60" s="6"/>
      <c r="J60" s="6"/>
      <c r="K60" s="6"/>
      <c r="L60" s="6"/>
      <c r="M60" s="6"/>
      <c r="P60" s="9"/>
      <c r="Q60" s="22" t="s">
        <v>389</v>
      </c>
      <c r="R60" s="84">
        <f t="shared" si="3"/>
        <v>0</v>
      </c>
      <c r="S60" s="9"/>
      <c r="T60" s="9"/>
      <c r="U60" s="9"/>
      <c r="V60" s="9"/>
      <c r="W60" s="9"/>
      <c r="X60" s="9"/>
      <c r="Y60" s="9"/>
      <c r="Z60" s="9"/>
      <c r="AA60" s="9"/>
      <c r="AB60" s="9"/>
      <c r="AC60" s="10"/>
    </row>
    <row r="61" spans="1:29" ht="15" x14ac:dyDescent="0.25">
      <c r="A61" s="6"/>
      <c r="B61" s="6"/>
      <c r="C61" s="6"/>
      <c r="D61" s="6"/>
      <c r="E61" s="6"/>
      <c r="F61" s="6"/>
      <c r="G61" s="6"/>
      <c r="H61" s="6"/>
      <c r="I61" s="6"/>
      <c r="J61" s="6"/>
      <c r="K61" s="6"/>
      <c r="L61" s="6"/>
      <c r="M61" s="6"/>
      <c r="P61" s="9"/>
      <c r="Q61" s="9"/>
      <c r="R61" s="9"/>
      <c r="S61" s="9"/>
      <c r="T61" s="9"/>
      <c r="U61" s="9"/>
      <c r="V61" s="9"/>
      <c r="W61" s="9"/>
      <c r="X61" s="9"/>
      <c r="Y61" s="9"/>
      <c r="Z61" s="9"/>
      <c r="AA61" s="9"/>
      <c r="AB61" s="9"/>
      <c r="AC61" s="10"/>
    </row>
    <row r="62" spans="1:29" ht="15" x14ac:dyDescent="0.25">
      <c r="A62" s="6" t="s">
        <v>330</v>
      </c>
      <c r="B62" s="6"/>
      <c r="C62" s="6"/>
      <c r="D62" s="6"/>
      <c r="E62" s="6"/>
      <c r="F62" s="6"/>
      <c r="G62" s="6"/>
      <c r="H62" s="6"/>
      <c r="I62" s="6"/>
      <c r="J62" s="6"/>
      <c r="K62" s="6"/>
      <c r="L62" s="6"/>
      <c r="M62" s="6"/>
      <c r="P62" s="9" t="s">
        <v>330</v>
      </c>
      <c r="Q62" s="9"/>
      <c r="R62" s="9"/>
      <c r="S62" s="9"/>
      <c r="T62" s="9"/>
      <c r="U62" s="9"/>
      <c r="V62" s="9"/>
      <c r="W62" s="9"/>
      <c r="X62" s="9"/>
      <c r="Y62" s="9"/>
      <c r="Z62" s="9"/>
      <c r="AA62" s="9"/>
      <c r="AB62" s="9"/>
      <c r="AC62" s="10"/>
    </row>
    <row r="63" spans="1:29" ht="15" x14ac:dyDescent="0.25">
      <c r="A63" s="6"/>
      <c r="B63" s="6"/>
      <c r="C63" s="6"/>
      <c r="D63" s="6"/>
      <c r="E63" s="6"/>
      <c r="F63" s="6"/>
      <c r="G63" s="6"/>
      <c r="H63" s="6"/>
      <c r="I63" s="6"/>
      <c r="J63" s="6"/>
      <c r="K63" s="6"/>
      <c r="L63" s="6"/>
      <c r="M63" s="6"/>
      <c r="P63" s="9"/>
      <c r="Q63" s="9"/>
      <c r="R63" s="9"/>
      <c r="S63" s="9"/>
      <c r="T63" s="9"/>
      <c r="U63" s="9"/>
      <c r="V63" s="9"/>
      <c r="W63" s="9"/>
      <c r="X63" s="9"/>
      <c r="Y63" s="9"/>
      <c r="Z63" s="9"/>
      <c r="AA63" s="9"/>
      <c r="AB63" s="9"/>
      <c r="AC63" s="10"/>
    </row>
    <row r="64" spans="1:29" ht="15" x14ac:dyDescent="0.25">
      <c r="A64" s="6"/>
      <c r="B64" s="6" t="s">
        <v>9</v>
      </c>
      <c r="C64" s="20" t="s">
        <v>238</v>
      </c>
      <c r="D64" s="6"/>
      <c r="E64" s="6"/>
      <c r="F64" s="6"/>
      <c r="G64" s="6"/>
      <c r="H64" s="6"/>
      <c r="I64" s="6"/>
      <c r="J64" s="6"/>
      <c r="K64" s="6"/>
      <c r="L64" s="6"/>
      <c r="M64" s="6"/>
      <c r="P64" s="9"/>
      <c r="Q64" s="9" t="s">
        <v>9</v>
      </c>
      <c r="R64" s="22" t="s">
        <v>238</v>
      </c>
      <c r="S64" s="9"/>
      <c r="T64" s="9"/>
      <c r="U64" s="9"/>
      <c r="V64" s="9"/>
      <c r="W64" s="9"/>
      <c r="X64" s="9"/>
      <c r="Y64" s="9"/>
      <c r="Z64" s="9"/>
      <c r="AA64" s="9"/>
      <c r="AB64" s="9"/>
      <c r="AC64" s="10"/>
    </row>
    <row r="65" spans="1:29" ht="16.5" x14ac:dyDescent="0.3">
      <c r="A65" s="6"/>
      <c r="B65" s="20" t="s">
        <v>444</v>
      </c>
      <c r="C65" s="111">
        <f t="shared" ref="C65:C70" si="4">C7-C55</f>
        <v>8.2445999999999913</v>
      </c>
      <c r="D65" s="6"/>
      <c r="E65" s="6"/>
      <c r="F65" s="6"/>
      <c r="G65" s="6"/>
      <c r="H65" s="6"/>
      <c r="I65" s="6"/>
      <c r="J65" s="6"/>
      <c r="K65" s="6"/>
      <c r="L65" s="6"/>
      <c r="M65" s="6"/>
      <c r="P65" s="9"/>
      <c r="Q65" s="22" t="s">
        <v>444</v>
      </c>
      <c r="R65" s="84">
        <f t="shared" ref="R65:R70" si="5">R7-R55</f>
        <v>8.2445999999999913</v>
      </c>
      <c r="S65" s="9"/>
      <c r="T65" s="9"/>
      <c r="U65" s="9"/>
      <c r="V65" s="9"/>
      <c r="W65" s="9"/>
      <c r="X65" s="9"/>
      <c r="Y65" s="9"/>
      <c r="Z65" s="9"/>
      <c r="AA65" s="9"/>
      <c r="AB65" s="9"/>
      <c r="AC65" s="10"/>
    </row>
    <row r="66" spans="1:29" ht="16.5" x14ac:dyDescent="0.3">
      <c r="A66" s="6"/>
      <c r="B66" s="20" t="s">
        <v>373</v>
      </c>
      <c r="C66" s="111">
        <f t="shared" si="4"/>
        <v>1.4146999999999998</v>
      </c>
      <c r="D66" s="6"/>
      <c r="E66" s="6"/>
      <c r="F66" s="6"/>
      <c r="G66" s="6"/>
      <c r="H66" s="6"/>
      <c r="I66" s="6"/>
      <c r="J66" s="6"/>
      <c r="K66" s="6"/>
      <c r="L66" s="6"/>
      <c r="M66" s="6"/>
      <c r="P66" s="9"/>
      <c r="Q66" s="22" t="s">
        <v>373</v>
      </c>
      <c r="R66" s="84">
        <f t="shared" si="5"/>
        <v>1.4146999999999998</v>
      </c>
      <c r="S66" s="9"/>
      <c r="T66" s="9"/>
      <c r="U66" s="9"/>
      <c r="V66" s="9"/>
      <c r="W66" s="9"/>
      <c r="X66" s="9"/>
      <c r="Y66" s="9"/>
      <c r="Z66" s="9"/>
      <c r="AA66" s="9"/>
      <c r="AB66" s="9"/>
      <c r="AC66" s="10"/>
    </row>
    <row r="67" spans="1:29" ht="16.5" x14ac:dyDescent="0.3">
      <c r="A67" s="6"/>
      <c r="B67" s="20" t="s">
        <v>374</v>
      </c>
      <c r="C67" s="111">
        <f t="shared" si="4"/>
        <v>2.4000000000000004</v>
      </c>
      <c r="D67" s="6"/>
      <c r="E67" s="6"/>
      <c r="F67" s="6"/>
      <c r="G67" s="6"/>
      <c r="H67" s="6"/>
      <c r="I67" s="6"/>
      <c r="J67" s="6"/>
      <c r="K67" s="6"/>
      <c r="L67" s="6"/>
      <c r="M67" s="6"/>
      <c r="P67" s="9"/>
      <c r="Q67" s="22" t="s">
        <v>374</v>
      </c>
      <c r="R67" s="84">
        <f t="shared" si="5"/>
        <v>2.4000000000000004</v>
      </c>
      <c r="S67" s="9"/>
      <c r="T67" s="9"/>
      <c r="U67" s="9"/>
      <c r="V67" s="9"/>
      <c r="W67" s="9"/>
      <c r="X67" s="9"/>
      <c r="Y67" s="9"/>
      <c r="Z67" s="9"/>
      <c r="AA67" s="9"/>
      <c r="AB67" s="9"/>
      <c r="AC67" s="10"/>
    </row>
    <row r="68" spans="1:29" ht="16.5" x14ac:dyDescent="0.3">
      <c r="A68" s="6"/>
      <c r="B68" s="20" t="s">
        <v>375</v>
      </c>
      <c r="C68" s="111">
        <f t="shared" si="4"/>
        <v>0.48</v>
      </c>
      <c r="D68" s="6"/>
      <c r="E68" s="6"/>
      <c r="F68" s="6"/>
      <c r="G68" s="6"/>
      <c r="H68" s="6"/>
      <c r="I68" s="6"/>
      <c r="J68" s="6"/>
      <c r="K68" s="6"/>
      <c r="L68" s="6"/>
      <c r="M68" s="6"/>
      <c r="P68" s="9"/>
      <c r="Q68" s="22" t="s">
        <v>375</v>
      </c>
      <c r="R68" s="84">
        <f t="shared" si="5"/>
        <v>0.48</v>
      </c>
      <c r="S68" s="9"/>
      <c r="T68" s="9"/>
      <c r="U68" s="9"/>
      <c r="V68" s="9"/>
      <c r="W68" s="9"/>
      <c r="X68" s="9"/>
      <c r="Y68" s="9"/>
      <c r="Z68" s="9"/>
      <c r="AA68" s="9"/>
      <c r="AB68" s="9"/>
      <c r="AC68" s="10"/>
    </row>
    <row r="69" spans="1:29" ht="16.5" x14ac:dyDescent="0.3">
      <c r="A69" s="6"/>
      <c r="B69" s="20" t="s">
        <v>376</v>
      </c>
      <c r="C69" s="111">
        <f t="shared" si="4"/>
        <v>0.98</v>
      </c>
      <c r="D69" s="6"/>
      <c r="E69" s="6"/>
      <c r="F69" s="6"/>
      <c r="G69" s="6"/>
      <c r="H69" s="6"/>
      <c r="I69" s="6"/>
      <c r="J69" s="6"/>
      <c r="K69" s="6"/>
      <c r="L69" s="6"/>
      <c r="M69" s="6"/>
      <c r="P69" s="9"/>
      <c r="Q69" s="22" t="s">
        <v>376</v>
      </c>
      <c r="R69" s="84">
        <f t="shared" si="5"/>
        <v>0.98499999999999999</v>
      </c>
      <c r="S69" s="9"/>
      <c r="T69" s="9"/>
      <c r="U69" s="9"/>
      <c r="V69" s="9"/>
      <c r="W69" s="9"/>
      <c r="X69" s="9"/>
      <c r="Y69" s="9"/>
      <c r="Z69" s="9"/>
      <c r="AA69" s="9"/>
      <c r="AB69" s="9"/>
      <c r="AC69" s="10"/>
    </row>
    <row r="70" spans="1:29" ht="16.5" x14ac:dyDescent="0.3">
      <c r="A70" s="6"/>
      <c r="B70" s="20" t="s">
        <v>389</v>
      </c>
      <c r="C70" s="111">
        <f t="shared" si="4"/>
        <v>0.4</v>
      </c>
      <c r="D70" s="6"/>
      <c r="E70" s="6"/>
      <c r="F70" s="6"/>
      <c r="G70" s="6"/>
      <c r="H70" s="6"/>
      <c r="I70" s="6"/>
      <c r="J70" s="6"/>
      <c r="K70" s="6"/>
      <c r="L70" s="6"/>
      <c r="M70" s="6"/>
      <c r="P70" s="9"/>
      <c r="Q70" s="22" t="s">
        <v>389</v>
      </c>
      <c r="R70" s="84">
        <f t="shared" si="5"/>
        <v>0.4</v>
      </c>
      <c r="S70" s="9"/>
      <c r="T70" s="9"/>
      <c r="U70" s="9"/>
      <c r="V70" s="9"/>
      <c r="W70" s="9"/>
      <c r="X70" s="9"/>
      <c r="Y70" s="9"/>
      <c r="Z70" s="9"/>
      <c r="AA70" s="9"/>
      <c r="AB70" s="9"/>
      <c r="AC70" s="10"/>
    </row>
    <row r="71" spans="1:29" ht="15" x14ac:dyDescent="0.25">
      <c r="A71" s="6"/>
      <c r="B71" s="6"/>
      <c r="C71" s="6"/>
      <c r="D71" s="6"/>
      <c r="E71" s="6"/>
      <c r="F71" s="6"/>
      <c r="G71" s="6"/>
      <c r="H71" s="6"/>
      <c r="I71" s="6"/>
      <c r="J71" s="6"/>
      <c r="K71" s="6"/>
      <c r="L71" s="6"/>
      <c r="M71" s="6"/>
      <c r="P71" s="9"/>
      <c r="Q71" s="9"/>
      <c r="R71" s="9"/>
      <c r="S71" s="9"/>
      <c r="T71" s="9"/>
      <c r="U71" s="9"/>
      <c r="V71" s="9"/>
      <c r="W71" s="9"/>
      <c r="X71" s="9"/>
      <c r="Y71" s="9"/>
      <c r="Z71" s="9"/>
      <c r="AA71" s="9"/>
      <c r="AB71" s="9"/>
      <c r="AC71" s="10"/>
    </row>
    <row r="72" spans="1:29" ht="15" x14ac:dyDescent="0.25">
      <c r="A72" s="6" t="s">
        <v>331</v>
      </c>
      <c r="B72" s="6"/>
      <c r="C72" s="6"/>
      <c r="D72" s="6"/>
      <c r="E72" s="6"/>
      <c r="F72" s="6"/>
      <c r="G72" s="6"/>
      <c r="H72" s="6"/>
      <c r="I72" s="6"/>
      <c r="J72" s="6"/>
      <c r="K72" s="6"/>
      <c r="L72" s="6"/>
      <c r="M72" s="6"/>
      <c r="P72" s="9" t="s">
        <v>331</v>
      </c>
      <c r="Q72" s="9"/>
      <c r="R72" s="9"/>
      <c r="S72" s="9"/>
      <c r="T72" s="9"/>
      <c r="U72" s="9"/>
      <c r="V72" s="9"/>
      <c r="W72" s="9"/>
      <c r="X72" s="9"/>
      <c r="Y72" s="9"/>
      <c r="Z72" s="9"/>
      <c r="AA72" s="9"/>
      <c r="AB72" s="9"/>
      <c r="AC72" s="10"/>
    </row>
    <row r="73" spans="1:29" ht="15" x14ac:dyDescent="0.25">
      <c r="A73" s="6"/>
      <c r="B73" s="6"/>
      <c r="C73" s="6"/>
      <c r="D73" s="6"/>
      <c r="E73" s="6"/>
      <c r="F73" s="6"/>
      <c r="G73" s="6"/>
      <c r="H73" s="6"/>
      <c r="I73" s="6"/>
      <c r="J73" s="6"/>
      <c r="K73" s="6"/>
      <c r="L73" s="6"/>
      <c r="M73" s="6"/>
      <c r="P73" s="9"/>
      <c r="Q73" s="9"/>
      <c r="R73" s="9"/>
      <c r="S73" s="9"/>
      <c r="T73" s="9"/>
      <c r="U73" s="9"/>
      <c r="V73" s="9"/>
      <c r="W73" s="9"/>
      <c r="X73" s="9"/>
      <c r="Y73" s="9"/>
      <c r="Z73" s="9"/>
      <c r="AA73" s="9"/>
      <c r="AB73" s="9"/>
      <c r="AC73" s="10"/>
    </row>
    <row r="74" spans="1:29" s="218" customFormat="1" ht="14.25" x14ac:dyDescent="0.2">
      <c r="A74" s="16"/>
      <c r="B74" s="45" t="s">
        <v>9</v>
      </c>
      <c r="C74" s="45" t="s">
        <v>322</v>
      </c>
      <c r="D74" s="45" t="s">
        <v>156</v>
      </c>
      <c r="E74" s="45" t="s">
        <v>131</v>
      </c>
      <c r="F74" s="45" t="s">
        <v>328</v>
      </c>
      <c r="G74" s="45" t="s">
        <v>332</v>
      </c>
      <c r="H74" s="45" t="s">
        <v>238</v>
      </c>
      <c r="I74" s="16"/>
      <c r="J74" s="16"/>
      <c r="K74" s="16"/>
      <c r="L74" s="16"/>
      <c r="M74" s="16"/>
      <c r="P74" s="18"/>
      <c r="Q74" s="49" t="s">
        <v>9</v>
      </c>
      <c r="R74" s="49" t="s">
        <v>322</v>
      </c>
      <c r="S74" s="49" t="s">
        <v>156</v>
      </c>
      <c r="T74" s="49" t="s">
        <v>131</v>
      </c>
      <c r="U74" s="49" t="s">
        <v>328</v>
      </c>
      <c r="V74" s="49" t="s">
        <v>332</v>
      </c>
      <c r="W74" s="49" t="s">
        <v>238</v>
      </c>
      <c r="X74" s="18"/>
      <c r="Y74" s="18"/>
      <c r="Z74" s="18"/>
      <c r="AA74" s="18"/>
      <c r="AB74" s="18"/>
      <c r="AC74" s="219"/>
    </row>
    <row r="75" spans="1:29" ht="16.5" x14ac:dyDescent="0.3">
      <c r="A75" s="6"/>
      <c r="B75" s="20" t="s">
        <v>444</v>
      </c>
      <c r="C75" s="24">
        <v>90.6</v>
      </c>
      <c r="D75" s="106">
        <v>3.25</v>
      </c>
      <c r="E75" s="106">
        <f t="shared" ref="E75:E80" si="6">$C$30/(D75*100)</f>
        <v>9.1076923076923069E-2</v>
      </c>
      <c r="F75" s="6">
        <v>9.0999999999999998E-2</v>
      </c>
      <c r="G75" s="111">
        <f t="shared" ref="G75:G80" si="7">C75*(1-F75)</f>
        <v>82.355400000000003</v>
      </c>
      <c r="H75" s="111">
        <f t="shared" ref="H75:H80" si="8">C75-G75</f>
        <v>8.2445999999999913</v>
      </c>
      <c r="I75" s="6"/>
      <c r="J75" s="6"/>
      <c r="K75" s="6"/>
      <c r="L75" s="6"/>
      <c r="M75" s="6"/>
      <c r="P75" s="9"/>
      <c r="Q75" s="22" t="s">
        <v>444</v>
      </c>
      <c r="R75" s="30">
        <f t="shared" ref="R75:R80" si="9">R7</f>
        <v>90.6</v>
      </c>
      <c r="S75" s="107">
        <f t="shared" ref="S75:S80" si="10">R17</f>
        <v>3.25</v>
      </c>
      <c r="T75" s="107">
        <f t="shared" ref="T75:T80" si="11">R35</f>
        <v>9.1076923076923069E-2</v>
      </c>
      <c r="U75" s="9">
        <f t="shared" ref="U75:U80" si="12">R45</f>
        <v>9.0999999999999998E-2</v>
      </c>
      <c r="V75" s="84">
        <f t="shared" ref="V75:V80" si="13">R55</f>
        <v>82.355400000000003</v>
      </c>
      <c r="W75" s="84">
        <f t="shared" ref="W75:W80" si="14">R65</f>
        <v>8.2445999999999913</v>
      </c>
      <c r="X75" s="9"/>
      <c r="Y75" s="9"/>
      <c r="Z75" s="9"/>
      <c r="AA75" s="9"/>
      <c r="AB75" s="9"/>
      <c r="AC75" s="10"/>
    </row>
    <row r="76" spans="1:29" ht="16.5" x14ac:dyDescent="0.3">
      <c r="A76" s="6"/>
      <c r="B76" s="20" t="s">
        <v>373</v>
      </c>
      <c r="C76" s="24">
        <v>4.3</v>
      </c>
      <c r="D76" s="106">
        <v>0.9</v>
      </c>
      <c r="E76" s="106">
        <f t="shared" si="6"/>
        <v>0.32888888888888884</v>
      </c>
      <c r="F76" s="6">
        <v>0.32900000000000001</v>
      </c>
      <c r="G76" s="111">
        <f t="shared" si="7"/>
        <v>2.8853</v>
      </c>
      <c r="H76" s="111">
        <f t="shared" si="8"/>
        <v>1.4146999999999998</v>
      </c>
      <c r="I76" s="6"/>
      <c r="J76" s="6"/>
      <c r="K76" s="6"/>
      <c r="L76" s="6"/>
      <c r="M76" s="6"/>
      <c r="P76" s="9"/>
      <c r="Q76" s="22" t="s">
        <v>373</v>
      </c>
      <c r="R76" s="30">
        <f t="shared" si="9"/>
        <v>4.3</v>
      </c>
      <c r="S76" s="107">
        <f t="shared" si="10"/>
        <v>0.9</v>
      </c>
      <c r="T76" s="107">
        <f t="shared" si="11"/>
        <v>0.32888888888888884</v>
      </c>
      <c r="U76" s="9">
        <f t="shared" si="12"/>
        <v>0.32900000000000001</v>
      </c>
      <c r="V76" s="84">
        <f t="shared" si="13"/>
        <v>2.8853</v>
      </c>
      <c r="W76" s="84">
        <f t="shared" si="14"/>
        <v>1.4146999999999998</v>
      </c>
      <c r="X76" s="9"/>
      <c r="Y76" s="9"/>
      <c r="Z76" s="9"/>
      <c r="AA76" s="9"/>
      <c r="AB76" s="9"/>
      <c r="AC76" s="10"/>
    </row>
    <row r="77" spans="1:29" ht="16.5" x14ac:dyDescent="0.3">
      <c r="A77" s="6"/>
      <c r="B77" s="20" t="s">
        <v>374</v>
      </c>
      <c r="C77" s="24">
        <v>3.2</v>
      </c>
      <c r="D77" s="106">
        <v>0.37</v>
      </c>
      <c r="E77" s="106">
        <f t="shared" si="6"/>
        <v>0.79999999999999993</v>
      </c>
      <c r="F77" s="6">
        <v>0.75</v>
      </c>
      <c r="G77" s="111">
        <f t="shared" si="7"/>
        <v>0.8</v>
      </c>
      <c r="H77" s="111">
        <f t="shared" si="8"/>
        <v>2.4000000000000004</v>
      </c>
      <c r="I77" s="6"/>
      <c r="J77" s="6"/>
      <c r="K77" s="6"/>
      <c r="L77" s="6"/>
      <c r="M77" s="6"/>
      <c r="P77" s="9"/>
      <c r="Q77" s="22" t="s">
        <v>374</v>
      </c>
      <c r="R77" s="30">
        <f t="shared" si="9"/>
        <v>3.2</v>
      </c>
      <c r="S77" s="107">
        <f t="shared" si="10"/>
        <v>0.37</v>
      </c>
      <c r="T77" s="107">
        <f t="shared" si="11"/>
        <v>0.79999999999999993</v>
      </c>
      <c r="U77" s="9">
        <f t="shared" si="12"/>
        <v>0.75</v>
      </c>
      <c r="V77" s="84">
        <f t="shared" si="13"/>
        <v>0.8</v>
      </c>
      <c r="W77" s="84">
        <f t="shared" si="14"/>
        <v>2.4000000000000004</v>
      </c>
      <c r="X77" s="9"/>
      <c r="Y77" s="9"/>
      <c r="Z77" s="9"/>
      <c r="AA77" s="9"/>
      <c r="AB77" s="9"/>
      <c r="AC77" s="10"/>
    </row>
    <row r="78" spans="1:29" ht="16.5" x14ac:dyDescent="0.3">
      <c r="A78" s="6"/>
      <c r="B78" s="20" t="s">
        <v>375</v>
      </c>
      <c r="C78" s="24">
        <v>0.5</v>
      </c>
      <c r="D78" s="106">
        <v>0.1</v>
      </c>
      <c r="E78" s="106">
        <f t="shared" si="6"/>
        <v>2.96</v>
      </c>
      <c r="F78" s="6">
        <v>0.96</v>
      </c>
      <c r="G78" s="111">
        <f t="shared" si="7"/>
        <v>2.0000000000000018E-2</v>
      </c>
      <c r="H78" s="111">
        <f t="shared" si="8"/>
        <v>0.48</v>
      </c>
      <c r="I78" s="6"/>
      <c r="J78" s="6"/>
      <c r="K78" s="6"/>
      <c r="L78" s="6"/>
      <c r="M78" s="6"/>
      <c r="P78" s="9"/>
      <c r="Q78" s="22" t="s">
        <v>375</v>
      </c>
      <c r="R78" s="30">
        <f t="shared" si="9"/>
        <v>0.5</v>
      </c>
      <c r="S78" s="107">
        <f t="shared" si="10"/>
        <v>0.21</v>
      </c>
      <c r="T78" s="107">
        <f t="shared" si="11"/>
        <v>1.4095238095238094</v>
      </c>
      <c r="U78" s="9">
        <f t="shared" si="12"/>
        <v>0.96</v>
      </c>
      <c r="V78" s="84">
        <f t="shared" si="13"/>
        <v>2.0000000000000018E-2</v>
      </c>
      <c r="W78" s="84">
        <f t="shared" si="14"/>
        <v>0.48</v>
      </c>
      <c r="X78" s="9"/>
      <c r="Y78" s="9"/>
      <c r="Z78" s="9"/>
      <c r="AA78" s="9"/>
      <c r="AB78" s="9"/>
      <c r="AC78" s="10"/>
    </row>
    <row r="79" spans="1:29" ht="16.5" x14ac:dyDescent="0.3">
      <c r="A79" s="6"/>
      <c r="B79" s="20" t="s">
        <v>376</v>
      </c>
      <c r="C79" s="24">
        <v>1</v>
      </c>
      <c r="D79" s="106">
        <v>0.17</v>
      </c>
      <c r="E79" s="106">
        <f t="shared" si="6"/>
        <v>1.7411764705882351</v>
      </c>
      <c r="F79" s="6">
        <v>0.98</v>
      </c>
      <c r="G79" s="111">
        <f t="shared" si="7"/>
        <v>2.0000000000000018E-2</v>
      </c>
      <c r="H79" s="111">
        <f t="shared" si="8"/>
        <v>0.98</v>
      </c>
      <c r="I79" s="6"/>
      <c r="J79" s="6"/>
      <c r="K79" s="6"/>
      <c r="L79" s="6"/>
      <c r="M79" s="6"/>
      <c r="P79" s="9"/>
      <c r="Q79" s="22" t="s">
        <v>376</v>
      </c>
      <c r="R79" s="30">
        <f t="shared" si="9"/>
        <v>1</v>
      </c>
      <c r="S79" s="107">
        <f t="shared" si="10"/>
        <v>0.17</v>
      </c>
      <c r="T79" s="107">
        <f t="shared" si="11"/>
        <v>1.7411764705882351</v>
      </c>
      <c r="U79" s="9">
        <f t="shared" si="12"/>
        <v>0.98499999999999999</v>
      </c>
      <c r="V79" s="84">
        <f t="shared" si="13"/>
        <v>1.5000000000000013E-2</v>
      </c>
      <c r="W79" s="84">
        <f t="shared" si="14"/>
        <v>0.98499999999999999</v>
      </c>
      <c r="X79" s="9"/>
      <c r="Y79" s="9"/>
      <c r="Z79" s="9"/>
      <c r="AA79" s="9"/>
      <c r="AB79" s="9"/>
      <c r="AC79" s="10"/>
    </row>
    <row r="80" spans="1:29" ht="16.5" x14ac:dyDescent="0.3">
      <c r="A80" s="6"/>
      <c r="B80" s="20" t="s">
        <v>389</v>
      </c>
      <c r="C80" s="24">
        <v>0.4</v>
      </c>
      <c r="D80" s="106">
        <v>3.5000000000000003E-2</v>
      </c>
      <c r="E80" s="106">
        <f t="shared" si="6"/>
        <v>8.4571428571428555</v>
      </c>
      <c r="F80" s="6">
        <v>1</v>
      </c>
      <c r="G80" s="111">
        <f t="shared" si="7"/>
        <v>0</v>
      </c>
      <c r="H80" s="111">
        <f t="shared" si="8"/>
        <v>0.4</v>
      </c>
      <c r="I80" s="6"/>
      <c r="J80" s="6"/>
      <c r="K80" s="6"/>
      <c r="L80" s="6"/>
      <c r="M80" s="6"/>
      <c r="P80" s="9"/>
      <c r="Q80" s="22" t="s">
        <v>389</v>
      </c>
      <c r="R80" s="30">
        <f t="shared" si="9"/>
        <v>0.4</v>
      </c>
      <c r="S80" s="107">
        <f t="shared" si="10"/>
        <v>3.5000000000000003E-2</v>
      </c>
      <c r="T80" s="107">
        <f t="shared" si="11"/>
        <v>8.4571428571428555</v>
      </c>
      <c r="U80" s="9">
        <f t="shared" si="12"/>
        <v>1</v>
      </c>
      <c r="V80" s="84">
        <f t="shared" si="13"/>
        <v>0</v>
      </c>
      <c r="W80" s="84">
        <f t="shared" si="14"/>
        <v>0.4</v>
      </c>
      <c r="X80" s="9"/>
      <c r="Y80" s="9"/>
      <c r="Z80" s="9"/>
      <c r="AA80" s="9"/>
      <c r="AB80" s="9"/>
      <c r="AC80" s="10"/>
    </row>
    <row r="83" spans="1:1" ht="15" x14ac:dyDescent="0.25">
      <c r="A83" s="77" t="s">
        <v>718</v>
      </c>
    </row>
    <row r="84" spans="1:1" ht="15" x14ac:dyDescent="0.25">
      <c r="A84" s="77" t="s">
        <v>719</v>
      </c>
    </row>
    <row r="85" spans="1:1" ht="15" x14ac:dyDescent="0.25">
      <c r="A85" s="77" t="s">
        <v>720</v>
      </c>
    </row>
    <row r="86" spans="1:1" ht="15" x14ac:dyDescent="0.25">
      <c r="A86" s="77" t="s">
        <v>721</v>
      </c>
    </row>
    <row r="87" spans="1:1" ht="15" x14ac:dyDescent="0.25">
      <c r="A87" s="77" t="s">
        <v>722</v>
      </c>
    </row>
  </sheetData>
  <sheetProtection password="F030" sheet="1" objects="1" scenarios="1"/>
  <mergeCells count="3">
    <mergeCell ref="A2:M4"/>
    <mergeCell ref="P4:T4"/>
    <mergeCell ref="P2:Z3"/>
  </mergeCells>
  <phoneticPr fontId="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6"/>
  <sheetViews>
    <sheetView topLeftCell="J17" zoomScale="80" zoomScaleNormal="80" workbookViewId="0">
      <selection activeCell="S40" sqref="S40"/>
    </sheetView>
  </sheetViews>
  <sheetFormatPr defaultRowHeight="12.75" x14ac:dyDescent="0.2"/>
  <cols>
    <col min="1" max="16384" width="9.140625" style="7"/>
  </cols>
  <sheetData>
    <row r="1" spans="1:31" ht="15" x14ac:dyDescent="0.25">
      <c r="A1" s="5" t="s">
        <v>520</v>
      </c>
      <c r="B1" s="6"/>
      <c r="C1" s="6"/>
      <c r="D1" s="6"/>
      <c r="E1" s="6"/>
      <c r="F1" s="6"/>
      <c r="G1" s="6"/>
      <c r="H1" s="6"/>
      <c r="I1" s="6"/>
      <c r="J1" s="6"/>
      <c r="K1" s="6"/>
      <c r="L1" s="6"/>
      <c r="M1" s="187"/>
      <c r="N1" s="187"/>
      <c r="Q1" s="8" t="s">
        <v>656</v>
      </c>
      <c r="R1" s="9"/>
      <c r="S1" s="9"/>
      <c r="T1" s="9"/>
      <c r="U1" s="9"/>
      <c r="V1" s="9"/>
      <c r="W1" s="9"/>
      <c r="X1" s="9"/>
      <c r="Y1" s="9"/>
      <c r="Z1" s="9"/>
      <c r="AA1" s="9"/>
      <c r="AB1" s="9"/>
      <c r="AC1" s="10"/>
      <c r="AD1" s="10"/>
      <c r="AE1" s="10"/>
    </row>
    <row r="2" spans="1:31" ht="12.75" customHeight="1" x14ac:dyDescent="0.25">
      <c r="A2" s="11" t="s">
        <v>333</v>
      </c>
      <c r="B2" s="11"/>
      <c r="C2" s="11"/>
      <c r="D2" s="11"/>
      <c r="E2" s="11"/>
      <c r="F2" s="11"/>
      <c r="G2" s="11"/>
      <c r="H2" s="11"/>
      <c r="I2" s="11"/>
      <c r="J2" s="11"/>
      <c r="K2" s="11"/>
      <c r="L2" s="11"/>
      <c r="M2" s="187"/>
      <c r="N2" s="187"/>
      <c r="Q2" s="33" t="s">
        <v>521</v>
      </c>
      <c r="R2" s="33"/>
      <c r="S2" s="33"/>
      <c r="T2" s="33"/>
      <c r="U2" s="33"/>
      <c r="V2" s="33"/>
      <c r="W2" s="33"/>
      <c r="X2" s="33"/>
      <c r="Y2" s="33"/>
      <c r="Z2" s="33"/>
      <c r="AA2" s="33"/>
      <c r="AB2" s="12"/>
      <c r="AC2" s="10"/>
      <c r="AD2" s="10"/>
      <c r="AE2" s="10"/>
    </row>
    <row r="3" spans="1:31" ht="12.75" customHeight="1" x14ac:dyDescent="0.25">
      <c r="A3" s="11"/>
      <c r="B3" s="11"/>
      <c r="C3" s="11"/>
      <c r="D3" s="11"/>
      <c r="E3" s="11"/>
      <c r="F3" s="11"/>
      <c r="G3" s="11"/>
      <c r="H3" s="11"/>
      <c r="I3" s="11"/>
      <c r="J3" s="11"/>
      <c r="K3" s="11"/>
      <c r="L3" s="11"/>
      <c r="M3" s="187"/>
      <c r="N3" s="187"/>
      <c r="Q3" s="12"/>
      <c r="R3" s="12"/>
      <c r="S3" s="12"/>
      <c r="T3" s="12"/>
      <c r="U3" s="12"/>
      <c r="V3" s="12"/>
      <c r="W3" s="12"/>
      <c r="X3" s="12"/>
      <c r="Y3" s="12"/>
      <c r="Z3" s="12"/>
      <c r="AA3" s="12"/>
      <c r="AB3" s="12"/>
      <c r="AC3" s="10"/>
      <c r="AD3" s="10"/>
      <c r="AE3" s="10"/>
    </row>
    <row r="4" spans="1:31" ht="18.75" customHeight="1" x14ac:dyDescent="0.25">
      <c r="A4" s="11"/>
      <c r="B4" s="11"/>
      <c r="C4" s="11"/>
      <c r="D4" s="11"/>
      <c r="E4" s="11"/>
      <c r="F4" s="11"/>
      <c r="G4" s="11"/>
      <c r="H4" s="11"/>
      <c r="I4" s="11"/>
      <c r="J4" s="11"/>
      <c r="K4" s="11"/>
      <c r="L4" s="11"/>
      <c r="M4" s="187"/>
      <c r="N4" s="187"/>
      <c r="Q4" s="95" t="s">
        <v>475</v>
      </c>
      <c r="R4" s="95"/>
      <c r="S4" s="95"/>
      <c r="T4" s="95"/>
      <c r="U4" s="95"/>
      <c r="V4" s="95"/>
      <c r="W4" s="95"/>
      <c r="X4" s="95"/>
      <c r="Y4" s="12"/>
      <c r="Z4" s="12"/>
      <c r="AA4" s="12"/>
      <c r="AB4" s="12"/>
      <c r="AC4" s="10"/>
      <c r="AD4" s="10"/>
      <c r="AE4" s="10"/>
    </row>
    <row r="5" spans="1:31" ht="15" x14ac:dyDescent="0.25">
      <c r="A5" s="6"/>
      <c r="B5" s="6"/>
      <c r="C5" s="6"/>
      <c r="D5" s="6"/>
      <c r="E5" s="6"/>
      <c r="F5" s="6"/>
      <c r="G5" s="6"/>
      <c r="H5" s="6"/>
      <c r="I5" s="6"/>
      <c r="J5" s="6"/>
      <c r="K5" s="6"/>
      <c r="L5" s="6"/>
      <c r="M5" s="187"/>
      <c r="N5" s="187"/>
      <c r="Q5" s="9"/>
      <c r="R5" s="9"/>
      <c r="S5" s="9"/>
      <c r="T5" s="9"/>
      <c r="U5" s="9"/>
      <c r="V5" s="9"/>
      <c r="W5" s="9"/>
      <c r="X5" s="9"/>
      <c r="Y5" s="9"/>
      <c r="Z5" s="9"/>
      <c r="AA5" s="9"/>
      <c r="AB5" s="9"/>
      <c r="AC5" s="10"/>
      <c r="AD5" s="10"/>
      <c r="AE5" s="10"/>
    </row>
    <row r="6" spans="1:31" ht="16.5" x14ac:dyDescent="0.3">
      <c r="A6" s="6" t="s">
        <v>334</v>
      </c>
      <c r="B6" s="6"/>
      <c r="C6" s="6"/>
      <c r="D6" s="6"/>
      <c r="E6" s="6"/>
      <c r="F6" s="6"/>
      <c r="G6" s="6"/>
      <c r="H6" s="6"/>
      <c r="I6" s="6"/>
      <c r="J6" s="6"/>
      <c r="K6" s="6"/>
      <c r="L6" s="6"/>
      <c r="M6" s="187"/>
      <c r="N6" s="187"/>
      <c r="Q6" s="9"/>
      <c r="R6" s="9" t="s">
        <v>11</v>
      </c>
      <c r="S6" s="233">
        <v>10</v>
      </c>
      <c r="T6" s="9" t="s">
        <v>79</v>
      </c>
      <c r="U6" s="9" t="s">
        <v>649</v>
      </c>
      <c r="V6" s="9"/>
      <c r="W6" s="9" t="s">
        <v>522</v>
      </c>
      <c r="X6" s="233">
        <v>2500</v>
      </c>
      <c r="Y6" s="9" t="s">
        <v>524</v>
      </c>
      <c r="Z6" s="9" t="s">
        <v>529</v>
      </c>
      <c r="AA6" s="10"/>
      <c r="AB6" s="233">
        <v>21</v>
      </c>
      <c r="AC6" s="9" t="s">
        <v>528</v>
      </c>
      <c r="AD6" s="10"/>
      <c r="AE6" s="10"/>
    </row>
    <row r="7" spans="1:31" ht="15" x14ac:dyDescent="0.25">
      <c r="A7" s="6"/>
      <c r="B7" s="6"/>
      <c r="C7" s="6"/>
      <c r="D7" s="6"/>
      <c r="E7" s="6"/>
      <c r="F7" s="6"/>
      <c r="G7" s="6"/>
      <c r="H7" s="6"/>
      <c r="I7" s="6"/>
      <c r="J7" s="6"/>
      <c r="K7" s="6"/>
      <c r="L7" s="6"/>
      <c r="M7" s="187"/>
      <c r="N7" s="187"/>
      <c r="Q7" s="9"/>
      <c r="R7" s="9"/>
      <c r="S7" s="9">
        <f>S6*8.33*60</f>
        <v>4998</v>
      </c>
      <c r="T7" s="9" t="s">
        <v>268</v>
      </c>
      <c r="U7" s="9"/>
      <c r="V7" s="9"/>
      <c r="W7" s="9" t="s">
        <v>523</v>
      </c>
      <c r="X7" s="233">
        <v>1.5</v>
      </c>
      <c r="Y7" s="9" t="s">
        <v>524</v>
      </c>
      <c r="Z7" s="9"/>
      <c r="AA7" s="9"/>
      <c r="AB7" s="10" t="s">
        <v>685</v>
      </c>
      <c r="AC7" s="10"/>
      <c r="AD7" s="10"/>
      <c r="AE7" s="10"/>
    </row>
    <row r="8" spans="1:31" ht="15" x14ac:dyDescent="0.25">
      <c r="A8" s="6"/>
      <c r="B8" s="6" t="s">
        <v>11</v>
      </c>
      <c r="C8" s="6">
        <v>10</v>
      </c>
      <c r="D8" s="6" t="s">
        <v>79</v>
      </c>
      <c r="E8" s="6"/>
      <c r="F8" s="6"/>
      <c r="G8" s="6"/>
      <c r="H8" s="6"/>
      <c r="I8" s="6"/>
      <c r="J8" s="6"/>
      <c r="K8" s="6"/>
      <c r="L8" s="6"/>
      <c r="M8" s="187"/>
      <c r="N8" s="187"/>
      <c r="Q8" s="9"/>
      <c r="R8" s="10"/>
      <c r="S8" s="10"/>
      <c r="T8" s="10"/>
      <c r="U8" s="10"/>
      <c r="V8" s="9"/>
      <c r="W8" s="9"/>
      <c r="X8" s="9"/>
      <c r="Y8" s="9"/>
      <c r="Z8" s="9"/>
      <c r="AA8" s="9"/>
      <c r="AB8" s="9"/>
      <c r="AC8" s="10"/>
      <c r="AD8" s="10"/>
      <c r="AE8" s="10"/>
    </row>
    <row r="9" spans="1:31" ht="15" x14ac:dyDescent="0.25">
      <c r="A9" s="6"/>
      <c r="B9" s="6"/>
      <c r="C9" s="6">
        <f>C8*8.33*60</f>
        <v>4998</v>
      </c>
      <c r="D9" s="6" t="s">
        <v>268</v>
      </c>
      <c r="E9" s="6"/>
      <c r="F9" s="6"/>
      <c r="G9" s="6"/>
      <c r="H9" s="6"/>
      <c r="I9" s="6"/>
      <c r="J9" s="6"/>
      <c r="K9" s="6"/>
      <c r="L9" s="6"/>
      <c r="M9" s="187"/>
      <c r="N9" s="187"/>
      <c r="Q9" s="9"/>
      <c r="R9" s="10"/>
      <c r="S9" s="246">
        <v>0.75</v>
      </c>
      <c r="T9" s="10" t="s">
        <v>525</v>
      </c>
      <c r="U9" s="9"/>
      <c r="V9" s="9"/>
      <c r="W9" s="9"/>
      <c r="X9" s="9"/>
      <c r="Y9" s="9"/>
      <c r="Z9" s="9"/>
      <c r="AA9" s="9"/>
      <c r="AB9" s="9"/>
      <c r="AC9" s="10"/>
      <c r="AD9" s="10"/>
      <c r="AE9" s="10"/>
    </row>
    <row r="10" spans="1:31" ht="15" x14ac:dyDescent="0.25">
      <c r="A10" s="6"/>
      <c r="B10" s="6"/>
      <c r="C10" s="6"/>
      <c r="D10" s="6"/>
      <c r="E10" s="6"/>
      <c r="F10" s="6"/>
      <c r="G10" s="6"/>
      <c r="H10" s="6"/>
      <c r="I10" s="6"/>
      <c r="J10" s="6"/>
      <c r="K10" s="6"/>
      <c r="L10" s="6"/>
      <c r="M10" s="187"/>
      <c r="N10" s="187"/>
      <c r="Q10" s="9"/>
      <c r="R10" s="9"/>
      <c r="S10" s="9"/>
      <c r="T10" s="10"/>
      <c r="U10" s="10"/>
      <c r="V10" s="10"/>
      <c r="W10" s="9"/>
      <c r="X10" s="9"/>
      <c r="Y10" s="9"/>
      <c r="Z10" s="9"/>
      <c r="AA10" s="9"/>
      <c r="AB10" s="9"/>
      <c r="AC10" s="10"/>
      <c r="AD10" s="10"/>
      <c r="AE10" s="10"/>
    </row>
    <row r="11" spans="1:31" ht="15" x14ac:dyDescent="0.25">
      <c r="A11" s="6" t="s">
        <v>335</v>
      </c>
      <c r="B11" s="6"/>
      <c r="C11" s="6"/>
      <c r="D11" s="6"/>
      <c r="E11" s="6"/>
      <c r="F11" s="6"/>
      <c r="G11" s="6"/>
      <c r="H11" s="6"/>
      <c r="I11" s="6"/>
      <c r="J11" s="6"/>
      <c r="K11" s="6"/>
      <c r="L11" s="6"/>
      <c r="M11" s="187"/>
      <c r="N11" s="187"/>
      <c r="Q11" s="9" t="s">
        <v>335</v>
      </c>
      <c r="R11" s="9"/>
      <c r="S11" s="9"/>
      <c r="T11" s="9"/>
      <c r="U11" s="9"/>
      <c r="V11" s="9"/>
      <c r="W11" s="9"/>
      <c r="X11" s="9"/>
      <c r="Y11" s="9"/>
      <c r="Z11" s="9"/>
      <c r="AA11" s="9"/>
      <c r="AB11" s="9"/>
      <c r="AC11" s="10"/>
      <c r="AD11" s="10"/>
      <c r="AE11" s="10"/>
    </row>
    <row r="12" spans="1:31" ht="15" x14ac:dyDescent="0.25">
      <c r="A12" s="6"/>
      <c r="B12" s="6"/>
      <c r="C12" s="6"/>
      <c r="D12" s="6"/>
      <c r="E12" s="6"/>
      <c r="F12" s="6"/>
      <c r="G12" s="6"/>
      <c r="H12" s="6"/>
      <c r="I12" s="6"/>
      <c r="J12" s="6"/>
      <c r="K12" s="6"/>
      <c r="L12" s="6"/>
      <c r="M12" s="187"/>
      <c r="N12" s="187"/>
      <c r="Q12" s="9"/>
      <c r="R12" s="9"/>
      <c r="S12" s="9"/>
      <c r="T12" s="9"/>
      <c r="U12" s="9"/>
      <c r="V12" s="9"/>
      <c r="W12" s="9"/>
      <c r="X12" s="9"/>
      <c r="Y12" s="9"/>
      <c r="Z12" s="9"/>
      <c r="AA12" s="9"/>
      <c r="AB12" s="9"/>
      <c r="AC12" s="10"/>
      <c r="AD12" s="10"/>
      <c r="AE12" s="10"/>
    </row>
    <row r="13" spans="1:31" ht="15" x14ac:dyDescent="0.25">
      <c r="A13" s="6"/>
      <c r="B13" s="6" t="s">
        <v>26</v>
      </c>
      <c r="C13" s="6">
        <f>0.75*C8*60</f>
        <v>450</v>
      </c>
      <c r="D13" s="6" t="s">
        <v>268</v>
      </c>
      <c r="E13" s="6"/>
      <c r="F13" s="6"/>
      <c r="G13" s="6"/>
      <c r="H13" s="6"/>
      <c r="I13" s="6"/>
      <c r="J13" s="6"/>
      <c r="K13" s="6"/>
      <c r="L13" s="6"/>
      <c r="M13" s="187"/>
      <c r="N13" s="187"/>
      <c r="Q13" s="9"/>
      <c r="R13" s="9" t="s">
        <v>26</v>
      </c>
      <c r="S13" s="9">
        <f>S9*S6*60</f>
        <v>450</v>
      </c>
      <c r="T13" s="9" t="s">
        <v>268</v>
      </c>
      <c r="U13" s="9"/>
      <c r="V13" s="9"/>
      <c r="W13" s="9"/>
      <c r="X13" s="9"/>
      <c r="Y13" s="9"/>
      <c r="Z13" s="9"/>
      <c r="AA13" s="9"/>
      <c r="AB13" s="9"/>
      <c r="AC13" s="10"/>
      <c r="AD13" s="10"/>
      <c r="AE13" s="10"/>
    </row>
    <row r="14" spans="1:31" ht="15" x14ac:dyDescent="0.25">
      <c r="A14" s="6"/>
      <c r="B14" s="6"/>
      <c r="C14" s="6"/>
      <c r="D14" s="6"/>
      <c r="E14" s="6"/>
      <c r="F14" s="6"/>
      <c r="G14" s="6"/>
      <c r="H14" s="6"/>
      <c r="I14" s="6"/>
      <c r="J14" s="6"/>
      <c r="K14" s="6"/>
      <c r="L14" s="6"/>
      <c r="M14" s="187"/>
      <c r="N14" s="187"/>
      <c r="Q14" s="9"/>
      <c r="R14" s="9"/>
      <c r="S14" s="9"/>
      <c r="T14" s="9"/>
      <c r="U14" s="9"/>
      <c r="V14" s="9"/>
      <c r="W14" s="9"/>
      <c r="X14" s="9"/>
      <c r="Y14" s="9"/>
      <c r="Z14" s="9"/>
      <c r="AA14" s="9"/>
      <c r="AB14" s="9"/>
      <c r="AC14" s="10"/>
      <c r="AD14" s="10"/>
      <c r="AE14" s="10"/>
    </row>
    <row r="15" spans="1:31" ht="15" x14ac:dyDescent="0.25">
      <c r="A15" s="6" t="s">
        <v>336</v>
      </c>
      <c r="B15" s="6"/>
      <c r="C15" s="6"/>
      <c r="D15" s="6"/>
      <c r="E15" s="6"/>
      <c r="F15" s="6"/>
      <c r="G15" s="6"/>
      <c r="H15" s="6"/>
      <c r="I15" s="6"/>
      <c r="J15" s="6"/>
      <c r="K15" s="6"/>
      <c r="L15" s="6"/>
      <c r="M15" s="187"/>
      <c r="N15" s="187"/>
      <c r="Q15" s="9" t="s">
        <v>336</v>
      </c>
      <c r="R15" s="9"/>
      <c r="S15" s="9"/>
      <c r="T15" s="9"/>
      <c r="U15" s="9"/>
      <c r="V15" s="9"/>
      <c r="W15" s="9"/>
      <c r="X15" s="9"/>
      <c r="Y15" s="9"/>
      <c r="Z15" s="9"/>
      <c r="AA15" s="9"/>
      <c r="AB15" s="9"/>
      <c r="AC15" s="10"/>
      <c r="AD15" s="10"/>
      <c r="AE15" s="10"/>
    </row>
    <row r="16" spans="1:31" ht="15" x14ac:dyDescent="0.25">
      <c r="A16" s="6"/>
      <c r="B16" s="6"/>
      <c r="C16" s="123"/>
      <c r="D16" s="123"/>
      <c r="E16" s="123"/>
      <c r="F16" s="6"/>
      <c r="G16" s="6"/>
      <c r="H16" s="6"/>
      <c r="I16" s="6"/>
      <c r="J16" s="6"/>
      <c r="K16" s="6"/>
      <c r="L16" s="6"/>
      <c r="M16" s="187"/>
      <c r="N16" s="187"/>
      <c r="Q16" s="9"/>
      <c r="R16" s="9"/>
      <c r="S16" s="153"/>
      <c r="T16" s="153"/>
      <c r="U16" s="153"/>
      <c r="V16" s="9"/>
      <c r="W16" s="9"/>
      <c r="X16" s="9"/>
      <c r="Y16" s="9"/>
      <c r="Z16" s="9"/>
      <c r="AA16" s="9"/>
      <c r="AB16" s="9"/>
      <c r="AC16" s="10"/>
      <c r="AD16" s="10"/>
      <c r="AE16" s="10"/>
    </row>
    <row r="17" spans="1:31" s="222" customFormat="1" ht="30" x14ac:dyDescent="0.25">
      <c r="A17" s="23"/>
      <c r="B17" s="23"/>
      <c r="C17" s="220" t="s">
        <v>337</v>
      </c>
      <c r="D17" s="220" t="s">
        <v>338</v>
      </c>
      <c r="E17" s="220" t="s">
        <v>339</v>
      </c>
      <c r="F17" s="23"/>
      <c r="G17" s="23"/>
      <c r="H17" s="23"/>
      <c r="I17" s="23"/>
      <c r="J17" s="23"/>
      <c r="K17" s="23"/>
      <c r="L17" s="23"/>
      <c r="M17" s="221"/>
      <c r="N17" s="221"/>
      <c r="Q17" s="25"/>
      <c r="R17" s="25"/>
      <c r="S17" s="223" t="s">
        <v>337</v>
      </c>
      <c r="T17" s="223" t="s">
        <v>338</v>
      </c>
      <c r="U17" s="223" t="s">
        <v>339</v>
      </c>
      <c r="V17" s="25"/>
      <c r="W17" s="25"/>
      <c r="X17" s="25"/>
      <c r="Y17" s="25"/>
      <c r="Z17" s="25"/>
      <c r="AA17" s="25"/>
      <c r="AB17" s="25"/>
      <c r="AC17" s="224"/>
      <c r="AD17" s="224"/>
      <c r="AE17" s="224"/>
    </row>
    <row r="18" spans="1:31" ht="16.5" x14ac:dyDescent="0.3">
      <c r="A18" s="6"/>
      <c r="B18" s="6" t="s">
        <v>466</v>
      </c>
      <c r="C18" s="106">
        <f>C20-C19</f>
        <v>12.526315789473301</v>
      </c>
      <c r="D18" s="106">
        <f>C18-E18</f>
        <v>12.519493779240292</v>
      </c>
      <c r="E18" s="106">
        <f>E20-E19</f>
        <v>6.8220102330087684E-3</v>
      </c>
      <c r="F18" s="6"/>
      <c r="G18" s="6"/>
      <c r="H18" s="6"/>
      <c r="I18" s="6"/>
      <c r="J18" s="6"/>
      <c r="K18" s="6"/>
      <c r="L18" s="6"/>
      <c r="M18" s="187"/>
      <c r="N18" s="187"/>
      <c r="Q18" s="9"/>
      <c r="R18" s="9" t="s">
        <v>466</v>
      </c>
      <c r="S18" s="107">
        <f>S20-S19</f>
        <v>12.526315789473301</v>
      </c>
      <c r="T18" s="107">
        <f>S18-U18</f>
        <v>12.519493779240292</v>
      </c>
      <c r="U18" s="107">
        <f>U20-U19</f>
        <v>6.8220102330087684E-3</v>
      </c>
      <c r="V18" s="9"/>
      <c r="W18" s="9"/>
      <c r="X18" s="9"/>
      <c r="Y18" s="9"/>
      <c r="Z18" s="9"/>
      <c r="AA18" s="9"/>
      <c r="AB18" s="9"/>
      <c r="AC18" s="10"/>
      <c r="AD18" s="10"/>
      <c r="AE18" s="10"/>
    </row>
    <row r="19" spans="1:31" ht="16.5" x14ac:dyDescent="0.3">
      <c r="A19" s="6"/>
      <c r="B19" s="6" t="s">
        <v>467</v>
      </c>
      <c r="C19" s="85">
        <f>C9</f>
        <v>4998</v>
      </c>
      <c r="D19" s="85">
        <f>C13</f>
        <v>450</v>
      </c>
      <c r="E19" s="85">
        <f>C19-D19</f>
        <v>4548</v>
      </c>
      <c r="F19" s="6"/>
      <c r="G19" s="6"/>
      <c r="H19" s="6"/>
      <c r="I19" s="6"/>
      <c r="J19" s="6"/>
      <c r="K19" s="6"/>
      <c r="L19" s="6"/>
      <c r="M19" s="187"/>
      <c r="N19" s="187"/>
      <c r="Q19" s="9"/>
      <c r="R19" s="9" t="s">
        <v>467</v>
      </c>
      <c r="S19" s="160">
        <f>S7</f>
        <v>4998</v>
      </c>
      <c r="T19" s="160">
        <f>S13</f>
        <v>450</v>
      </c>
      <c r="U19" s="160">
        <f>S19-T19</f>
        <v>4548</v>
      </c>
      <c r="V19" s="9"/>
      <c r="W19" s="9"/>
      <c r="X19" s="9"/>
      <c r="Y19" s="9"/>
      <c r="Z19" s="9"/>
      <c r="AA19" s="9"/>
      <c r="AB19" s="9"/>
      <c r="AC19" s="10"/>
      <c r="AD19" s="10"/>
      <c r="AE19" s="10"/>
    </row>
    <row r="20" spans="1:31" ht="15" x14ac:dyDescent="0.25">
      <c r="A20" s="6"/>
      <c r="B20" s="6" t="s">
        <v>29</v>
      </c>
      <c r="C20" s="6">
        <f>C19/(1-2500*10^-6)</f>
        <v>5010.5263157894733</v>
      </c>
      <c r="D20" s="106">
        <f>SUM(D18:D19)</f>
        <v>462.51949377924029</v>
      </c>
      <c r="E20" s="6">
        <f>E19/(1-1.5*10^-6)</f>
        <v>4548.006822010233</v>
      </c>
      <c r="F20" s="6"/>
      <c r="G20" s="6"/>
      <c r="H20" s="6"/>
      <c r="I20" s="6"/>
      <c r="J20" s="6"/>
      <c r="K20" s="6"/>
      <c r="L20" s="6"/>
      <c r="M20" s="187"/>
      <c r="N20" s="187"/>
      <c r="Q20" s="9"/>
      <c r="R20" s="9" t="s">
        <v>29</v>
      </c>
      <c r="S20" s="9">
        <f>S19/(1-X6*10^-6)</f>
        <v>5010.5263157894733</v>
      </c>
      <c r="T20" s="107">
        <f>SUM(T18:T19)</f>
        <v>462.51949377924029</v>
      </c>
      <c r="U20" s="9">
        <f>U19/(1-X7*10^-6)</f>
        <v>4548.006822010233</v>
      </c>
      <c r="V20" s="9"/>
      <c r="W20" s="9"/>
      <c r="X20" s="9"/>
      <c r="Y20" s="9"/>
      <c r="Z20" s="9"/>
      <c r="AA20" s="9"/>
      <c r="AB20" s="9"/>
      <c r="AC20" s="10"/>
      <c r="AD20" s="10"/>
      <c r="AE20" s="10"/>
    </row>
    <row r="21" spans="1:31" ht="15" x14ac:dyDescent="0.25">
      <c r="A21" s="6"/>
      <c r="B21" s="6"/>
      <c r="C21" s="6"/>
      <c r="D21" s="6"/>
      <c r="E21" s="6"/>
      <c r="F21" s="6"/>
      <c r="G21" s="6"/>
      <c r="H21" s="6"/>
      <c r="I21" s="6"/>
      <c r="J21" s="6"/>
      <c r="K21" s="6"/>
      <c r="L21" s="6"/>
      <c r="M21" s="187"/>
      <c r="N21" s="187"/>
      <c r="Q21" s="9"/>
      <c r="R21" s="9"/>
      <c r="S21" s="9"/>
      <c r="T21" s="9"/>
      <c r="U21" s="9"/>
      <c r="V21" s="9"/>
      <c r="W21" s="9"/>
      <c r="X21" s="9"/>
      <c r="Y21" s="9"/>
      <c r="Z21" s="9"/>
      <c r="AA21" s="9"/>
      <c r="AB21" s="9"/>
      <c r="AC21" s="10"/>
      <c r="AD21" s="10"/>
      <c r="AE21" s="10"/>
    </row>
    <row r="22" spans="1:31" ht="16.5" x14ac:dyDescent="0.3">
      <c r="A22" s="6" t="s">
        <v>468</v>
      </c>
      <c r="B22" s="6"/>
      <c r="C22" s="6"/>
      <c r="D22" s="6"/>
      <c r="E22" s="6"/>
      <c r="F22" s="6"/>
      <c r="G22" s="6"/>
      <c r="H22" s="6"/>
      <c r="I22" s="6"/>
      <c r="J22" s="6"/>
      <c r="K22" s="6"/>
      <c r="L22" s="6"/>
      <c r="M22" s="187"/>
      <c r="N22" s="187"/>
      <c r="Q22" s="9" t="s">
        <v>468</v>
      </c>
      <c r="R22" s="9"/>
      <c r="S22" s="9"/>
      <c r="T22" s="9"/>
      <c r="U22" s="9"/>
      <c r="V22" s="9"/>
      <c r="W22" s="9"/>
      <c r="X22" s="9"/>
      <c r="Y22" s="9"/>
      <c r="Z22" s="9"/>
      <c r="AA22" s="9"/>
      <c r="AB22" s="9"/>
      <c r="AC22" s="10"/>
      <c r="AD22" s="10"/>
      <c r="AE22" s="10"/>
    </row>
    <row r="23" spans="1:31" ht="15" x14ac:dyDescent="0.25">
      <c r="A23" s="6"/>
      <c r="B23" s="6"/>
      <c r="C23" s="6"/>
      <c r="D23" s="6"/>
      <c r="E23" s="6"/>
      <c r="F23" s="6"/>
      <c r="G23" s="6"/>
      <c r="H23" s="6"/>
      <c r="I23" s="6"/>
      <c r="J23" s="6"/>
      <c r="K23" s="6"/>
      <c r="L23" s="6"/>
      <c r="M23" s="187"/>
      <c r="N23" s="187"/>
      <c r="Q23" s="9"/>
      <c r="R23" s="9"/>
      <c r="S23" s="9"/>
      <c r="T23" s="9"/>
      <c r="U23" s="9"/>
      <c r="V23" s="9"/>
      <c r="W23" s="9"/>
      <c r="X23" s="9"/>
      <c r="Y23" s="9"/>
      <c r="Z23" s="9"/>
      <c r="AA23" s="9"/>
      <c r="AB23" s="9"/>
      <c r="AC23" s="10"/>
      <c r="AD23" s="10"/>
      <c r="AE23" s="10"/>
    </row>
    <row r="24" spans="1:31" ht="16.5" x14ac:dyDescent="0.3">
      <c r="A24" s="6"/>
      <c r="B24" s="6" t="s">
        <v>469</v>
      </c>
      <c r="C24" s="6"/>
      <c r="D24" s="6"/>
      <c r="E24" s="6"/>
      <c r="F24" s="6"/>
      <c r="G24" s="6"/>
      <c r="H24" s="6"/>
      <c r="I24" s="6"/>
      <c r="J24" s="6"/>
      <c r="K24" s="6"/>
      <c r="L24" s="6"/>
      <c r="M24" s="187"/>
      <c r="N24" s="187"/>
      <c r="Q24" s="9"/>
      <c r="R24" s="9" t="s">
        <v>643</v>
      </c>
      <c r="S24" s="9"/>
      <c r="T24" s="9"/>
      <c r="U24" s="112">
        <f>T18</f>
        <v>12.519493779240292</v>
      </c>
      <c r="V24" s="108" t="s">
        <v>575</v>
      </c>
      <c r="W24" s="112">
        <f>S18</f>
        <v>12.526315789473301</v>
      </c>
      <c r="X24" s="9"/>
      <c r="Y24" s="9"/>
      <c r="Z24" s="9"/>
      <c r="AA24" s="9"/>
      <c r="AB24" s="9"/>
      <c r="AC24" s="10"/>
      <c r="AD24" s="10"/>
      <c r="AE24" s="10"/>
    </row>
    <row r="25" spans="1:31" ht="15" x14ac:dyDescent="0.25">
      <c r="A25" s="6"/>
      <c r="B25" s="6"/>
      <c r="C25" s="200">
        <f>D18/C18</f>
        <v>0.99945538573770099</v>
      </c>
      <c r="D25" s="6"/>
      <c r="E25" s="6"/>
      <c r="F25" s="6"/>
      <c r="G25" s="6"/>
      <c r="H25" s="6"/>
      <c r="I25" s="6"/>
      <c r="J25" s="6"/>
      <c r="K25" s="6"/>
      <c r="L25" s="6"/>
      <c r="M25" s="187"/>
      <c r="N25" s="187"/>
      <c r="Q25" s="9"/>
      <c r="R25" s="9"/>
      <c r="S25" s="202">
        <f>$T$18/$S$18</f>
        <v>0.99945538573770099</v>
      </c>
      <c r="T25" s="9"/>
      <c r="U25" s="9" t="s">
        <v>686</v>
      </c>
      <c r="V25" s="9"/>
      <c r="W25" s="9"/>
      <c r="X25" s="9"/>
      <c r="Y25" s="9"/>
      <c r="Z25" s="9"/>
      <c r="AA25" s="9"/>
      <c r="AB25" s="9"/>
      <c r="AC25" s="10"/>
      <c r="AD25" s="10"/>
      <c r="AE25" s="10"/>
    </row>
    <row r="26" spans="1:31" ht="15" x14ac:dyDescent="0.25">
      <c r="A26" s="6"/>
      <c r="B26" s="6"/>
      <c r="C26" s="6"/>
      <c r="D26" s="6"/>
      <c r="E26" s="6"/>
      <c r="F26" s="6"/>
      <c r="G26" s="6"/>
      <c r="H26" s="6"/>
      <c r="I26" s="6"/>
      <c r="J26" s="6"/>
      <c r="K26" s="6"/>
      <c r="L26" s="6"/>
      <c r="M26" s="187"/>
      <c r="N26" s="187"/>
      <c r="Q26" s="9"/>
      <c r="R26" s="9"/>
      <c r="S26" s="9"/>
      <c r="T26" s="9"/>
      <c r="U26" s="9"/>
      <c r="V26" s="9"/>
      <c r="W26" s="9"/>
      <c r="X26" s="9"/>
      <c r="Y26" s="9"/>
      <c r="Z26" s="9"/>
      <c r="AA26" s="9"/>
      <c r="AB26" s="9"/>
      <c r="AC26" s="10"/>
      <c r="AD26" s="10"/>
      <c r="AE26" s="10"/>
    </row>
    <row r="27" spans="1:31" ht="15" x14ac:dyDescent="0.25">
      <c r="A27" s="11" t="s">
        <v>340</v>
      </c>
      <c r="B27" s="11"/>
      <c r="C27" s="11"/>
      <c r="D27" s="11"/>
      <c r="E27" s="11"/>
      <c r="F27" s="11"/>
      <c r="G27" s="11"/>
      <c r="H27" s="11"/>
      <c r="I27" s="11"/>
      <c r="J27" s="6"/>
      <c r="K27" s="6"/>
      <c r="L27" s="6"/>
      <c r="M27" s="187"/>
      <c r="N27" s="187"/>
      <c r="Q27" s="33" t="s">
        <v>340</v>
      </c>
      <c r="R27" s="33"/>
      <c r="S27" s="33"/>
      <c r="T27" s="33"/>
      <c r="U27" s="33"/>
      <c r="V27" s="33"/>
      <c r="W27" s="33"/>
      <c r="X27" s="33"/>
      <c r="Y27" s="33"/>
      <c r="Z27" s="9"/>
      <c r="AA27" s="9"/>
      <c r="AB27" s="9"/>
      <c r="AC27" s="10"/>
      <c r="AD27" s="10"/>
      <c r="AE27" s="10"/>
    </row>
    <row r="28" spans="1:31" ht="15" x14ac:dyDescent="0.25">
      <c r="A28" s="11"/>
      <c r="B28" s="11"/>
      <c r="C28" s="11"/>
      <c r="D28" s="11"/>
      <c r="E28" s="11"/>
      <c r="F28" s="11"/>
      <c r="G28" s="11"/>
      <c r="H28" s="11"/>
      <c r="I28" s="11"/>
      <c r="J28" s="6"/>
      <c r="K28" s="6"/>
      <c r="L28" s="6"/>
      <c r="M28" s="187"/>
      <c r="N28" s="187"/>
      <c r="Q28" s="33"/>
      <c r="R28" s="33"/>
      <c r="S28" s="33"/>
      <c r="T28" s="33"/>
      <c r="U28" s="33"/>
      <c r="V28" s="33"/>
      <c r="W28" s="33"/>
      <c r="X28" s="33"/>
      <c r="Y28" s="33"/>
      <c r="Z28" s="9"/>
      <c r="AA28" s="9"/>
      <c r="AB28" s="9"/>
      <c r="AC28" s="10"/>
      <c r="AD28" s="10"/>
      <c r="AE28" s="10"/>
    </row>
    <row r="29" spans="1:31" ht="15" x14ac:dyDescent="0.25">
      <c r="A29" s="6"/>
      <c r="B29" s="6"/>
      <c r="C29" s="6"/>
      <c r="D29" s="6"/>
      <c r="E29" s="6"/>
      <c r="F29" s="6"/>
      <c r="G29" s="6"/>
      <c r="H29" s="6"/>
      <c r="I29" s="6"/>
      <c r="J29" s="6"/>
      <c r="K29" s="6"/>
      <c r="L29" s="6"/>
      <c r="M29" s="187"/>
      <c r="N29" s="187"/>
      <c r="Q29" s="9"/>
      <c r="R29" s="9"/>
      <c r="S29" s="9"/>
      <c r="T29" s="9"/>
      <c r="U29" s="9"/>
      <c r="V29" s="9"/>
      <c r="W29" s="9"/>
      <c r="X29" s="9"/>
      <c r="Y29" s="9"/>
      <c r="Z29" s="9"/>
      <c r="AA29" s="9"/>
      <c r="AB29" s="9"/>
      <c r="AC29" s="10"/>
      <c r="AD29" s="10"/>
      <c r="AE29" s="10"/>
    </row>
    <row r="30" spans="1:31" ht="16.5" x14ac:dyDescent="0.3">
      <c r="A30" s="6"/>
      <c r="B30" s="6" t="s">
        <v>470</v>
      </c>
      <c r="C30" s="6"/>
      <c r="D30" s="6"/>
      <c r="E30" s="6"/>
      <c r="F30" s="6"/>
      <c r="G30" s="6"/>
      <c r="H30" s="6"/>
      <c r="I30" s="6"/>
      <c r="J30" s="6"/>
      <c r="K30" s="6"/>
      <c r="L30" s="6"/>
      <c r="M30" s="187"/>
      <c r="N30" s="187"/>
      <c r="Q30" s="9"/>
      <c r="R30" s="9" t="s">
        <v>642</v>
      </c>
      <c r="S30" s="9"/>
      <c r="T30" s="9"/>
      <c r="U30" s="22">
        <f>T19</f>
        <v>450</v>
      </c>
      <c r="V30" s="108" t="s">
        <v>575</v>
      </c>
      <c r="W30" s="112">
        <f>T20</f>
        <v>462.51949377924029</v>
      </c>
      <c r="X30" s="9"/>
      <c r="Y30" s="9"/>
      <c r="Z30" s="9"/>
      <c r="AA30" s="9"/>
      <c r="AB30" s="9"/>
      <c r="AC30" s="10"/>
      <c r="AD30" s="10"/>
      <c r="AE30" s="10"/>
    </row>
    <row r="31" spans="1:31" ht="15" x14ac:dyDescent="0.25">
      <c r="A31" s="6"/>
      <c r="B31" s="6"/>
      <c r="C31" s="106">
        <f>D19/D20</f>
        <v>0.97293196514390412</v>
      </c>
      <c r="D31" s="6"/>
      <c r="E31" s="6"/>
      <c r="F31" s="6"/>
      <c r="G31" s="6"/>
      <c r="H31" s="6"/>
      <c r="I31" s="6"/>
      <c r="J31" s="6"/>
      <c r="K31" s="6"/>
      <c r="L31" s="6"/>
      <c r="M31" s="187"/>
      <c r="N31" s="187"/>
      <c r="Q31" s="9"/>
      <c r="R31" s="9"/>
      <c r="S31" s="9"/>
      <c r="T31" s="9"/>
      <c r="U31" s="22"/>
      <c r="V31" s="108"/>
      <c r="W31" s="112"/>
      <c r="X31" s="9"/>
      <c r="Y31" s="9"/>
      <c r="Z31" s="9"/>
      <c r="AA31" s="9"/>
      <c r="AB31" s="9"/>
      <c r="AC31" s="10"/>
      <c r="AD31" s="10"/>
      <c r="AE31" s="10"/>
    </row>
    <row r="32" spans="1:31" ht="15" x14ac:dyDescent="0.25">
      <c r="A32" s="6"/>
      <c r="B32" s="6"/>
      <c r="C32" s="6"/>
      <c r="D32" s="6"/>
      <c r="E32" s="6"/>
      <c r="F32" s="6"/>
      <c r="G32" s="6"/>
      <c r="H32" s="6"/>
      <c r="I32" s="6"/>
      <c r="J32" s="6"/>
      <c r="K32" s="6"/>
      <c r="L32" s="6"/>
      <c r="M32" s="187"/>
      <c r="N32" s="187"/>
      <c r="Q32" s="9"/>
      <c r="R32" s="9"/>
      <c r="S32" s="107">
        <f>T19/T20</f>
        <v>0.97293196514390412</v>
      </c>
      <c r="T32" s="9"/>
      <c r="U32" s="9"/>
      <c r="V32" s="9"/>
      <c r="W32" s="9"/>
      <c r="X32" s="9"/>
      <c r="Y32" s="9"/>
      <c r="Z32" s="9"/>
      <c r="AA32" s="9"/>
      <c r="AB32" s="9"/>
      <c r="AC32" s="10"/>
      <c r="AD32" s="10"/>
      <c r="AE32" s="10"/>
    </row>
    <row r="33" spans="1:31" ht="16.5" x14ac:dyDescent="0.3">
      <c r="A33" s="6"/>
      <c r="B33" s="6" t="s">
        <v>471</v>
      </c>
      <c r="C33" s="6"/>
      <c r="D33" s="6"/>
      <c r="E33" s="6"/>
      <c r="F33" s="6"/>
      <c r="G33" s="6"/>
      <c r="H33" s="6"/>
      <c r="I33" s="6"/>
      <c r="J33" s="6"/>
      <c r="K33" s="6"/>
      <c r="L33" s="6"/>
      <c r="M33" s="187"/>
      <c r="N33" s="187"/>
      <c r="Q33" s="9"/>
      <c r="R33" s="9"/>
      <c r="S33" s="9"/>
      <c r="T33" s="9"/>
      <c r="U33" s="9"/>
      <c r="V33" s="9"/>
      <c r="W33" s="9"/>
      <c r="X33" s="9"/>
      <c r="Y33" s="9"/>
      <c r="Z33" s="9"/>
      <c r="AA33" s="9"/>
      <c r="AB33" s="9"/>
      <c r="AC33" s="10"/>
      <c r="AD33" s="10"/>
      <c r="AE33" s="10"/>
    </row>
    <row r="34" spans="1:31" ht="16.5" x14ac:dyDescent="0.3">
      <c r="A34" s="6"/>
      <c r="B34" s="6"/>
      <c r="C34" s="6"/>
      <c r="D34" s="6"/>
      <c r="E34" s="6"/>
      <c r="F34" s="6"/>
      <c r="G34" s="6"/>
      <c r="H34" s="6"/>
      <c r="I34" s="6"/>
      <c r="J34" s="6"/>
      <c r="K34" s="6"/>
      <c r="L34" s="6"/>
      <c r="M34" s="187"/>
      <c r="N34" s="187"/>
      <c r="Q34" s="9"/>
      <c r="R34" s="9" t="s">
        <v>641</v>
      </c>
      <c r="S34" s="9"/>
      <c r="T34" s="9"/>
      <c r="U34" s="112">
        <f>S32</f>
        <v>0.97293196514390412</v>
      </c>
      <c r="V34" s="22" t="s">
        <v>573</v>
      </c>
      <c r="W34" s="22">
        <f>AB6</f>
        <v>21</v>
      </c>
      <c r="X34" s="9"/>
      <c r="Y34" s="9"/>
      <c r="Z34" s="9"/>
      <c r="AA34" s="9"/>
      <c r="AB34" s="9"/>
      <c r="AC34" s="10"/>
      <c r="AD34" s="10"/>
      <c r="AE34" s="10"/>
    </row>
    <row r="35" spans="1:31" ht="15" x14ac:dyDescent="0.25">
      <c r="A35" s="6"/>
      <c r="B35" s="6"/>
      <c r="C35" s="106">
        <f>C31*21</f>
        <v>20.431571268021987</v>
      </c>
      <c r="D35" s="6" t="s">
        <v>309</v>
      </c>
      <c r="E35" s="6"/>
      <c r="F35" s="6"/>
      <c r="G35" s="6"/>
      <c r="H35" s="6"/>
      <c r="I35" s="6"/>
      <c r="J35" s="6"/>
      <c r="K35" s="6"/>
      <c r="L35" s="6"/>
      <c r="M35" s="187"/>
      <c r="N35" s="187"/>
      <c r="Q35" s="9"/>
      <c r="R35" s="9"/>
      <c r="S35" s="9"/>
      <c r="T35" s="9"/>
      <c r="U35" s="9"/>
      <c r="V35" s="9"/>
      <c r="W35" s="9"/>
      <c r="X35" s="9"/>
      <c r="Y35" s="9"/>
      <c r="Z35" s="9"/>
      <c r="AA35" s="9"/>
      <c r="AB35" s="9"/>
      <c r="AC35" s="10"/>
      <c r="AD35" s="10"/>
      <c r="AE35" s="10"/>
    </row>
    <row r="36" spans="1:31" ht="15" x14ac:dyDescent="0.25">
      <c r="A36" s="6"/>
      <c r="B36" s="6"/>
      <c r="C36" s="6"/>
      <c r="D36" s="6"/>
      <c r="E36" s="6"/>
      <c r="F36" s="6"/>
      <c r="G36" s="6"/>
      <c r="H36" s="6"/>
      <c r="I36" s="6"/>
      <c r="J36" s="6"/>
      <c r="K36" s="6"/>
      <c r="L36" s="6"/>
      <c r="M36" s="187"/>
      <c r="N36" s="187"/>
      <c r="Q36" s="9"/>
      <c r="R36" s="9"/>
      <c r="S36" s="107">
        <f>S32*AB6</f>
        <v>20.431571268021987</v>
      </c>
      <c r="T36" s="9" t="s">
        <v>309</v>
      </c>
      <c r="U36" s="9" t="s">
        <v>687</v>
      </c>
      <c r="V36" s="9"/>
      <c r="W36" s="9"/>
      <c r="X36" s="9"/>
      <c r="Y36" s="9"/>
      <c r="Z36" s="9"/>
      <c r="AA36" s="9"/>
      <c r="AB36" s="9"/>
      <c r="AC36" s="10"/>
      <c r="AD36" s="10"/>
      <c r="AE36" s="10"/>
    </row>
    <row r="37" spans="1:31" ht="15" x14ac:dyDescent="0.25">
      <c r="A37" s="6"/>
      <c r="B37" s="6" t="s">
        <v>346</v>
      </c>
      <c r="C37" s="6"/>
      <c r="D37" s="6"/>
      <c r="E37" s="6"/>
      <c r="F37" s="6"/>
      <c r="G37" s="6"/>
      <c r="H37" s="6"/>
      <c r="I37" s="6"/>
      <c r="J37" s="6"/>
      <c r="K37" s="6"/>
      <c r="L37" s="6"/>
      <c r="M37" s="187"/>
      <c r="N37" s="187"/>
      <c r="Q37" s="9"/>
      <c r="R37" s="9"/>
      <c r="S37" s="9"/>
      <c r="T37" s="9"/>
      <c r="U37" s="9"/>
      <c r="V37" s="9"/>
      <c r="W37" s="9"/>
      <c r="X37" s="9"/>
      <c r="Y37" s="9"/>
      <c r="Z37" s="9"/>
      <c r="AA37" s="9"/>
      <c r="AB37" s="9"/>
      <c r="AC37" s="10"/>
      <c r="AD37" s="10"/>
      <c r="AE37" s="10"/>
    </row>
    <row r="38" spans="1:31" ht="15" x14ac:dyDescent="0.25">
      <c r="A38" s="6"/>
      <c r="B38" s="6"/>
      <c r="C38" s="6"/>
      <c r="D38" s="6"/>
      <c r="E38" s="6"/>
      <c r="F38" s="6"/>
      <c r="G38" s="6"/>
      <c r="H38" s="6"/>
      <c r="I38" s="6"/>
      <c r="J38" s="6"/>
      <c r="K38" s="6"/>
      <c r="L38" s="6"/>
      <c r="M38" s="187"/>
      <c r="N38" s="187"/>
      <c r="Q38" s="9"/>
      <c r="R38" s="82" t="s">
        <v>526</v>
      </c>
      <c r="S38" s="9"/>
      <c r="T38" s="9"/>
      <c r="U38" s="9"/>
      <c r="V38" s="9"/>
      <c r="W38" s="9"/>
      <c r="X38" s="9"/>
      <c r="Y38" s="9"/>
      <c r="Z38" s="9"/>
      <c r="AA38" s="9"/>
      <c r="AB38" s="9"/>
      <c r="AC38" s="10"/>
      <c r="AD38" s="10"/>
      <c r="AE38" s="10"/>
    </row>
    <row r="39" spans="1:31" ht="16.5" x14ac:dyDescent="0.3">
      <c r="A39" s="6" t="s">
        <v>472</v>
      </c>
      <c r="B39" s="6"/>
      <c r="C39" s="6"/>
      <c r="D39" s="6"/>
      <c r="E39" s="6"/>
      <c r="F39" s="6"/>
      <c r="G39" s="6"/>
      <c r="H39" s="6"/>
      <c r="I39" s="6"/>
      <c r="J39" s="6"/>
      <c r="K39" s="6"/>
      <c r="L39" s="6"/>
      <c r="M39" s="187"/>
      <c r="N39" s="187"/>
      <c r="Q39" s="9"/>
      <c r="R39" s="9"/>
      <c r="S39" s="9"/>
      <c r="T39" s="9"/>
      <c r="U39" s="9"/>
      <c r="V39" s="9"/>
      <c r="W39" s="9"/>
      <c r="X39" s="9"/>
      <c r="Y39" s="9"/>
      <c r="Z39" s="9"/>
      <c r="AA39" s="9"/>
      <c r="AB39" s="9"/>
      <c r="AC39" s="10"/>
      <c r="AD39" s="10"/>
      <c r="AE39" s="10"/>
    </row>
    <row r="40" spans="1:31" ht="16.5" x14ac:dyDescent="0.3">
      <c r="A40" s="6"/>
      <c r="B40" s="6"/>
      <c r="C40" s="6"/>
      <c r="D40" s="6"/>
      <c r="E40" s="6"/>
      <c r="F40" s="6"/>
      <c r="G40" s="6"/>
      <c r="H40" s="6"/>
      <c r="I40" s="6"/>
      <c r="J40" s="6"/>
      <c r="K40" s="6"/>
      <c r="L40" s="6"/>
      <c r="M40" s="187"/>
      <c r="N40" s="187"/>
      <c r="Q40" s="9"/>
      <c r="R40" s="9" t="s">
        <v>482</v>
      </c>
      <c r="S40" s="233">
        <v>229</v>
      </c>
      <c r="T40" s="105" t="s">
        <v>508</v>
      </c>
      <c r="U40" s="9"/>
      <c r="V40" s="9"/>
      <c r="W40" s="9"/>
      <c r="X40" s="9"/>
      <c r="Y40" s="9"/>
      <c r="Z40" s="9"/>
      <c r="AA40" s="9"/>
      <c r="AB40" s="9"/>
      <c r="AC40" s="10"/>
      <c r="AD40" s="10"/>
      <c r="AE40" s="10"/>
    </row>
    <row r="41" spans="1:31" ht="15" x14ac:dyDescent="0.25">
      <c r="A41" s="6"/>
      <c r="B41" s="6" t="s">
        <v>341</v>
      </c>
      <c r="C41" s="6"/>
      <c r="D41" s="6"/>
      <c r="E41" s="6"/>
      <c r="F41" s="6"/>
      <c r="G41" s="6"/>
      <c r="H41" s="6"/>
      <c r="I41" s="6"/>
      <c r="J41" s="6"/>
      <c r="K41" s="6"/>
      <c r="L41" s="6"/>
      <c r="M41" s="187"/>
      <c r="N41" s="187"/>
      <c r="Q41" s="9"/>
      <c r="R41" s="9"/>
      <c r="S41" s="9"/>
      <c r="T41" s="9"/>
      <c r="U41" s="9"/>
      <c r="V41" s="9"/>
      <c r="W41" s="9"/>
      <c r="X41" s="9"/>
      <c r="Y41" s="9"/>
      <c r="Z41" s="9"/>
      <c r="AA41" s="9"/>
      <c r="AB41" s="9"/>
      <c r="AC41" s="10"/>
      <c r="AD41" s="10"/>
      <c r="AE41" s="10"/>
    </row>
    <row r="42" spans="1:31" ht="16.5" x14ac:dyDescent="0.3">
      <c r="A42" s="6"/>
      <c r="B42" s="6"/>
      <c r="C42" s="6"/>
      <c r="D42" s="6"/>
      <c r="E42" s="6"/>
      <c r="F42" s="6"/>
      <c r="G42" s="6"/>
      <c r="H42" s="6"/>
      <c r="I42" s="6"/>
      <c r="J42" s="6"/>
      <c r="K42" s="6"/>
      <c r="L42" s="6"/>
      <c r="M42" s="187"/>
      <c r="N42" s="187"/>
      <c r="Q42" s="9" t="s">
        <v>647</v>
      </c>
      <c r="R42" s="9"/>
      <c r="S42" s="9"/>
      <c r="T42" s="9"/>
      <c r="U42" s="9"/>
      <c r="V42" s="9"/>
      <c r="W42" s="9"/>
      <c r="X42" s="9"/>
      <c r="Y42" s="9"/>
      <c r="Z42" s="9"/>
      <c r="AA42" s="9"/>
      <c r="AB42" s="9"/>
      <c r="AC42" s="10"/>
      <c r="AD42" s="10"/>
      <c r="AE42" s="10"/>
    </row>
    <row r="43" spans="1:31" ht="16.5" x14ac:dyDescent="0.3">
      <c r="A43" s="6"/>
      <c r="B43" s="85" t="s">
        <v>347</v>
      </c>
      <c r="C43" s="85" t="s">
        <v>648</v>
      </c>
      <c r="D43" s="6"/>
      <c r="E43" s="6"/>
      <c r="F43" s="6"/>
      <c r="G43" s="6"/>
      <c r="H43" s="6"/>
      <c r="I43" s="6"/>
      <c r="J43" s="6"/>
      <c r="K43" s="6"/>
      <c r="L43" s="6"/>
      <c r="M43" s="187"/>
      <c r="N43" s="187"/>
      <c r="Q43" s="9"/>
      <c r="R43" s="9"/>
      <c r="S43" s="9"/>
      <c r="T43" s="9"/>
      <c r="U43" s="9"/>
      <c r="V43" s="9"/>
      <c r="W43" s="9"/>
      <c r="X43" s="9"/>
      <c r="Y43" s="9"/>
      <c r="Z43" s="9"/>
      <c r="AA43" s="9"/>
      <c r="AB43" s="9"/>
      <c r="AC43" s="10"/>
      <c r="AD43" s="10"/>
      <c r="AE43" s="10"/>
    </row>
    <row r="44" spans="1:31" ht="15" x14ac:dyDescent="0.25">
      <c r="A44" s="6"/>
      <c r="B44" s="6">
        <v>100</v>
      </c>
      <c r="C44" s="6">
        <f>1.1*10^4</f>
        <v>11000</v>
      </c>
      <c r="D44" s="6"/>
      <c r="E44" s="6"/>
      <c r="F44" s="6"/>
      <c r="G44" s="6"/>
      <c r="H44" s="6"/>
      <c r="I44" s="6"/>
      <c r="J44" s="6"/>
      <c r="K44" s="6"/>
      <c r="L44" s="6"/>
      <c r="M44" s="187"/>
      <c r="N44" s="187"/>
      <c r="Q44" s="9"/>
      <c r="R44" s="9" t="s">
        <v>341</v>
      </c>
      <c r="S44" s="9"/>
      <c r="T44" s="9"/>
      <c r="U44" s="9"/>
      <c r="V44" s="9"/>
      <c r="W44" s="9"/>
      <c r="X44" s="9"/>
      <c r="Y44" s="9"/>
      <c r="Z44" s="9"/>
      <c r="AA44" s="9"/>
      <c r="AB44" s="9"/>
      <c r="AC44" s="10"/>
      <c r="AD44" s="10"/>
      <c r="AE44" s="10"/>
    </row>
    <row r="45" spans="1:31" ht="15" x14ac:dyDescent="0.25">
      <c r="A45" s="6"/>
      <c r="B45" s="6">
        <v>200</v>
      </c>
      <c r="C45" s="6">
        <f>1.82*10^4</f>
        <v>18200</v>
      </c>
      <c r="D45" s="6"/>
      <c r="E45" s="6"/>
      <c r="F45" s="6"/>
      <c r="G45" s="6"/>
      <c r="H45" s="6"/>
      <c r="I45" s="6"/>
      <c r="J45" s="6"/>
      <c r="K45" s="6"/>
      <c r="L45" s="6"/>
      <c r="M45" s="187"/>
      <c r="N45" s="187"/>
      <c r="Q45" s="9"/>
      <c r="R45" s="9"/>
      <c r="S45" s="9"/>
      <c r="T45" s="9"/>
      <c r="U45" s="9"/>
      <c r="V45" s="9"/>
      <c r="W45" s="9"/>
      <c r="X45" s="9"/>
      <c r="Y45" s="9"/>
      <c r="Z45" s="9"/>
      <c r="AA45" s="9"/>
      <c r="AB45" s="9"/>
      <c r="AC45" s="10"/>
      <c r="AD45" s="10"/>
      <c r="AE45" s="10"/>
    </row>
    <row r="46" spans="1:31" ht="16.5" x14ac:dyDescent="0.3">
      <c r="A46" s="6"/>
      <c r="B46" s="6">
        <v>300</v>
      </c>
      <c r="C46" s="6">
        <f>2.6*10^4</f>
        <v>26000</v>
      </c>
      <c r="D46" s="6"/>
      <c r="E46" s="6"/>
      <c r="F46" s="6"/>
      <c r="G46" s="6"/>
      <c r="H46" s="6"/>
      <c r="I46" s="6"/>
      <c r="J46" s="6"/>
      <c r="K46" s="6"/>
      <c r="L46" s="6"/>
      <c r="M46" s="187"/>
      <c r="N46" s="187"/>
      <c r="Q46" s="9"/>
      <c r="R46" s="160" t="s">
        <v>347</v>
      </c>
      <c r="S46" s="160" t="s">
        <v>648</v>
      </c>
      <c r="T46" s="9"/>
      <c r="U46" s="9"/>
      <c r="V46" s="9"/>
      <c r="W46" s="9"/>
      <c r="X46" s="9"/>
      <c r="Y46" s="9"/>
      <c r="Z46" s="9"/>
      <c r="AA46" s="9"/>
      <c r="AB46" s="9"/>
      <c r="AC46" s="10"/>
      <c r="AD46" s="10"/>
      <c r="AE46" s="10"/>
    </row>
    <row r="47" spans="1:31" ht="15" x14ac:dyDescent="0.25">
      <c r="A47" s="6"/>
      <c r="B47" s="6"/>
      <c r="C47" s="6"/>
      <c r="D47" s="6"/>
      <c r="E47" s="6"/>
      <c r="F47" s="6"/>
      <c r="G47" s="6"/>
      <c r="H47" s="6"/>
      <c r="I47" s="6"/>
      <c r="J47" s="6"/>
      <c r="K47" s="6"/>
      <c r="L47" s="6"/>
      <c r="M47" s="187"/>
      <c r="N47" s="187"/>
      <c r="Q47" s="9"/>
      <c r="R47" s="9">
        <v>100</v>
      </c>
      <c r="S47" s="9">
        <f>1.1*10^4</f>
        <v>11000</v>
      </c>
      <c r="T47" s="9"/>
      <c r="U47" s="9"/>
      <c r="V47" s="9" t="s">
        <v>527</v>
      </c>
      <c r="W47" s="9">
        <f>SLOPE(S47:S49,R47:R49)</f>
        <v>75</v>
      </c>
      <c r="X47" s="9"/>
      <c r="Y47" s="9"/>
      <c r="Z47" s="9"/>
      <c r="AA47" s="9"/>
      <c r="AB47" s="9"/>
      <c r="AC47" s="10"/>
      <c r="AD47" s="10"/>
      <c r="AE47" s="10"/>
    </row>
    <row r="48" spans="1:31" ht="18" x14ac:dyDescent="0.25">
      <c r="A48" s="6"/>
      <c r="B48" s="6" t="s">
        <v>473</v>
      </c>
      <c r="C48" s="6"/>
      <c r="D48" s="6"/>
      <c r="E48" s="6"/>
      <c r="F48" s="6"/>
      <c r="G48" s="6"/>
      <c r="H48" s="6"/>
      <c r="I48" s="6"/>
      <c r="J48" s="6"/>
      <c r="K48" s="6"/>
      <c r="L48" s="6"/>
      <c r="M48" s="187"/>
      <c r="N48" s="187"/>
      <c r="Q48" s="9"/>
      <c r="R48" s="9">
        <v>200</v>
      </c>
      <c r="S48" s="9">
        <f>1.82*10^4</f>
        <v>18200</v>
      </c>
      <c r="T48" s="9"/>
      <c r="U48" s="9"/>
      <c r="V48" s="9" t="s">
        <v>477</v>
      </c>
      <c r="W48" s="9">
        <f>INTERCEPT(S47:S49,R47:R49)</f>
        <v>3400</v>
      </c>
      <c r="X48" s="9"/>
      <c r="Y48" s="9"/>
      <c r="Z48" s="9"/>
      <c r="AA48" s="9"/>
      <c r="AB48" s="9"/>
      <c r="AC48" s="10"/>
      <c r="AD48" s="10"/>
      <c r="AE48" s="10"/>
    </row>
    <row r="49" spans="1:31" ht="15" x14ac:dyDescent="0.25">
      <c r="A49" s="6"/>
      <c r="B49" s="6"/>
      <c r="C49" s="6"/>
      <c r="D49" s="6"/>
      <c r="E49" s="6"/>
      <c r="F49" s="6"/>
      <c r="G49" s="6"/>
      <c r="H49" s="6"/>
      <c r="I49" s="6"/>
      <c r="J49" s="6"/>
      <c r="K49" s="6"/>
      <c r="L49" s="6"/>
      <c r="M49" s="187"/>
      <c r="N49" s="187"/>
      <c r="Q49" s="9"/>
      <c r="R49" s="9">
        <v>300</v>
      </c>
      <c r="S49" s="9">
        <f>2.6*10^4</f>
        <v>26000</v>
      </c>
      <c r="T49" s="9"/>
      <c r="U49" s="9"/>
      <c r="V49" s="9" t="s">
        <v>153</v>
      </c>
      <c r="W49" s="9">
        <f>W47*S40+W48</f>
        <v>20575</v>
      </c>
      <c r="X49" s="9" t="s">
        <v>528</v>
      </c>
      <c r="Y49" s="9"/>
      <c r="Z49" s="9"/>
      <c r="AA49" s="9"/>
      <c r="AB49" s="9"/>
      <c r="AC49" s="10"/>
      <c r="AD49" s="10"/>
      <c r="AE49" s="10"/>
    </row>
    <row r="50" spans="1:31" ht="15" x14ac:dyDescent="0.25">
      <c r="A50" s="6"/>
      <c r="B50" s="6" t="s">
        <v>156</v>
      </c>
      <c r="C50" s="111">
        <f>(2.05*10^4)/21</f>
        <v>976.19047619047615</v>
      </c>
      <c r="D50" s="6"/>
      <c r="E50" s="6"/>
      <c r="F50" s="6"/>
      <c r="G50" s="6"/>
      <c r="H50" s="6"/>
      <c r="I50" s="6"/>
      <c r="J50" s="6"/>
      <c r="K50" s="6"/>
      <c r="L50" s="6"/>
      <c r="M50" s="187"/>
      <c r="N50" s="187"/>
      <c r="Q50" s="9"/>
      <c r="R50" s="9"/>
      <c r="S50" s="9"/>
      <c r="T50" s="9"/>
      <c r="U50" s="9"/>
      <c r="V50" s="9"/>
      <c r="W50" s="9"/>
      <c r="X50" s="9"/>
      <c r="Y50" s="9"/>
      <c r="Z50" s="9"/>
      <c r="AA50" s="9"/>
      <c r="AB50" s="9"/>
      <c r="AC50" s="10"/>
      <c r="AD50" s="10"/>
      <c r="AE50" s="10"/>
    </row>
    <row r="51" spans="1:31" ht="15.75" customHeight="1" x14ac:dyDescent="0.3">
      <c r="A51" s="6"/>
      <c r="B51" s="6"/>
      <c r="C51" s="6"/>
      <c r="D51" s="6"/>
      <c r="E51" s="6"/>
      <c r="F51" s="6"/>
      <c r="G51" s="6"/>
      <c r="H51" s="6"/>
      <c r="I51" s="6"/>
      <c r="J51" s="6"/>
      <c r="K51" s="6"/>
      <c r="L51" s="6"/>
      <c r="M51" s="187"/>
      <c r="N51" s="187"/>
      <c r="Q51" s="82" t="s">
        <v>530</v>
      </c>
      <c r="R51" s="10"/>
      <c r="S51" s="9"/>
      <c r="T51" s="9"/>
      <c r="U51" s="9"/>
      <c r="V51" s="9"/>
      <c r="W51" s="9"/>
      <c r="X51" s="9"/>
      <c r="Y51" s="9"/>
      <c r="Z51" s="9"/>
      <c r="AA51" s="9"/>
      <c r="AB51" s="9"/>
      <c r="AC51" s="10"/>
      <c r="AD51" s="10"/>
      <c r="AE51" s="10"/>
    </row>
    <row r="52" spans="1:31" ht="15" x14ac:dyDescent="0.25">
      <c r="A52" s="6" t="s">
        <v>342</v>
      </c>
      <c r="B52" s="6"/>
      <c r="C52" s="6"/>
      <c r="D52" s="6"/>
      <c r="E52" s="6"/>
      <c r="F52" s="6"/>
      <c r="G52" s="6"/>
      <c r="H52" s="6"/>
      <c r="I52" s="6"/>
      <c r="J52" s="6"/>
      <c r="K52" s="6"/>
      <c r="L52" s="6"/>
      <c r="M52" s="187"/>
      <c r="N52" s="187"/>
      <c r="Q52" s="82"/>
      <c r="R52" s="10"/>
      <c r="S52" s="9"/>
      <c r="T52" s="9"/>
      <c r="U52" s="9"/>
      <c r="V52" s="9"/>
      <c r="W52" s="9"/>
      <c r="X52" s="9"/>
      <c r="Y52" s="9"/>
      <c r="Z52" s="9"/>
      <c r="AA52" s="9"/>
      <c r="AB52" s="9"/>
      <c r="AC52" s="10"/>
      <c r="AD52" s="10"/>
      <c r="AE52" s="10"/>
    </row>
    <row r="53" spans="1:31" ht="15" x14ac:dyDescent="0.25">
      <c r="A53" s="6"/>
      <c r="B53" s="6"/>
      <c r="C53" s="6"/>
      <c r="D53" s="6"/>
      <c r="E53" s="6"/>
      <c r="F53" s="6"/>
      <c r="G53" s="6"/>
      <c r="H53" s="6"/>
      <c r="I53" s="6"/>
      <c r="J53" s="6"/>
      <c r="K53" s="6"/>
      <c r="L53" s="6"/>
      <c r="M53" s="187"/>
      <c r="N53" s="187"/>
      <c r="Q53" s="82"/>
      <c r="R53" s="10" t="s">
        <v>644</v>
      </c>
      <c r="S53" s="22">
        <f>W49</f>
        <v>20575</v>
      </c>
      <c r="T53" s="108" t="s">
        <v>575</v>
      </c>
      <c r="U53" s="22">
        <f>AB6</f>
        <v>21</v>
      </c>
      <c r="V53" s="9"/>
      <c r="W53" s="9"/>
      <c r="X53" s="9"/>
      <c r="Y53" s="9"/>
      <c r="Z53" s="9"/>
      <c r="AA53" s="9"/>
      <c r="AB53" s="9"/>
      <c r="AC53" s="10"/>
      <c r="AD53" s="10"/>
      <c r="AE53" s="10"/>
    </row>
    <row r="54" spans="1:31" ht="15" x14ac:dyDescent="0.25">
      <c r="A54" s="6"/>
      <c r="B54" s="6" t="s">
        <v>198</v>
      </c>
      <c r="C54" s="111">
        <f>D18/34+D19/18</f>
        <v>25.368220405271774</v>
      </c>
      <c r="D54" s="6" t="s">
        <v>343</v>
      </c>
      <c r="E54" s="6"/>
      <c r="F54" s="6"/>
      <c r="G54" s="6"/>
      <c r="H54" s="6"/>
      <c r="I54" s="6"/>
      <c r="J54" s="6"/>
      <c r="K54" s="6"/>
      <c r="L54" s="6"/>
      <c r="M54" s="187"/>
      <c r="N54" s="187"/>
      <c r="Q54" s="9"/>
      <c r="R54" s="9"/>
      <c r="S54" s="9"/>
      <c r="T54" s="9"/>
      <c r="U54" s="9"/>
      <c r="V54" s="9"/>
      <c r="W54" s="9"/>
      <c r="X54" s="9"/>
      <c r="Y54" s="9"/>
      <c r="Z54" s="9"/>
      <c r="AA54" s="9"/>
      <c r="AB54" s="9"/>
      <c r="AC54" s="10"/>
      <c r="AD54" s="10"/>
      <c r="AE54" s="10"/>
    </row>
    <row r="55" spans="1:31" ht="15" x14ac:dyDescent="0.25">
      <c r="A55" s="6"/>
      <c r="B55" s="6"/>
      <c r="C55" s="6"/>
      <c r="D55" s="6"/>
      <c r="E55" s="6"/>
      <c r="F55" s="6"/>
      <c r="G55" s="6"/>
      <c r="H55" s="6"/>
      <c r="I55" s="6"/>
      <c r="J55" s="6"/>
      <c r="K55" s="6"/>
      <c r="L55" s="6"/>
      <c r="M55" s="187"/>
      <c r="N55" s="187"/>
      <c r="Q55" s="9"/>
      <c r="R55" s="9" t="s">
        <v>156</v>
      </c>
      <c r="S55" s="30">
        <f>(W47*S40+W48)/AB6</f>
        <v>979.76190476190482</v>
      </c>
      <c r="T55" s="9"/>
      <c r="U55" s="9"/>
      <c r="V55" s="9"/>
      <c r="W55" s="9"/>
      <c r="X55" s="9"/>
      <c r="Y55" s="9"/>
      <c r="Z55" s="9"/>
      <c r="AA55" s="9"/>
      <c r="AB55" s="9"/>
      <c r="AC55" s="10"/>
      <c r="AD55" s="10"/>
      <c r="AE55" s="10"/>
    </row>
    <row r="56" spans="1:31" ht="15" x14ac:dyDescent="0.25">
      <c r="A56" s="6" t="s">
        <v>344</v>
      </c>
      <c r="B56" s="6"/>
      <c r="C56" s="6"/>
      <c r="D56" s="6"/>
      <c r="E56" s="6"/>
      <c r="F56" s="6"/>
      <c r="G56" s="6"/>
      <c r="H56" s="6"/>
      <c r="I56" s="6"/>
      <c r="J56" s="6"/>
      <c r="K56" s="6"/>
      <c r="L56" s="6"/>
      <c r="M56" s="187"/>
      <c r="N56" s="187"/>
      <c r="Q56" s="9"/>
      <c r="R56" s="9"/>
      <c r="S56" s="9"/>
      <c r="T56" s="9"/>
      <c r="U56" s="9"/>
      <c r="V56" s="9"/>
      <c r="W56" s="9"/>
      <c r="X56" s="9"/>
      <c r="Y56" s="9"/>
      <c r="Z56" s="9"/>
      <c r="AA56" s="9"/>
      <c r="AB56" s="9"/>
      <c r="AC56" s="10"/>
      <c r="AD56" s="10"/>
      <c r="AE56" s="10"/>
    </row>
    <row r="57" spans="1:31" ht="15" x14ac:dyDescent="0.25">
      <c r="A57" s="6"/>
      <c r="B57" s="6"/>
      <c r="C57" s="6"/>
      <c r="D57" s="6"/>
      <c r="E57" s="6"/>
      <c r="F57" s="6"/>
      <c r="G57" s="6"/>
      <c r="H57" s="6"/>
      <c r="I57" s="6"/>
      <c r="J57" s="6"/>
      <c r="K57" s="6"/>
      <c r="L57" s="6"/>
      <c r="M57" s="187"/>
      <c r="N57" s="187"/>
      <c r="Q57" s="9" t="s">
        <v>342</v>
      </c>
      <c r="R57" s="9"/>
      <c r="S57" s="9"/>
      <c r="T57" s="9"/>
      <c r="U57" s="9"/>
      <c r="V57" s="9"/>
      <c r="W57" s="9"/>
      <c r="X57" s="9"/>
      <c r="Y57" s="9"/>
      <c r="Z57" s="9"/>
      <c r="AA57" s="9"/>
      <c r="AB57" s="9"/>
      <c r="AC57" s="10"/>
      <c r="AD57" s="10"/>
      <c r="AE57" s="10"/>
    </row>
    <row r="58" spans="1:31" ht="15" x14ac:dyDescent="0.25">
      <c r="A58" s="6"/>
      <c r="B58" s="6" t="s">
        <v>164</v>
      </c>
      <c r="C58" s="111">
        <f>E18/34+E19/18</f>
        <v>252.66686731402646</v>
      </c>
      <c r="D58" s="6" t="s">
        <v>343</v>
      </c>
      <c r="E58" s="6"/>
      <c r="F58" s="6"/>
      <c r="G58" s="6"/>
      <c r="H58" s="6"/>
      <c r="I58" s="6"/>
      <c r="J58" s="6"/>
      <c r="K58" s="6"/>
      <c r="L58" s="6"/>
      <c r="M58" s="187"/>
      <c r="N58" s="187"/>
      <c r="Q58" s="9"/>
      <c r="R58" s="9"/>
      <c r="S58" s="9"/>
      <c r="T58" s="9"/>
      <c r="U58" s="9"/>
      <c r="V58" s="9"/>
      <c r="W58" s="9"/>
      <c r="X58" s="9"/>
      <c r="Y58" s="9"/>
      <c r="Z58" s="9"/>
      <c r="AA58" s="9"/>
      <c r="AB58" s="9"/>
      <c r="AC58" s="10"/>
      <c r="AD58" s="10"/>
      <c r="AE58" s="10"/>
    </row>
    <row r="59" spans="1:31" ht="15" x14ac:dyDescent="0.25">
      <c r="A59" s="6"/>
      <c r="B59" s="6"/>
      <c r="C59" s="6"/>
      <c r="D59" s="6"/>
      <c r="E59" s="6"/>
      <c r="F59" s="6"/>
      <c r="G59" s="6"/>
      <c r="H59" s="6"/>
      <c r="I59" s="6"/>
      <c r="J59" s="6"/>
      <c r="K59" s="6"/>
      <c r="L59" s="6"/>
      <c r="M59" s="187"/>
      <c r="N59" s="187"/>
      <c r="Q59" s="9"/>
      <c r="R59" s="9" t="s">
        <v>198</v>
      </c>
      <c r="S59" s="84">
        <f>T18/34+T19/18</f>
        <v>25.368220405271774</v>
      </c>
      <c r="T59" s="9" t="s">
        <v>343</v>
      </c>
      <c r="U59" s="9"/>
      <c r="V59" s="9"/>
      <c r="W59" s="9"/>
      <c r="X59" s="9"/>
      <c r="Y59" s="9"/>
      <c r="Z59" s="9"/>
      <c r="AA59" s="9"/>
      <c r="AB59" s="9"/>
      <c r="AC59" s="10"/>
      <c r="AD59" s="10"/>
      <c r="AE59" s="10"/>
    </row>
    <row r="60" spans="1:31" ht="15" x14ac:dyDescent="0.25">
      <c r="A60" s="6" t="s">
        <v>447</v>
      </c>
      <c r="B60" s="6"/>
      <c r="C60" s="6"/>
      <c r="D60" s="6"/>
      <c r="E60" s="6"/>
      <c r="F60" s="6"/>
      <c r="G60" s="6"/>
      <c r="H60" s="6"/>
      <c r="I60" s="6"/>
      <c r="J60" s="6"/>
      <c r="K60" s="6"/>
      <c r="L60" s="6"/>
      <c r="M60" s="187"/>
      <c r="N60" s="187"/>
      <c r="Q60" s="9"/>
      <c r="R60" s="9"/>
      <c r="S60" s="9"/>
      <c r="T60" s="9"/>
      <c r="U60" s="9"/>
      <c r="V60" s="9"/>
      <c r="W60" s="9"/>
      <c r="X60" s="9"/>
      <c r="Y60" s="9"/>
      <c r="Z60" s="9"/>
      <c r="AA60" s="9"/>
      <c r="AB60" s="9"/>
      <c r="AC60" s="10"/>
      <c r="AD60" s="10"/>
      <c r="AE60" s="10"/>
    </row>
    <row r="61" spans="1:31" ht="15" x14ac:dyDescent="0.25">
      <c r="A61" s="6"/>
      <c r="B61" s="6"/>
      <c r="C61" s="6"/>
      <c r="D61" s="6"/>
      <c r="E61" s="6"/>
      <c r="F61" s="6"/>
      <c r="G61" s="6"/>
      <c r="H61" s="6"/>
      <c r="I61" s="6"/>
      <c r="J61" s="6"/>
      <c r="K61" s="6"/>
      <c r="L61" s="6"/>
      <c r="M61" s="187"/>
      <c r="N61" s="187"/>
      <c r="Q61" s="9" t="s">
        <v>344</v>
      </c>
      <c r="R61" s="9"/>
      <c r="S61" s="9"/>
      <c r="T61" s="9"/>
      <c r="U61" s="9"/>
      <c r="V61" s="9"/>
      <c r="W61" s="9"/>
      <c r="X61" s="9"/>
      <c r="Y61" s="9"/>
      <c r="Z61" s="9"/>
      <c r="AA61" s="9"/>
      <c r="AB61" s="9"/>
      <c r="AC61" s="10"/>
      <c r="AD61" s="10"/>
      <c r="AE61" s="10"/>
    </row>
    <row r="62" spans="1:31" ht="15" x14ac:dyDescent="0.25">
      <c r="A62" s="6"/>
      <c r="B62" s="6" t="s">
        <v>362</v>
      </c>
      <c r="C62" s="6">
        <f>C50*C54/C58</f>
        <v>98.01132780400944</v>
      </c>
      <c r="D62" s="6"/>
      <c r="E62" s="6"/>
      <c r="F62" s="6"/>
      <c r="G62" s="6"/>
      <c r="H62" s="6"/>
      <c r="I62" s="6"/>
      <c r="J62" s="6"/>
      <c r="K62" s="6"/>
      <c r="L62" s="6"/>
      <c r="M62" s="187"/>
      <c r="N62" s="187"/>
      <c r="Q62" s="9"/>
      <c r="R62" s="9"/>
      <c r="S62" s="9"/>
      <c r="T62" s="9"/>
      <c r="U62" s="9"/>
      <c r="V62" s="9"/>
      <c r="W62" s="9"/>
      <c r="X62" s="9"/>
      <c r="Y62" s="9"/>
      <c r="Z62" s="9"/>
      <c r="AA62" s="9"/>
      <c r="AB62" s="9"/>
      <c r="AC62" s="10"/>
      <c r="AD62" s="10"/>
      <c r="AE62" s="10"/>
    </row>
    <row r="63" spans="1:31" ht="15" x14ac:dyDescent="0.25">
      <c r="A63" s="6"/>
      <c r="B63" s="6"/>
      <c r="C63" s="6"/>
      <c r="D63" s="6"/>
      <c r="E63" s="6"/>
      <c r="F63" s="6"/>
      <c r="G63" s="6"/>
      <c r="H63" s="6"/>
      <c r="I63" s="6"/>
      <c r="J63" s="6"/>
      <c r="K63" s="6"/>
      <c r="L63" s="6"/>
      <c r="M63" s="187"/>
      <c r="N63" s="187"/>
      <c r="Q63" s="9"/>
      <c r="R63" s="9" t="s">
        <v>164</v>
      </c>
      <c r="S63" s="84">
        <f>U18/34+U19/18</f>
        <v>252.66686731402646</v>
      </c>
      <c r="T63" s="9" t="s">
        <v>343</v>
      </c>
      <c r="U63" s="9"/>
      <c r="V63" s="9"/>
      <c r="W63" s="9"/>
      <c r="X63" s="9"/>
      <c r="Y63" s="9"/>
      <c r="Z63" s="9"/>
      <c r="AA63" s="9"/>
      <c r="AB63" s="9"/>
      <c r="AC63" s="10"/>
      <c r="AD63" s="10"/>
      <c r="AE63" s="10"/>
    </row>
    <row r="64" spans="1:31" ht="15" x14ac:dyDescent="0.25">
      <c r="A64" s="6" t="s">
        <v>448</v>
      </c>
      <c r="B64" s="6"/>
      <c r="C64" s="6"/>
      <c r="D64" s="6"/>
      <c r="E64" s="6"/>
      <c r="F64" s="6"/>
      <c r="G64" s="6"/>
      <c r="H64" s="6"/>
      <c r="I64" s="6"/>
      <c r="J64" s="6"/>
      <c r="K64" s="6"/>
      <c r="L64" s="6"/>
      <c r="M64" s="187"/>
      <c r="N64" s="187"/>
      <c r="Q64" s="9"/>
      <c r="R64" s="9"/>
      <c r="S64" s="9"/>
      <c r="T64" s="9"/>
      <c r="U64" s="9"/>
      <c r="V64" s="9"/>
      <c r="W64" s="9"/>
      <c r="X64" s="9"/>
      <c r="Y64" s="9"/>
      <c r="Z64" s="9"/>
      <c r="AA64" s="9"/>
      <c r="AB64" s="9"/>
      <c r="AC64" s="10"/>
      <c r="AD64" s="10"/>
      <c r="AE64" s="10"/>
    </row>
    <row r="65" spans="1:31" ht="15" x14ac:dyDescent="0.25">
      <c r="A65" s="6"/>
      <c r="B65" s="6"/>
      <c r="C65" s="6"/>
      <c r="D65" s="6"/>
      <c r="E65" s="6"/>
      <c r="F65" s="6"/>
      <c r="G65" s="6"/>
      <c r="H65" s="6"/>
      <c r="I65" s="6"/>
      <c r="J65" s="6"/>
      <c r="K65" s="6"/>
      <c r="L65" s="6"/>
      <c r="M65" s="187"/>
      <c r="N65" s="187"/>
      <c r="Q65" s="9" t="s">
        <v>646</v>
      </c>
      <c r="R65" s="9"/>
      <c r="S65" s="9"/>
      <c r="T65" s="9"/>
      <c r="U65" s="9"/>
      <c r="V65" s="9"/>
      <c r="W65" s="9"/>
      <c r="X65" s="9"/>
      <c r="Y65" s="9"/>
      <c r="Z65" s="9"/>
      <c r="AA65" s="9"/>
      <c r="AB65" s="9"/>
      <c r="AC65" s="10"/>
      <c r="AD65" s="10"/>
      <c r="AE65" s="10"/>
    </row>
    <row r="66" spans="1:31" ht="15" x14ac:dyDescent="0.25">
      <c r="A66" s="6"/>
      <c r="B66" s="6"/>
      <c r="C66" s="6" t="s">
        <v>165</v>
      </c>
      <c r="D66" s="6" t="s">
        <v>345</v>
      </c>
      <c r="E66" s="6"/>
      <c r="F66" s="6"/>
      <c r="G66" s="6"/>
      <c r="H66" s="6"/>
      <c r="I66" s="6"/>
      <c r="J66" s="6"/>
      <c r="K66" s="6"/>
      <c r="L66" s="6"/>
      <c r="M66" s="187"/>
      <c r="N66" s="187"/>
      <c r="Q66" s="9"/>
      <c r="R66" s="9"/>
      <c r="S66" s="22"/>
      <c r="T66" s="22"/>
      <c r="U66" s="22"/>
      <c r="V66" s="22"/>
      <c r="W66" s="22"/>
      <c r="X66" s="9"/>
      <c r="Y66" s="9"/>
      <c r="Z66" s="9"/>
      <c r="AA66" s="9"/>
      <c r="AB66" s="9"/>
      <c r="AC66" s="10"/>
      <c r="AD66" s="10"/>
      <c r="AE66" s="10"/>
    </row>
    <row r="67" spans="1:31" ht="16.5" x14ac:dyDescent="0.3">
      <c r="A67" s="6"/>
      <c r="B67" s="6"/>
      <c r="C67" s="6">
        <v>1</v>
      </c>
      <c r="D67" s="225">
        <f>($C$62^(C67+1)-$C$62)/($C$62^(C67+1)-1)</f>
        <v>0.98990014554718952</v>
      </c>
      <c r="E67" s="6"/>
      <c r="F67" s="6"/>
      <c r="G67" s="6"/>
      <c r="H67" s="6"/>
      <c r="I67" s="6"/>
      <c r="J67" s="6"/>
      <c r="K67" s="6"/>
      <c r="L67" s="6"/>
      <c r="M67" s="187"/>
      <c r="N67" s="187"/>
      <c r="Q67" s="9"/>
      <c r="R67" s="9" t="s">
        <v>645</v>
      </c>
      <c r="S67" s="37">
        <f>S55</f>
        <v>979.76190476190482</v>
      </c>
      <c r="T67" s="22" t="s">
        <v>573</v>
      </c>
      <c r="U67" s="178">
        <f>S59</f>
        <v>25.368220405271774</v>
      </c>
      <c r="V67" s="108" t="s">
        <v>575</v>
      </c>
      <c r="W67" s="178">
        <f>S63</f>
        <v>252.66686731402646</v>
      </c>
      <c r="X67" s="9"/>
      <c r="Y67" s="9"/>
      <c r="Z67" s="9"/>
      <c r="AA67" s="9"/>
      <c r="AB67" s="9"/>
      <c r="AC67" s="10"/>
      <c r="AD67" s="10"/>
      <c r="AE67" s="10"/>
    </row>
    <row r="68" spans="1:31" ht="15" x14ac:dyDescent="0.25">
      <c r="A68" s="6"/>
      <c r="B68" s="6"/>
      <c r="C68" s="6">
        <v>2</v>
      </c>
      <c r="D68" s="225">
        <f>($C$62^(C68+1)-$C$62)/($C$62^(C68+1)-1)</f>
        <v>0.99989696278972795</v>
      </c>
      <c r="E68" s="6"/>
      <c r="F68" s="6"/>
      <c r="G68" s="6"/>
      <c r="H68" s="6"/>
      <c r="I68" s="6"/>
      <c r="J68" s="6"/>
      <c r="K68" s="6"/>
      <c r="L68" s="6"/>
      <c r="M68" s="187"/>
      <c r="N68" s="187"/>
      <c r="Q68" s="9"/>
      <c r="R68" s="9"/>
      <c r="S68" s="9"/>
      <c r="T68" s="9"/>
      <c r="U68" s="9"/>
      <c r="V68" s="9"/>
      <c r="W68" s="9"/>
      <c r="X68" s="9"/>
      <c r="Y68" s="9"/>
      <c r="Z68" s="9"/>
      <c r="AA68" s="9"/>
      <c r="AB68" s="9"/>
      <c r="AC68" s="10"/>
      <c r="AD68" s="10"/>
      <c r="AE68" s="10"/>
    </row>
    <row r="69" spans="1:31" ht="16.5" x14ac:dyDescent="0.3">
      <c r="A69" s="6"/>
      <c r="B69" s="6"/>
      <c r="C69" s="6">
        <v>3</v>
      </c>
      <c r="D69" s="225">
        <f>($C$62^(C69+1)-$C$62)/($C$62^(C69+1)-1)</f>
        <v>0.99999894872251749</v>
      </c>
      <c r="E69" s="6"/>
      <c r="F69" s="6"/>
      <c r="G69" s="6"/>
      <c r="H69" s="6"/>
      <c r="I69" s="6"/>
      <c r="J69" s="6"/>
      <c r="K69" s="6"/>
      <c r="L69" s="6"/>
      <c r="M69" s="187"/>
      <c r="N69" s="187"/>
      <c r="Q69" s="9"/>
      <c r="R69" s="9" t="s">
        <v>531</v>
      </c>
      <c r="S69" s="107">
        <f>S55*S59/S63</f>
        <v>98.369905832560704</v>
      </c>
      <c r="T69" s="9"/>
      <c r="U69" s="9"/>
      <c r="V69" s="9"/>
      <c r="W69" s="9"/>
      <c r="X69" s="9"/>
      <c r="Y69" s="9"/>
      <c r="Z69" s="9"/>
      <c r="AA69" s="9"/>
      <c r="AB69" s="9"/>
      <c r="AC69" s="10"/>
      <c r="AD69" s="10"/>
      <c r="AE69" s="10"/>
    </row>
    <row r="70" spans="1:31" ht="15" x14ac:dyDescent="0.25">
      <c r="A70" s="6"/>
      <c r="B70" s="6"/>
      <c r="C70" s="6"/>
      <c r="D70" s="225"/>
      <c r="E70" s="6"/>
      <c r="F70" s="6"/>
      <c r="G70" s="6"/>
      <c r="H70" s="6"/>
      <c r="I70" s="6"/>
      <c r="J70" s="6"/>
      <c r="K70" s="6"/>
      <c r="L70" s="6"/>
      <c r="M70" s="187"/>
      <c r="N70" s="187"/>
      <c r="Q70" s="9"/>
      <c r="R70" s="9"/>
      <c r="S70" s="9"/>
      <c r="T70" s="9"/>
      <c r="U70" s="9"/>
      <c r="V70" s="9"/>
      <c r="W70" s="9"/>
      <c r="X70" s="9"/>
      <c r="Y70" s="9"/>
      <c r="Z70" s="9"/>
      <c r="AA70" s="9"/>
      <c r="AB70" s="9"/>
      <c r="AC70" s="10"/>
      <c r="AD70" s="10"/>
      <c r="AE70" s="10"/>
    </row>
    <row r="71" spans="1:31" ht="16.5" x14ac:dyDescent="0.3">
      <c r="A71" s="6" t="s">
        <v>474</v>
      </c>
      <c r="B71" s="6"/>
      <c r="C71" s="6"/>
      <c r="D71" s="6"/>
      <c r="E71" s="6"/>
      <c r="F71" s="6"/>
      <c r="G71" s="6"/>
      <c r="H71" s="6"/>
      <c r="I71" s="6"/>
      <c r="J71" s="6"/>
      <c r="K71" s="6"/>
      <c r="L71" s="6"/>
      <c r="M71" s="187"/>
      <c r="N71" s="187"/>
      <c r="Q71" s="9" t="s">
        <v>448</v>
      </c>
      <c r="R71" s="9"/>
      <c r="S71" s="9"/>
      <c r="T71" s="9"/>
      <c r="U71" s="9"/>
      <c r="V71" s="9"/>
      <c r="W71" s="9"/>
      <c r="X71" s="9"/>
      <c r="Y71" s="9"/>
      <c r="Z71" s="9"/>
      <c r="AA71" s="9"/>
      <c r="AB71" s="9"/>
      <c r="AC71" s="10"/>
      <c r="AD71" s="10"/>
      <c r="AE71" s="10"/>
    </row>
    <row r="72" spans="1:31" ht="15" x14ac:dyDescent="0.25">
      <c r="A72" s="214"/>
      <c r="B72" s="214"/>
      <c r="C72" s="214"/>
      <c r="D72" s="214"/>
      <c r="E72" s="214"/>
      <c r="F72" s="214"/>
      <c r="G72" s="214"/>
      <c r="H72" s="214"/>
      <c r="I72" s="214"/>
      <c r="J72" s="214"/>
      <c r="K72" s="214"/>
      <c r="L72" s="214"/>
      <c r="Q72" s="9"/>
      <c r="R72" s="9"/>
      <c r="S72" s="153"/>
      <c r="T72" s="153"/>
      <c r="U72" s="9"/>
      <c r="V72" s="9"/>
      <c r="W72" s="9"/>
      <c r="X72" s="9"/>
      <c r="Y72" s="9"/>
      <c r="Z72" s="9"/>
      <c r="AA72" s="9"/>
      <c r="AB72" s="9"/>
      <c r="AC72" s="10"/>
      <c r="AD72" s="10"/>
      <c r="AE72" s="10"/>
    </row>
    <row r="73" spans="1:31" ht="16.5" x14ac:dyDescent="0.3">
      <c r="Q73" s="9"/>
      <c r="R73" s="9"/>
      <c r="S73" s="29" t="s">
        <v>165</v>
      </c>
      <c r="T73" s="29" t="s">
        <v>532</v>
      </c>
      <c r="U73" s="9"/>
      <c r="V73" s="9"/>
      <c r="W73" s="9"/>
      <c r="X73" s="9"/>
      <c r="Y73" s="9"/>
      <c r="Z73" s="9"/>
      <c r="AA73" s="9"/>
      <c r="AB73" s="9"/>
      <c r="AC73" s="10"/>
      <c r="AD73" s="10"/>
      <c r="AE73" s="10"/>
    </row>
    <row r="74" spans="1:31" ht="15" x14ac:dyDescent="0.25">
      <c r="Q74" s="9"/>
      <c r="R74" s="9"/>
      <c r="S74" s="22">
        <v>1</v>
      </c>
      <c r="T74" s="226">
        <f>($C$62^(S74+1)-$C$62)/($C$62^(S74+1)-1)</f>
        <v>0.98990014554718952</v>
      </c>
      <c r="U74" s="9"/>
      <c r="V74" s="9" t="s">
        <v>533</v>
      </c>
      <c r="W74" s="9"/>
      <c r="X74" s="9"/>
      <c r="Y74" s="9"/>
      <c r="Z74" s="9"/>
      <c r="AA74" s="9"/>
      <c r="AB74" s="9"/>
      <c r="AC74" s="10"/>
      <c r="AD74" s="10"/>
      <c r="AE74" s="10"/>
    </row>
    <row r="75" spans="1:31" ht="15" x14ac:dyDescent="0.25">
      <c r="Q75" s="9"/>
      <c r="R75" s="9"/>
      <c r="S75" s="22">
        <v>2</v>
      </c>
      <c r="T75" s="226">
        <f>($C$62^(S75+1)-$C$62)/($C$62^(S75+1)-1)</f>
        <v>0.99989696278972795</v>
      </c>
      <c r="U75" s="9"/>
      <c r="V75" s="202">
        <f>$T$18/$S$18</f>
        <v>0.99945538573770099</v>
      </c>
      <c r="W75" s="9"/>
      <c r="X75" s="9"/>
      <c r="Y75" s="9"/>
      <c r="Z75" s="9"/>
      <c r="AA75" s="9"/>
      <c r="AB75" s="9"/>
      <c r="AC75" s="10"/>
      <c r="AD75" s="10"/>
      <c r="AE75" s="10"/>
    </row>
    <row r="76" spans="1:31" ht="15" x14ac:dyDescent="0.25">
      <c r="Q76" s="9"/>
      <c r="R76" s="9"/>
      <c r="S76" s="22">
        <v>3</v>
      </c>
      <c r="T76" s="226">
        <f>($C$62^(S76+1)-$C$62)/($C$62^(S76+1)-1)</f>
        <v>0.99999894872251749</v>
      </c>
      <c r="U76" s="9"/>
      <c r="V76" s="9"/>
      <c r="W76" s="9"/>
      <c r="X76" s="9"/>
      <c r="Y76" s="9"/>
      <c r="Z76" s="9"/>
      <c r="AA76" s="9"/>
      <c r="AB76" s="9"/>
      <c r="AC76" s="10"/>
      <c r="AD76" s="10"/>
      <c r="AE76" s="10"/>
    </row>
    <row r="77" spans="1:31" ht="15" x14ac:dyDescent="0.25">
      <c r="Q77" s="9"/>
      <c r="R77" s="9"/>
      <c r="S77" s="22">
        <v>4</v>
      </c>
      <c r="T77" s="226">
        <f>($C$62^(S77+1)-$C$62)/($C$62^(S77+1)-1)</f>
        <v>0.99999998927391864</v>
      </c>
      <c r="U77" s="9"/>
      <c r="V77" s="9"/>
      <c r="W77" s="9"/>
      <c r="X77" s="9"/>
      <c r="Y77" s="9"/>
      <c r="Z77" s="9"/>
      <c r="AA77" s="9"/>
      <c r="AB77" s="9"/>
      <c r="AC77" s="10"/>
      <c r="AD77" s="10"/>
      <c r="AE77" s="10"/>
    </row>
    <row r="78" spans="1:31" ht="15" x14ac:dyDescent="0.25">
      <c r="Q78" s="9"/>
      <c r="R78" s="9"/>
      <c r="S78" s="22">
        <v>5</v>
      </c>
      <c r="T78" s="226">
        <f>($C$62^(S78+1)-$C$62)/($C$62^(S78+1)-1)</f>
        <v>0.99999999989056276</v>
      </c>
      <c r="U78" s="9"/>
      <c r="V78" s="9"/>
      <c r="W78" s="9"/>
      <c r="X78" s="9"/>
      <c r="Y78" s="9"/>
      <c r="Z78" s="9"/>
      <c r="AA78" s="9"/>
      <c r="AB78" s="9"/>
      <c r="AC78" s="10"/>
      <c r="AD78" s="10"/>
      <c r="AE78" s="10"/>
    </row>
    <row r="79" spans="1:31" x14ac:dyDescent="0.2">
      <c r="Q79" s="13" t="s">
        <v>534</v>
      </c>
      <c r="R79" s="10"/>
      <c r="S79" s="10"/>
      <c r="T79" s="10"/>
      <c r="U79" s="10"/>
      <c r="V79" s="10"/>
      <c r="W79" s="10"/>
      <c r="X79" s="10"/>
      <c r="Y79" s="10"/>
      <c r="Z79" s="10"/>
      <c r="AA79" s="10"/>
      <c r="AB79" s="10"/>
      <c r="AC79" s="10"/>
      <c r="AD79" s="10"/>
      <c r="AE79" s="10"/>
    </row>
    <row r="82" spans="1:1" ht="15" x14ac:dyDescent="0.25">
      <c r="A82" s="77" t="s">
        <v>718</v>
      </c>
    </row>
    <row r="83" spans="1:1" ht="15" x14ac:dyDescent="0.25">
      <c r="A83" s="77" t="s">
        <v>719</v>
      </c>
    </row>
    <row r="84" spans="1:1" ht="15" x14ac:dyDescent="0.25">
      <c r="A84" s="77" t="s">
        <v>720</v>
      </c>
    </row>
    <row r="85" spans="1:1" ht="15" x14ac:dyDescent="0.25">
      <c r="A85" s="77" t="s">
        <v>721</v>
      </c>
    </row>
    <row r="86" spans="1:1" ht="15" x14ac:dyDescent="0.25">
      <c r="A86" s="77" t="s">
        <v>722</v>
      </c>
    </row>
  </sheetData>
  <sheetProtection password="F030" sheet="1" objects="1" scenarios="1"/>
  <mergeCells count="5">
    <mergeCell ref="A2:L4"/>
    <mergeCell ref="A27:I28"/>
    <mergeCell ref="Q27:Y28"/>
    <mergeCell ref="Q2:AA2"/>
    <mergeCell ref="Q4:X4"/>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Nomenclature</vt:lpstr>
      <vt:lpstr>Example 19-1</vt:lpstr>
      <vt:lpstr>Example 19-2</vt:lpstr>
      <vt:lpstr>Example 19-3</vt:lpstr>
      <vt:lpstr>Example 19-4</vt:lpstr>
      <vt:lpstr>Example 19-5</vt:lpstr>
      <vt:lpstr>Example 19-6</vt:lpstr>
      <vt:lpstr>Example 19-7</vt:lpstr>
      <vt:lpstr>Example 19-8</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2009-05-20T18:55:15Z</cp:lastPrinted>
  <dcterms:created xsi:type="dcterms:W3CDTF">2009-05-18T14:59:19Z</dcterms:created>
  <dcterms:modified xsi:type="dcterms:W3CDTF">2014-10-01T20:47:14Z</dcterms:modified>
</cp:coreProperties>
</file>