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5" windowWidth="18975" windowHeight="11955" tabRatio="722" firstSheet="1" activeTab="1"/>
  </bookViews>
  <sheets>
    <sheet name="Figure 22-1 - Nomenclature" sheetId="1" r:id="rId1"/>
    <sheet name="Example 22-1 Conditions" sheetId="11" r:id="rId2"/>
    <sheet name="Step 1" sheetId="2" r:id="rId3"/>
    <sheet name="Step 2" sheetId="3" r:id="rId4"/>
    <sheet name="Step 3" sheetId="4" r:id="rId5"/>
    <sheet name="Step 4" sheetId="5" r:id="rId6"/>
    <sheet name="Step 5" sheetId="6" r:id="rId7"/>
    <sheet name="Incinerator" sheetId="10" r:id="rId8"/>
    <sheet name="Fig. 22-28 Enthalpies" sheetId="12" r:id="rId9"/>
    <sheet name="Page 22-28 Molar Enthalpies" sheetId="13" r:id="rId10"/>
    <sheet name="Limits" sheetId="14" r:id="rId11"/>
  </sheets>
  <definedNames>
    <definedName name="Enthalpy">'Fig. 22-28 Enthalpies'!$A$4:$W$31</definedName>
    <definedName name="EnthalpyData">'Fig. 22-28 Enthalpies'!$A$3:$W$31</definedName>
  </definedNames>
  <calcPr calcId="145621"/>
</workbook>
</file>

<file path=xl/calcChain.xml><?xml version="1.0" encoding="utf-8"?>
<calcChain xmlns="http://schemas.openxmlformats.org/spreadsheetml/2006/main">
  <c r="A189" i="10" l="1"/>
  <c r="O132" i="2"/>
  <c r="O92" i="2"/>
  <c r="M205" i="2"/>
  <c r="M204" i="2"/>
  <c r="M203" i="2"/>
  <c r="N174" i="2"/>
  <c r="M174" i="2"/>
  <c r="N173" i="2"/>
  <c r="M173" i="2"/>
  <c r="N172" i="2"/>
  <c r="M172" i="2"/>
  <c r="N156" i="2"/>
  <c r="R155" i="2"/>
  <c r="T153" i="2"/>
  <c r="R152" i="2"/>
  <c r="N152" i="2"/>
  <c r="R151" i="2"/>
  <c r="N151" i="2"/>
  <c r="S149" i="2"/>
  <c r="T156" i="2" s="1"/>
  <c r="O149" i="2"/>
  <c r="P136" i="2"/>
  <c r="M130" i="2"/>
  <c r="R124" i="2"/>
  <c r="T116" i="2"/>
  <c r="P116" i="2"/>
  <c r="N115" i="2"/>
  <c r="T114" i="2"/>
  <c r="N114" i="2"/>
  <c r="T113" i="2"/>
  <c r="P113" i="2"/>
  <c r="R112" i="2"/>
  <c r="P112" i="2"/>
  <c r="N112" i="2"/>
  <c r="R111" i="2"/>
  <c r="N111" i="2"/>
  <c r="S109" i="2"/>
  <c r="T115" i="2" s="1"/>
  <c r="O109" i="2"/>
  <c r="N96" i="2"/>
  <c r="M90" i="2"/>
  <c r="R84" i="2"/>
  <c r="N84" i="2"/>
  <c r="T77" i="2"/>
  <c r="U77" i="2" s="1"/>
  <c r="R77" i="2"/>
  <c r="P77" i="2"/>
  <c r="Q77" i="2" s="1"/>
  <c r="N77" i="2"/>
  <c r="M77" i="2"/>
  <c r="T76" i="2"/>
  <c r="R76" i="2"/>
  <c r="P76" i="2"/>
  <c r="N76" i="2"/>
  <c r="T75" i="2"/>
  <c r="R75" i="2"/>
  <c r="P75" i="2"/>
  <c r="N75" i="2"/>
  <c r="T74" i="2"/>
  <c r="R74" i="2"/>
  <c r="P74" i="2"/>
  <c r="N74" i="2"/>
  <c r="T73" i="2"/>
  <c r="R73" i="2"/>
  <c r="P73" i="2"/>
  <c r="N73" i="2"/>
  <c r="T72" i="2"/>
  <c r="R72" i="2"/>
  <c r="P72" i="2"/>
  <c r="N72" i="2"/>
  <c r="B204" i="2"/>
  <c r="B205" i="2"/>
  <c r="B203" i="2"/>
  <c r="G164" i="2"/>
  <c r="J156" i="2"/>
  <c r="I156" i="2"/>
  <c r="I155" i="2"/>
  <c r="I154" i="2"/>
  <c r="I153" i="2"/>
  <c r="I152" i="2"/>
  <c r="I151" i="2"/>
  <c r="E156" i="2"/>
  <c r="F156" i="2" s="1"/>
  <c r="E155" i="2"/>
  <c r="E154" i="2"/>
  <c r="E153" i="2"/>
  <c r="E152" i="2"/>
  <c r="E151" i="2"/>
  <c r="H149" i="2"/>
  <c r="G152" i="2" s="1"/>
  <c r="G151" i="2"/>
  <c r="G153" i="2"/>
  <c r="G155" i="2"/>
  <c r="G124" i="2"/>
  <c r="J116" i="2"/>
  <c r="I116" i="2"/>
  <c r="I115" i="2"/>
  <c r="I114" i="2"/>
  <c r="I113" i="2"/>
  <c r="I112" i="2"/>
  <c r="I111" i="2"/>
  <c r="E116" i="2"/>
  <c r="F116" i="2" s="1"/>
  <c r="E115" i="2"/>
  <c r="E114" i="2"/>
  <c r="E113" i="2"/>
  <c r="E112" i="2"/>
  <c r="E111" i="2"/>
  <c r="G84" i="2"/>
  <c r="J77" i="2"/>
  <c r="I77" i="2"/>
  <c r="I76" i="2"/>
  <c r="I75" i="2"/>
  <c r="I74" i="2"/>
  <c r="I73" i="2"/>
  <c r="I72" i="2"/>
  <c r="F77" i="2"/>
  <c r="E77" i="2"/>
  <c r="E76" i="2"/>
  <c r="E75" i="2"/>
  <c r="E74" i="2"/>
  <c r="E73" i="2"/>
  <c r="E72" i="2"/>
  <c r="P137" i="2" l="1"/>
  <c r="N95" i="2"/>
  <c r="N97" i="2"/>
  <c r="N94" i="2"/>
  <c r="P97" i="2"/>
  <c r="P95" i="2"/>
  <c r="P96" i="2"/>
  <c r="S77" i="2"/>
  <c r="T112" i="2"/>
  <c r="R114" i="2"/>
  <c r="R115" i="2"/>
  <c r="R116" i="2"/>
  <c r="T154" i="2"/>
  <c r="R156" i="2"/>
  <c r="R164" i="2"/>
  <c r="N164" i="2"/>
  <c r="N137" i="2"/>
  <c r="P135" i="2"/>
  <c r="P134" i="2"/>
  <c r="N124" i="2"/>
  <c r="P115" i="2"/>
  <c r="N113" i="2"/>
  <c r="P111" i="2"/>
  <c r="M116" i="2"/>
  <c r="P156" i="2"/>
  <c r="N154" i="2"/>
  <c r="P152" i="2"/>
  <c r="P155" i="2"/>
  <c r="N153" i="2"/>
  <c r="P151" i="2"/>
  <c r="P153" i="2"/>
  <c r="O77" i="2"/>
  <c r="P114" i="2"/>
  <c r="N116" i="2"/>
  <c r="N134" i="2"/>
  <c r="N135" i="2"/>
  <c r="N136" i="2"/>
  <c r="P154" i="2"/>
  <c r="N155" i="2"/>
  <c r="M156" i="2"/>
  <c r="T151" i="2"/>
  <c r="R153" i="2"/>
  <c r="T155" i="2"/>
  <c r="P94" i="2"/>
  <c r="T111" i="2"/>
  <c r="R113" i="2"/>
  <c r="T152" i="2"/>
  <c r="R154" i="2"/>
  <c r="G156" i="2"/>
  <c r="H156" i="2" s="1"/>
  <c r="G154" i="2"/>
  <c r="G74" i="2"/>
  <c r="C74" i="2"/>
  <c r="C129" i="6"/>
  <c r="N12" i="10"/>
  <c r="O12" i="10" s="1"/>
  <c r="C12" i="10"/>
  <c r="N11" i="10"/>
  <c r="O11" i="10" s="1"/>
  <c r="C11" i="10"/>
  <c r="C128" i="6"/>
  <c r="G73" i="2"/>
  <c r="C73" i="2"/>
  <c r="N14" i="10"/>
  <c r="C14" i="10"/>
  <c r="C131" i="6"/>
  <c r="G76" i="2"/>
  <c r="C76" i="2"/>
  <c r="C133" i="6"/>
  <c r="N16" i="10"/>
  <c r="O16" i="10" s="1"/>
  <c r="C16" i="10"/>
  <c r="N15" i="10"/>
  <c r="C15" i="10"/>
  <c r="C132" i="6"/>
  <c r="G72" i="2"/>
  <c r="C72" i="2"/>
  <c r="C127" i="6"/>
  <c r="N10" i="10"/>
  <c r="C10" i="10"/>
  <c r="G75" i="2"/>
  <c r="C75" i="2"/>
  <c r="C130" i="6"/>
  <c r="N13" i="10"/>
  <c r="O13" i="10" s="1"/>
  <c r="C13" i="10"/>
  <c r="G77" i="2"/>
  <c r="C77" i="2"/>
  <c r="O169" i="10"/>
  <c r="O15" i="10"/>
  <c r="O14" i="10"/>
  <c r="O10" i="10"/>
  <c r="S156" i="2" l="1"/>
  <c r="O156" i="2"/>
  <c r="S116" i="2"/>
  <c r="O116" i="2"/>
  <c r="U116" i="2"/>
  <c r="Q156" i="2"/>
  <c r="U156" i="2"/>
  <c r="Q116" i="2"/>
  <c r="D16" i="10"/>
  <c r="D15" i="10"/>
  <c r="D14" i="10"/>
  <c r="D13" i="10"/>
  <c r="D12" i="10"/>
  <c r="D11" i="10"/>
  <c r="D10" i="10"/>
  <c r="O162" i="10"/>
  <c r="N183" i="10"/>
  <c r="N182" i="10"/>
  <c r="N181" i="10"/>
  <c r="N180" i="10"/>
  <c r="M167" i="10"/>
  <c r="M137" i="10"/>
  <c r="C183" i="10"/>
  <c r="C182" i="10"/>
  <c r="C181" i="10"/>
  <c r="C180" i="10"/>
  <c r="B167" i="10"/>
  <c r="D162" i="10"/>
  <c r="B137" i="10"/>
  <c r="N17" i="10"/>
  <c r="O17" i="10" s="1"/>
  <c r="C17" i="10"/>
  <c r="D17" i="10" s="1"/>
  <c r="O125" i="6"/>
  <c r="L35" i="3"/>
  <c r="A35" i="3"/>
  <c r="N133" i="6" l="1"/>
  <c r="N128" i="6"/>
  <c r="N131" i="6"/>
  <c r="N127" i="6"/>
  <c r="N130" i="6"/>
  <c r="N129" i="6"/>
  <c r="N132" i="6"/>
  <c r="C168" i="10"/>
  <c r="C167" i="10"/>
  <c r="D167" i="10" s="1"/>
  <c r="C166" i="10"/>
  <c r="C165" i="10"/>
  <c r="C170" i="10"/>
  <c r="N170" i="10"/>
  <c r="N168" i="10"/>
  <c r="N167" i="10"/>
  <c r="O167" i="10" s="1"/>
  <c r="N166" i="10"/>
  <c r="N165" i="10"/>
  <c r="F34" i="2"/>
  <c r="N8" i="11"/>
  <c r="C8" i="11"/>
  <c r="L34" i="10"/>
  <c r="A34" i="10"/>
  <c r="O12" i="5"/>
  <c r="M9" i="6" s="1"/>
  <c r="D12" i="5"/>
  <c r="B9" i="6" s="1"/>
  <c r="D53" i="2"/>
  <c r="C12" i="2"/>
  <c r="D62" i="2"/>
  <c r="D92" i="2"/>
  <c r="D132" i="2"/>
  <c r="O49" i="10"/>
  <c r="D49" i="10"/>
  <c r="O16" i="5"/>
  <c r="O53" i="2"/>
  <c r="N12" i="2"/>
  <c r="O62" i="2"/>
  <c r="P37" i="10"/>
  <c r="E37" i="10"/>
  <c r="O96" i="10"/>
  <c r="M78" i="10"/>
  <c r="M90" i="10" s="1"/>
  <c r="M63" i="10"/>
  <c r="M44" i="10"/>
  <c r="M43" i="10"/>
  <c r="M42" i="10"/>
  <c r="M39" i="10"/>
  <c r="N65" i="10" s="1"/>
  <c r="M130" i="10" s="1"/>
  <c r="M41" i="10"/>
  <c r="M40" i="10"/>
  <c r="M52" i="10" s="1"/>
  <c r="M32" i="10"/>
  <c r="M31" i="10"/>
  <c r="M18" i="10"/>
  <c r="O80" i="6"/>
  <c r="O59" i="6"/>
  <c r="O38" i="6"/>
  <c r="M32" i="6"/>
  <c r="M98" i="6" s="1"/>
  <c r="M27" i="6"/>
  <c r="M28" i="6" s="1"/>
  <c r="M75" i="6" s="1"/>
  <c r="Q16" i="5"/>
  <c r="M37" i="2"/>
  <c r="O22" i="4"/>
  <c r="R12" i="3"/>
  <c r="M51" i="2"/>
  <c r="M46" i="2"/>
  <c r="B63" i="10"/>
  <c r="B78" i="10"/>
  <c r="B90" i="10" s="1"/>
  <c r="B91" i="10" s="1"/>
  <c r="B101" i="10" s="1"/>
  <c r="B44" i="10"/>
  <c r="B31" i="10"/>
  <c r="B32" i="10"/>
  <c r="B42" i="10"/>
  <c r="B39" i="10"/>
  <c r="B41" i="10"/>
  <c r="B43" i="10"/>
  <c r="B40" i="10"/>
  <c r="B52" i="10" s="1"/>
  <c r="N109" i="10"/>
  <c r="N50" i="6"/>
  <c r="M54" i="6"/>
  <c r="M99" i="6" s="1"/>
  <c r="D96" i="10"/>
  <c r="B18" i="10"/>
  <c r="D80" i="6"/>
  <c r="D59" i="6"/>
  <c r="D38" i="6"/>
  <c r="B32" i="6"/>
  <c r="B27" i="6"/>
  <c r="B28" i="6" s="1"/>
  <c r="B75" i="6" s="1"/>
  <c r="F16" i="5"/>
  <c r="D149" i="2"/>
  <c r="H109" i="2"/>
  <c r="D109" i="2"/>
  <c r="D22" i="4"/>
  <c r="G12" i="3"/>
  <c r="M12" i="11"/>
  <c r="B37" i="2"/>
  <c r="B12" i="11"/>
  <c r="C174" i="2"/>
  <c r="C173" i="2"/>
  <c r="C172" i="2"/>
  <c r="B172" i="2"/>
  <c r="B51" i="2"/>
  <c r="B46" i="2"/>
  <c r="B47" i="2" s="1"/>
  <c r="B130" i="2" s="1"/>
  <c r="C50" i="6"/>
  <c r="B98" i="6"/>
  <c r="O101" i="2" l="1"/>
  <c r="O141" i="2"/>
  <c r="E134" i="2"/>
  <c r="E136" i="2"/>
  <c r="E135" i="2"/>
  <c r="E137" i="2"/>
  <c r="G113" i="2"/>
  <c r="G111" i="2"/>
  <c r="G114" i="2"/>
  <c r="G112" i="2"/>
  <c r="G115" i="2"/>
  <c r="G116" i="2"/>
  <c r="C84" i="6"/>
  <c r="C88" i="6"/>
  <c r="C87" i="6"/>
  <c r="C83" i="6"/>
  <c r="C85" i="6"/>
  <c r="C82" i="6"/>
  <c r="C86" i="6"/>
  <c r="N71" i="6"/>
  <c r="M7" i="5"/>
  <c r="N42" i="6"/>
  <c r="N46" i="6"/>
  <c r="N45" i="6"/>
  <c r="N41" i="6"/>
  <c r="N44" i="6"/>
  <c r="N40" i="6"/>
  <c r="N43" i="6"/>
  <c r="O41" i="10"/>
  <c r="N92" i="10" s="1"/>
  <c r="O45" i="10"/>
  <c r="O43" i="10"/>
  <c r="N100" i="10"/>
  <c r="O100" i="10" s="1"/>
  <c r="N53" i="10"/>
  <c r="N52" i="10"/>
  <c r="N99" i="10" s="1"/>
  <c r="N57" i="10"/>
  <c r="N55" i="10"/>
  <c r="N101" i="10" s="1"/>
  <c r="N54" i="10"/>
  <c r="D101" i="2"/>
  <c r="E104" i="2" s="1"/>
  <c r="C66" i="2"/>
  <c r="C64" i="2"/>
  <c r="C65" i="2"/>
  <c r="F16" i="3"/>
  <c r="F15" i="3"/>
  <c r="F18" i="3"/>
  <c r="F21" i="3"/>
  <c r="F20" i="3"/>
  <c r="F14" i="3"/>
  <c r="F19" i="3"/>
  <c r="F17" i="3"/>
  <c r="C152" i="2"/>
  <c r="C155" i="2"/>
  <c r="C154" i="2"/>
  <c r="C153" i="2"/>
  <c r="C151" i="2"/>
  <c r="C156" i="2"/>
  <c r="B130" i="10"/>
  <c r="C65" i="10"/>
  <c r="C66" i="10"/>
  <c r="B131" i="10" s="1"/>
  <c r="N63" i="6"/>
  <c r="N67" i="6"/>
  <c r="N62" i="6"/>
  <c r="N65" i="6"/>
  <c r="N61" i="6"/>
  <c r="N64" i="6"/>
  <c r="N66" i="6"/>
  <c r="M100" i="10"/>
  <c r="M91" i="10"/>
  <c r="M92" i="10" s="1"/>
  <c r="M102" i="10" s="1"/>
  <c r="N65" i="2"/>
  <c r="N66" i="2"/>
  <c r="N64" i="2"/>
  <c r="D16" i="5"/>
  <c r="C134" i="2"/>
  <c r="C136" i="2"/>
  <c r="C135" i="2"/>
  <c r="C137" i="2"/>
  <c r="C12" i="11"/>
  <c r="C10" i="11" s="1"/>
  <c r="B26" i="2" s="1"/>
  <c r="D24" i="2"/>
  <c r="E24" i="2" s="1"/>
  <c r="B151" i="2" s="1"/>
  <c r="B24" i="2"/>
  <c r="B134" i="2" s="1"/>
  <c r="C30" i="4"/>
  <c r="C24" i="4"/>
  <c r="C27" i="4"/>
  <c r="C28" i="4"/>
  <c r="C26" i="4"/>
  <c r="C31" i="4"/>
  <c r="C25" i="4"/>
  <c r="C42" i="6"/>
  <c r="C46" i="6"/>
  <c r="C45" i="6"/>
  <c r="C44" i="6"/>
  <c r="C43" i="6"/>
  <c r="C41" i="6"/>
  <c r="C40" i="6"/>
  <c r="Q16" i="3"/>
  <c r="Q15" i="3"/>
  <c r="Q18" i="3"/>
  <c r="Q21" i="3"/>
  <c r="Q17" i="3"/>
  <c r="Q20" i="3"/>
  <c r="Q14" i="3"/>
  <c r="Q19" i="3"/>
  <c r="N84" i="6"/>
  <c r="N88" i="6"/>
  <c r="N87" i="6"/>
  <c r="N83" i="6"/>
  <c r="N86" i="6"/>
  <c r="N82" i="6"/>
  <c r="N85" i="6"/>
  <c r="N20" i="5"/>
  <c r="N19" i="5"/>
  <c r="N22" i="5"/>
  <c r="N24" i="5"/>
  <c r="N21" i="5"/>
  <c r="N23" i="5"/>
  <c r="N18" i="5"/>
  <c r="C53" i="10"/>
  <c r="C102" i="10" s="1"/>
  <c r="C52" i="10"/>
  <c r="C99" i="10" s="1"/>
  <c r="D99" i="10" s="1"/>
  <c r="C57" i="10"/>
  <c r="C54" i="10"/>
  <c r="C55" i="10"/>
  <c r="C101" i="10" s="1"/>
  <c r="D101" i="10" s="1"/>
  <c r="C95" i="2"/>
  <c r="C96" i="2"/>
  <c r="C97" i="2"/>
  <c r="C94" i="2"/>
  <c r="C55" i="2"/>
  <c r="C58" i="2"/>
  <c r="C57" i="2"/>
  <c r="C56" i="2"/>
  <c r="N12" i="11"/>
  <c r="N11" i="11" s="1"/>
  <c r="O24" i="2"/>
  <c r="P24" i="2" s="1"/>
  <c r="M24" i="2"/>
  <c r="C111" i="2"/>
  <c r="C114" i="2"/>
  <c r="C113" i="2"/>
  <c r="C116" i="2"/>
  <c r="C115" i="2"/>
  <c r="C112" i="2"/>
  <c r="C62" i="6"/>
  <c r="C65" i="6"/>
  <c r="C61" i="6"/>
  <c r="C64" i="6"/>
  <c r="C66" i="6"/>
  <c r="C63" i="6"/>
  <c r="C67" i="6"/>
  <c r="B100" i="10"/>
  <c r="N26" i="4"/>
  <c r="N31" i="4"/>
  <c r="N30" i="4"/>
  <c r="N24" i="4"/>
  <c r="N27" i="4"/>
  <c r="N25" i="4"/>
  <c r="N28" i="4"/>
  <c r="N66" i="10"/>
  <c r="M131" i="10" s="1"/>
  <c r="D43" i="10"/>
  <c r="C91" i="10" s="1"/>
  <c r="D91" i="10" s="1"/>
  <c r="D45" i="10"/>
  <c r="D41" i="10"/>
  <c r="C92" i="10" s="1"/>
  <c r="C157" i="10" s="1"/>
  <c r="N56" i="2"/>
  <c r="N55" i="2"/>
  <c r="N58" i="2"/>
  <c r="N57" i="2"/>
  <c r="O76" i="10"/>
  <c r="O141" i="10"/>
  <c r="N143" i="10" s="1"/>
  <c r="C100" i="10"/>
  <c r="D141" i="2"/>
  <c r="B7" i="5"/>
  <c r="C109" i="10"/>
  <c r="B83" i="10"/>
  <c r="B99" i="10"/>
  <c r="M99" i="10"/>
  <c r="B33" i="10"/>
  <c r="B34" i="10" s="1"/>
  <c r="M54" i="10"/>
  <c r="D141" i="10"/>
  <c r="C143" i="10" s="1"/>
  <c r="B46" i="10"/>
  <c r="B54" i="10"/>
  <c r="M33" i="10"/>
  <c r="M34" i="10" s="1"/>
  <c r="O138" i="10" s="1"/>
  <c r="M83" i="10"/>
  <c r="B54" i="6"/>
  <c r="E97" i="2"/>
  <c r="E96" i="2"/>
  <c r="E95" i="2"/>
  <c r="E94" i="2"/>
  <c r="E65" i="2"/>
  <c r="E64" i="2"/>
  <c r="E66" i="2"/>
  <c r="P66" i="2"/>
  <c r="P64" i="2"/>
  <c r="P65" i="2"/>
  <c r="P58" i="2"/>
  <c r="P57" i="2"/>
  <c r="P56" i="2"/>
  <c r="P55" i="2"/>
  <c r="E58" i="2"/>
  <c r="E56" i="2"/>
  <c r="E55" i="2"/>
  <c r="E57" i="2"/>
  <c r="M47" i="2"/>
  <c r="C11" i="11"/>
  <c r="N9" i="11"/>
  <c r="M25" i="2" s="1"/>
  <c r="O37" i="2"/>
  <c r="D37" i="2"/>
  <c r="M64" i="10"/>
  <c r="O18" i="10"/>
  <c r="D18" i="10"/>
  <c r="C92" i="6"/>
  <c r="B100" i="6"/>
  <c r="B174" i="2"/>
  <c r="C164" i="2"/>
  <c r="B156" i="2"/>
  <c r="B90" i="2"/>
  <c r="B173" i="2"/>
  <c r="M100" i="6"/>
  <c r="N92" i="6"/>
  <c r="C84" i="2"/>
  <c r="B77" i="2"/>
  <c r="D76" i="10"/>
  <c r="B64" i="10"/>
  <c r="B92" i="10"/>
  <c r="M46" i="10"/>
  <c r="E103" i="2" l="1"/>
  <c r="M95" i="2"/>
  <c r="M135" i="2"/>
  <c r="M111" i="2"/>
  <c r="M72" i="2"/>
  <c r="M151" i="2"/>
  <c r="P144" i="2"/>
  <c r="P145" i="2"/>
  <c r="N143" i="2"/>
  <c r="N144" i="2"/>
  <c r="P143" i="2"/>
  <c r="N145" i="2"/>
  <c r="R162" i="2"/>
  <c r="N122" i="2"/>
  <c r="N82" i="2"/>
  <c r="N162" i="2"/>
  <c r="R122" i="2"/>
  <c r="R82" i="2"/>
  <c r="M94" i="2"/>
  <c r="M134" i="2"/>
  <c r="N105" i="2"/>
  <c r="N104" i="2"/>
  <c r="N103" i="2"/>
  <c r="P104" i="2"/>
  <c r="P105" i="2"/>
  <c r="P103" i="2"/>
  <c r="H151" i="2"/>
  <c r="F151" i="2"/>
  <c r="J151" i="2"/>
  <c r="B111" i="2"/>
  <c r="H111" i="2" s="1"/>
  <c r="B72" i="2"/>
  <c r="D72" i="2" s="1"/>
  <c r="B94" i="2"/>
  <c r="F94" i="2" s="1"/>
  <c r="G162" i="2"/>
  <c r="G122" i="2"/>
  <c r="G82" i="2"/>
  <c r="E143" i="2"/>
  <c r="E145" i="2"/>
  <c r="E144" i="2"/>
  <c r="F134" i="2"/>
  <c r="O99" i="10"/>
  <c r="O52" i="10"/>
  <c r="E105" i="2"/>
  <c r="B136" i="2"/>
  <c r="D136" i="2" s="1"/>
  <c r="B57" i="2"/>
  <c r="D57" i="2" s="1"/>
  <c r="B96" i="2"/>
  <c r="D96" i="2" s="1"/>
  <c r="D100" i="10"/>
  <c r="C20" i="5"/>
  <c r="C19" i="5"/>
  <c r="C22" i="5"/>
  <c r="C24" i="5"/>
  <c r="C23" i="5"/>
  <c r="C18" i="5"/>
  <c r="C21" i="5"/>
  <c r="D94" i="2"/>
  <c r="M93" i="10"/>
  <c r="N10" i="11"/>
  <c r="C9" i="11"/>
  <c r="B25" i="2" s="1"/>
  <c r="B56" i="2" s="1"/>
  <c r="D56" i="2" s="1"/>
  <c r="C145" i="2"/>
  <c r="C143" i="2"/>
  <c r="C144" i="2"/>
  <c r="N78" i="10"/>
  <c r="O78" i="10" s="1"/>
  <c r="O83" i="10" s="1"/>
  <c r="N107" i="10" s="1"/>
  <c r="O92" i="10"/>
  <c r="D52" i="10"/>
  <c r="C78" i="10"/>
  <c r="D78" i="10" s="1"/>
  <c r="D83" i="10" s="1"/>
  <c r="C107" i="10" s="1"/>
  <c r="B123" i="10"/>
  <c r="D54" i="10"/>
  <c r="M123" i="10"/>
  <c r="O54" i="10"/>
  <c r="M101" i="10"/>
  <c r="O27" i="2"/>
  <c r="P27" i="2" s="1"/>
  <c r="M55" i="2"/>
  <c r="O55" i="2" s="1"/>
  <c r="C122" i="2"/>
  <c r="D27" i="2"/>
  <c r="E27" i="2" s="1"/>
  <c r="B154" i="2" s="1"/>
  <c r="B55" i="2"/>
  <c r="D55" i="2" s="1"/>
  <c r="C82" i="2"/>
  <c r="C162" i="2"/>
  <c r="C105" i="2"/>
  <c r="C104" i="2"/>
  <c r="C103" i="2"/>
  <c r="D92" i="10"/>
  <c r="O86" i="10"/>
  <c r="C90" i="10"/>
  <c r="D90" i="10" s="1"/>
  <c r="D93" i="10" s="1"/>
  <c r="C108" i="10" s="1"/>
  <c r="N91" i="10"/>
  <c r="N63" i="10"/>
  <c r="N177" i="10"/>
  <c r="N157" i="10"/>
  <c r="O151" i="10"/>
  <c r="D156" i="2"/>
  <c r="H77" i="2"/>
  <c r="D77" i="2"/>
  <c r="D134" i="2"/>
  <c r="D154" i="2"/>
  <c r="D151" i="2"/>
  <c r="D111" i="2"/>
  <c r="C63" i="10"/>
  <c r="C177" i="10"/>
  <c r="B57" i="10"/>
  <c r="D57" i="10" s="1"/>
  <c r="D138" i="10"/>
  <c r="C45" i="10"/>
  <c r="E45" i="10" s="1"/>
  <c r="D151" i="10"/>
  <c r="C156" i="10"/>
  <c r="M57" i="10"/>
  <c r="O57" i="10" s="1"/>
  <c r="N45" i="10"/>
  <c r="B99" i="6"/>
  <c r="C71" i="6"/>
  <c r="C14" i="2"/>
  <c r="C15" i="2" s="1"/>
  <c r="C29" i="2" s="1"/>
  <c r="C28" i="2" s="1"/>
  <c r="B33" i="2"/>
  <c r="B95" i="2"/>
  <c r="D95" i="2" s="1"/>
  <c r="M33" i="2"/>
  <c r="N14" i="2"/>
  <c r="N15" i="2" s="1"/>
  <c r="N29" i="2" s="1"/>
  <c r="M56" i="2"/>
  <c r="N90" i="10"/>
  <c r="O90" i="10" s="1"/>
  <c r="N102" i="10"/>
  <c r="O102" i="10" s="1"/>
  <c r="B102" i="10"/>
  <c r="D102" i="10" s="1"/>
  <c r="B93" i="10"/>
  <c r="O101" i="10"/>
  <c r="M103" i="10"/>
  <c r="C124" i="2"/>
  <c r="B116" i="2"/>
  <c r="D116" i="2" s="1"/>
  <c r="D86" i="10"/>
  <c r="B75" i="2" l="1"/>
  <c r="B114" i="2"/>
  <c r="J114" i="2" s="1"/>
  <c r="M75" i="2"/>
  <c r="M154" i="2"/>
  <c r="M114" i="2"/>
  <c r="U72" i="2"/>
  <c r="Q72" i="2"/>
  <c r="S72" i="2"/>
  <c r="O72" i="2"/>
  <c r="N28" i="2"/>
  <c r="N26" i="2" s="1"/>
  <c r="M143" i="2"/>
  <c r="Q143" i="2" s="1"/>
  <c r="M103" i="2"/>
  <c r="Q103" i="2" s="1"/>
  <c r="Q134" i="2"/>
  <c r="O134" i="2"/>
  <c r="O111" i="2"/>
  <c r="S111" i="2"/>
  <c r="U111" i="2"/>
  <c r="Q111" i="2"/>
  <c r="N123" i="2"/>
  <c r="N83" i="2"/>
  <c r="R163" i="2"/>
  <c r="R123" i="2"/>
  <c r="M97" i="2"/>
  <c r="N163" i="2"/>
  <c r="M137" i="2"/>
  <c r="R83" i="2"/>
  <c r="O94" i="2"/>
  <c r="Q94" i="2"/>
  <c r="O135" i="2"/>
  <c r="Q135" i="2"/>
  <c r="B135" i="2"/>
  <c r="D135" i="2" s="1"/>
  <c r="F96" i="2"/>
  <c r="Q55" i="2"/>
  <c r="O151" i="2"/>
  <c r="U151" i="2"/>
  <c r="Q151" i="2"/>
  <c r="S151" i="2"/>
  <c r="O95" i="2"/>
  <c r="Q95" i="2"/>
  <c r="F75" i="2"/>
  <c r="J75" i="2"/>
  <c r="F72" i="2"/>
  <c r="J72" i="2"/>
  <c r="G83" i="2"/>
  <c r="G123" i="2"/>
  <c r="G163" i="2"/>
  <c r="H72" i="2"/>
  <c r="J154" i="2"/>
  <c r="F154" i="2"/>
  <c r="H154" i="2"/>
  <c r="F136" i="2"/>
  <c r="F114" i="2"/>
  <c r="F135" i="2"/>
  <c r="F111" i="2"/>
  <c r="J111" i="2"/>
  <c r="C155" i="10"/>
  <c r="F55" i="2"/>
  <c r="F57" i="2"/>
  <c r="N43" i="10"/>
  <c r="P43" i="10" s="1"/>
  <c r="P45" i="10"/>
  <c r="M26" i="2"/>
  <c r="N156" i="10"/>
  <c r="O91" i="10"/>
  <c r="O93" i="10" s="1"/>
  <c r="N108" i="10" s="1"/>
  <c r="N110" i="10" s="1"/>
  <c r="N155" i="10"/>
  <c r="H116" i="2"/>
  <c r="O28" i="2"/>
  <c r="C26" i="2"/>
  <c r="D26" i="2" s="1"/>
  <c r="D28" i="2"/>
  <c r="H75" i="2"/>
  <c r="D75" i="2"/>
  <c r="Q56" i="2"/>
  <c r="O56" i="2"/>
  <c r="O25" i="2"/>
  <c r="P25" i="2" s="1"/>
  <c r="C123" i="2"/>
  <c r="C163" i="2"/>
  <c r="D25" i="2"/>
  <c r="E25" i="2" s="1"/>
  <c r="C43" i="10"/>
  <c r="E43" i="10" s="1"/>
  <c r="M55" i="10"/>
  <c r="O55" i="10" s="1"/>
  <c r="N41" i="10"/>
  <c r="P41" i="10" s="1"/>
  <c r="F95" i="2"/>
  <c r="F56" i="2"/>
  <c r="B64" i="2"/>
  <c r="B103" i="2"/>
  <c r="D103" i="2" s="1"/>
  <c r="B143" i="2"/>
  <c r="D143" i="2" s="1"/>
  <c r="B58" i="2"/>
  <c r="D58" i="2" s="1"/>
  <c r="B97" i="2"/>
  <c r="B137" i="2"/>
  <c r="B34" i="2"/>
  <c r="C83" i="2"/>
  <c r="M64" i="2"/>
  <c r="O64" i="2" s="1"/>
  <c r="M58" i="2"/>
  <c r="O58" i="2" s="1"/>
  <c r="D103" i="10"/>
  <c r="C111" i="10" s="1"/>
  <c r="B103" i="10"/>
  <c r="C110" i="10"/>
  <c r="O103" i="10"/>
  <c r="N111" i="10" s="1"/>
  <c r="H114" i="2" l="1"/>
  <c r="D114" i="2"/>
  <c r="M152" i="2"/>
  <c r="M73" i="2"/>
  <c r="M112" i="2"/>
  <c r="M105" i="2"/>
  <c r="M145" i="2"/>
  <c r="M136" i="2"/>
  <c r="M96" i="2"/>
  <c r="Q137" i="2"/>
  <c r="O137" i="2"/>
  <c r="M144" i="2"/>
  <c r="M104" i="2"/>
  <c r="U114" i="2"/>
  <c r="O114" i="2"/>
  <c r="S114" i="2"/>
  <c r="Q114" i="2"/>
  <c r="Q154" i="2"/>
  <c r="O154" i="2"/>
  <c r="S154" i="2"/>
  <c r="U154" i="2"/>
  <c r="O97" i="2"/>
  <c r="Q97" i="2"/>
  <c r="O103" i="2"/>
  <c r="O143" i="2"/>
  <c r="S75" i="2"/>
  <c r="Q75" i="2"/>
  <c r="U75" i="2"/>
  <c r="O75" i="2"/>
  <c r="D137" i="2"/>
  <c r="D138" i="2" s="1"/>
  <c r="C160" i="2" s="1"/>
  <c r="F137" i="2"/>
  <c r="F138" i="2" s="1"/>
  <c r="G160" i="2" s="1"/>
  <c r="F143" i="2"/>
  <c r="M34" i="2"/>
  <c r="O26" i="2"/>
  <c r="M57" i="2"/>
  <c r="M59" i="2" s="1"/>
  <c r="N112" i="10"/>
  <c r="B112" i="2"/>
  <c r="B152" i="2"/>
  <c r="B73" i="2"/>
  <c r="J73" i="2" s="1"/>
  <c r="F97" i="2"/>
  <c r="D97" i="2"/>
  <c r="D98" i="2" s="1"/>
  <c r="C120" i="2" s="1"/>
  <c r="B15" i="3"/>
  <c r="E15" i="3" s="1"/>
  <c r="G15" i="3" s="1"/>
  <c r="C41" i="10"/>
  <c r="E41" i="10" s="1"/>
  <c r="B55" i="10"/>
  <c r="D55" i="10" s="1"/>
  <c r="N46" i="10"/>
  <c r="M53" i="10"/>
  <c r="O53" i="10" s="1"/>
  <c r="P46" i="10"/>
  <c r="N64" i="10" s="1"/>
  <c r="N67" i="10" s="1"/>
  <c r="F98" i="2"/>
  <c r="G120" i="2" s="1"/>
  <c r="C112" i="10"/>
  <c r="Q58" i="2"/>
  <c r="Q64" i="2"/>
  <c r="D59" i="2"/>
  <c r="C80" i="2" s="1"/>
  <c r="F58" i="2"/>
  <c r="F59" i="2" s="1"/>
  <c r="G80" i="2" s="1"/>
  <c r="F103" i="2"/>
  <c r="D64" i="2"/>
  <c r="F64" i="2"/>
  <c r="B59" i="2"/>
  <c r="B98" i="2"/>
  <c r="B104" i="2"/>
  <c r="D104" i="2" s="1"/>
  <c r="E28" i="2"/>
  <c r="B144" i="2"/>
  <c r="B65" i="2"/>
  <c r="B138" i="2"/>
  <c r="P28" i="2"/>
  <c r="M65" i="2"/>
  <c r="O65" i="2" s="1"/>
  <c r="M15" i="3"/>
  <c r="Q136" i="2" l="1"/>
  <c r="Q138" i="2" s="1"/>
  <c r="R160" i="2" s="1"/>
  <c r="O136" i="2"/>
  <c r="O138" i="2" s="1"/>
  <c r="N160" i="2" s="1"/>
  <c r="M138" i="2"/>
  <c r="O145" i="2"/>
  <c r="Q145" i="2"/>
  <c r="S152" i="2"/>
  <c r="O152" i="2"/>
  <c r="Q152" i="2"/>
  <c r="U152" i="2"/>
  <c r="O104" i="2"/>
  <c r="Q104" i="2"/>
  <c r="M146" i="2"/>
  <c r="O144" i="2"/>
  <c r="Q144" i="2"/>
  <c r="Q146" i="2" s="1"/>
  <c r="R161" i="2" s="1"/>
  <c r="S112" i="2"/>
  <c r="O112" i="2"/>
  <c r="Q112" i="2"/>
  <c r="U112" i="2"/>
  <c r="M106" i="2"/>
  <c r="O96" i="2"/>
  <c r="O98" i="2" s="1"/>
  <c r="N120" i="2" s="1"/>
  <c r="Q96" i="2"/>
  <c r="Q98" i="2" s="1"/>
  <c r="R120" i="2" s="1"/>
  <c r="M98" i="2"/>
  <c r="S73" i="2"/>
  <c r="Q73" i="2"/>
  <c r="O73" i="2"/>
  <c r="U73" i="2"/>
  <c r="M155" i="2"/>
  <c r="M76" i="2"/>
  <c r="M115" i="2"/>
  <c r="O105" i="2"/>
  <c r="O106" i="2" s="1"/>
  <c r="N121" i="2" s="1"/>
  <c r="Q105" i="2"/>
  <c r="D152" i="2"/>
  <c r="J152" i="2"/>
  <c r="F152" i="2"/>
  <c r="H152" i="2"/>
  <c r="D144" i="2"/>
  <c r="F144" i="2"/>
  <c r="D112" i="2"/>
  <c r="J112" i="2"/>
  <c r="F112" i="2"/>
  <c r="H112" i="2"/>
  <c r="D73" i="2"/>
  <c r="F73" i="2"/>
  <c r="H73" i="2"/>
  <c r="O57" i="2"/>
  <c r="O59" i="2" s="1"/>
  <c r="N80" i="2" s="1"/>
  <c r="Q57" i="2"/>
  <c r="Q59" i="2" s="1"/>
  <c r="R80" i="2" s="1"/>
  <c r="P15" i="3"/>
  <c r="R15" i="3" s="1"/>
  <c r="C46" i="10"/>
  <c r="B53" i="10"/>
  <c r="D53" i="10" s="1"/>
  <c r="E46" i="10"/>
  <c r="C64" i="10" s="1"/>
  <c r="C67" i="10" s="1"/>
  <c r="M58" i="10"/>
  <c r="O58" i="10"/>
  <c r="N61" i="10" s="1"/>
  <c r="N68" i="10" s="1"/>
  <c r="M117" i="10" s="1"/>
  <c r="Q65" i="2"/>
  <c r="D65" i="2"/>
  <c r="F65" i="2"/>
  <c r="F104" i="2"/>
  <c r="B145" i="2"/>
  <c r="B105" i="2"/>
  <c r="C34" i="2"/>
  <c r="B66" i="2"/>
  <c r="F66" i="2" s="1"/>
  <c r="B115" i="2"/>
  <c r="B76" i="2"/>
  <c r="B155" i="2"/>
  <c r="B18" i="3"/>
  <c r="M66" i="2"/>
  <c r="O66" i="2" s="1"/>
  <c r="N34" i="2"/>
  <c r="M18" i="3"/>
  <c r="B25" i="4"/>
  <c r="D25" i="4" s="1"/>
  <c r="N165" i="2" l="1"/>
  <c r="M25" i="4"/>
  <c r="O25" i="4" s="1"/>
  <c r="N125" i="2"/>
  <c r="Q76" i="2"/>
  <c r="S76" i="2"/>
  <c r="U76" i="2"/>
  <c r="O76" i="2"/>
  <c r="O146" i="2"/>
  <c r="N161" i="2" s="1"/>
  <c r="U115" i="2"/>
  <c r="O115" i="2"/>
  <c r="S115" i="2"/>
  <c r="Q115" i="2"/>
  <c r="S155" i="2"/>
  <c r="O155" i="2"/>
  <c r="Q155" i="2"/>
  <c r="U155" i="2"/>
  <c r="Q106" i="2"/>
  <c r="R121" i="2" s="1"/>
  <c r="R125" i="2" s="1"/>
  <c r="R165" i="2"/>
  <c r="F115" i="2"/>
  <c r="J115" i="2"/>
  <c r="D145" i="2"/>
  <c r="D146" i="2" s="1"/>
  <c r="C161" i="2" s="1"/>
  <c r="C165" i="2" s="1"/>
  <c r="F145" i="2"/>
  <c r="F146" i="2" s="1"/>
  <c r="G161" i="2" s="1"/>
  <c r="G165" i="2" s="1"/>
  <c r="J155" i="2"/>
  <c r="H155" i="2"/>
  <c r="F155" i="2"/>
  <c r="F76" i="2"/>
  <c r="J76" i="2"/>
  <c r="M129" i="10"/>
  <c r="M132" i="10" s="1"/>
  <c r="L135" i="10"/>
  <c r="M143" i="10"/>
  <c r="O143" i="10" s="1"/>
  <c r="O136" i="10"/>
  <c r="O137" i="10" s="1"/>
  <c r="O139" i="10" s="1"/>
  <c r="M155" i="10" s="1"/>
  <c r="O155" i="10" s="1"/>
  <c r="F67" i="2"/>
  <c r="G81" i="2" s="1"/>
  <c r="G85" i="2" s="1"/>
  <c r="P18" i="3"/>
  <c r="R18" i="3" s="1"/>
  <c r="E18" i="3"/>
  <c r="H76" i="2"/>
  <c r="D76" i="2"/>
  <c r="F105" i="2"/>
  <c r="F106" i="2" s="1"/>
  <c r="G121" i="2" s="1"/>
  <c r="G125" i="2" s="1"/>
  <c r="D105" i="2"/>
  <c r="D106" i="2" s="1"/>
  <c r="C121" i="2" s="1"/>
  <c r="C125" i="2" s="1"/>
  <c r="M67" i="2"/>
  <c r="D155" i="2"/>
  <c r="H115" i="2"/>
  <c r="D115" i="2"/>
  <c r="D58" i="10"/>
  <c r="C61" i="10" s="1"/>
  <c r="C68" i="10" s="1"/>
  <c r="B58" i="10"/>
  <c r="M121" i="10"/>
  <c r="M124" i="10"/>
  <c r="M125" i="10"/>
  <c r="M122" i="10"/>
  <c r="O67" i="2"/>
  <c r="N81" i="2" s="1"/>
  <c r="N85" i="2" s="1"/>
  <c r="Q66" i="2"/>
  <c r="Q67" i="2" s="1"/>
  <c r="R81" i="2" s="1"/>
  <c r="R85" i="2" s="1"/>
  <c r="D34" i="2"/>
  <c r="E26" i="2"/>
  <c r="B67" i="2"/>
  <c r="D66" i="2"/>
  <c r="D67" i="2" s="1"/>
  <c r="C81" i="2" s="1"/>
  <c r="C85" i="2" s="1"/>
  <c r="B106" i="2"/>
  <c r="B146" i="2"/>
  <c r="O34" i="2"/>
  <c r="P26" i="2"/>
  <c r="B19" i="5"/>
  <c r="M19" i="5" l="1"/>
  <c r="Q19" i="5" s="1"/>
  <c r="M74" i="2"/>
  <c r="M153" i="2"/>
  <c r="M113" i="2"/>
  <c r="M28" i="4"/>
  <c r="O28" i="4" s="1"/>
  <c r="M156" i="10"/>
  <c r="O156" i="10" s="1"/>
  <c r="M170" i="10"/>
  <c r="O170" i="10" s="1"/>
  <c r="B117" i="10"/>
  <c r="B122" i="10" s="1"/>
  <c r="N184" i="10"/>
  <c r="O148" i="10"/>
  <c r="N179" i="10" s="1"/>
  <c r="M165" i="10"/>
  <c r="O165" i="10" s="1"/>
  <c r="M148" i="10"/>
  <c r="M22" i="5"/>
  <c r="Q22" i="5" s="1"/>
  <c r="F19" i="5"/>
  <c r="D19" i="5"/>
  <c r="B28" i="4"/>
  <c r="G18" i="3"/>
  <c r="O19" i="5"/>
  <c r="D136" i="10"/>
  <c r="D137" i="10" s="1"/>
  <c r="D139" i="10" s="1"/>
  <c r="B155" i="10" s="1"/>
  <c r="M126" i="10"/>
  <c r="B74" i="2"/>
  <c r="B153" i="2"/>
  <c r="B113" i="2"/>
  <c r="E34" i="2"/>
  <c r="C48" i="2" s="1"/>
  <c r="E48" i="2" s="1"/>
  <c r="P34" i="2"/>
  <c r="N48" i="2" s="1"/>
  <c r="P48" i="2" s="1"/>
  <c r="M12" i="6"/>
  <c r="N12" i="6" s="1"/>
  <c r="B12" i="6"/>
  <c r="C12" i="6" s="1"/>
  <c r="O74" i="2" l="1"/>
  <c r="O78" i="2" s="1"/>
  <c r="U74" i="2"/>
  <c r="U78" i="2" s="1"/>
  <c r="Q74" i="2"/>
  <c r="Q78" i="2" s="1"/>
  <c r="S74" i="2"/>
  <c r="S78" i="2" s="1"/>
  <c r="M78" i="2"/>
  <c r="U113" i="2"/>
  <c r="U117" i="2" s="1"/>
  <c r="Q113" i="2"/>
  <c r="Q117" i="2" s="1"/>
  <c r="O113" i="2"/>
  <c r="O117" i="2" s="1"/>
  <c r="S113" i="2"/>
  <c r="S117" i="2" s="1"/>
  <c r="M117" i="2"/>
  <c r="U153" i="2"/>
  <c r="U157" i="2" s="1"/>
  <c r="S153" i="2"/>
  <c r="S157" i="2" s="1"/>
  <c r="O153" i="2"/>
  <c r="O157" i="2" s="1"/>
  <c r="Q153" i="2"/>
  <c r="Q157" i="2" s="1"/>
  <c r="M157" i="2"/>
  <c r="F74" i="2"/>
  <c r="F78" i="2" s="1"/>
  <c r="J74" i="2"/>
  <c r="J78" i="2" s="1"/>
  <c r="F113" i="2"/>
  <c r="F117" i="2" s="1"/>
  <c r="J113" i="2"/>
  <c r="J117" i="2" s="1"/>
  <c r="H153" i="2"/>
  <c r="H157" i="2" s="1"/>
  <c r="J153" i="2"/>
  <c r="J157" i="2" s="1"/>
  <c r="F153" i="2"/>
  <c r="F157" i="2" s="1"/>
  <c r="B121" i="10"/>
  <c r="B124" i="10"/>
  <c r="B125" i="10"/>
  <c r="B143" i="10"/>
  <c r="D143" i="10" s="1"/>
  <c r="D148" i="10" s="1"/>
  <c r="C179" i="10" s="1"/>
  <c r="M168" i="10"/>
  <c r="O168" i="10" s="1"/>
  <c r="B170" i="10"/>
  <c r="D170" i="10" s="1"/>
  <c r="D155" i="10"/>
  <c r="A135" i="10"/>
  <c r="B129" i="10"/>
  <c r="B132" i="10" s="1"/>
  <c r="M157" i="10"/>
  <c r="M15" i="6"/>
  <c r="N15" i="6" s="1"/>
  <c r="M44" i="6" s="1"/>
  <c r="O44" i="6" s="1"/>
  <c r="O22" i="5"/>
  <c r="D153" i="2"/>
  <c r="D157" i="2" s="1"/>
  <c r="D28" i="4"/>
  <c r="B22" i="5"/>
  <c r="B41" i="2"/>
  <c r="H113" i="2"/>
  <c r="H117" i="2" s="1"/>
  <c r="D113" i="2"/>
  <c r="D117" i="2" s="1"/>
  <c r="H74" i="2"/>
  <c r="H78" i="2" s="1"/>
  <c r="D74" i="2"/>
  <c r="D78" i="2" s="1"/>
  <c r="M41" i="2"/>
  <c r="C184" i="10"/>
  <c r="B156" i="10"/>
  <c r="N123" i="10"/>
  <c r="N121" i="10"/>
  <c r="N124" i="10"/>
  <c r="N122" i="10"/>
  <c r="N125" i="10"/>
  <c r="C47" i="2"/>
  <c r="E47" i="2" s="1"/>
  <c r="C205" i="2" s="1"/>
  <c r="C46" i="2"/>
  <c r="E46" i="2" s="1"/>
  <c r="C204" i="2" s="1"/>
  <c r="C45" i="2"/>
  <c r="E45" i="2" s="1"/>
  <c r="C203" i="2" s="1"/>
  <c r="B157" i="2"/>
  <c r="B117" i="2"/>
  <c r="B78" i="2"/>
  <c r="N45" i="2"/>
  <c r="P45" i="2" s="1"/>
  <c r="N203" i="2" s="1"/>
  <c r="N46" i="2"/>
  <c r="P46" i="2" s="1"/>
  <c r="N204" i="2" s="1"/>
  <c r="N47" i="2"/>
  <c r="P47" i="2" s="1"/>
  <c r="N205" i="2" s="1"/>
  <c r="B83" i="6"/>
  <c r="D83" i="6" s="1"/>
  <c r="B128" i="6"/>
  <c r="D128" i="6" s="1"/>
  <c r="B62" i="6"/>
  <c r="D62" i="6" s="1"/>
  <c r="B41" i="6"/>
  <c r="D41" i="6" s="1"/>
  <c r="M83" i="6"/>
  <c r="O83" i="6" s="1"/>
  <c r="M62" i="6"/>
  <c r="O62" i="6" s="1"/>
  <c r="M128" i="6"/>
  <c r="O128" i="6" s="1"/>
  <c r="M41" i="6"/>
  <c r="O41" i="6" s="1"/>
  <c r="O204" i="2" l="1"/>
  <c r="M167" i="2"/>
  <c r="M127" i="2"/>
  <c r="O173" i="2"/>
  <c r="Q87" i="2"/>
  <c r="O203" i="2"/>
  <c r="Q127" i="2"/>
  <c r="O205" i="2"/>
  <c r="Q167" i="2"/>
  <c r="O174" i="2"/>
  <c r="M87" i="2"/>
  <c r="O172" i="2"/>
  <c r="F87" i="2"/>
  <c r="D203" i="2"/>
  <c r="F167" i="2"/>
  <c r="D205" i="2"/>
  <c r="D204" i="2"/>
  <c r="F127" i="2"/>
  <c r="M86" i="6"/>
  <c r="O86" i="6" s="1"/>
  <c r="B126" i="10"/>
  <c r="C121" i="10" s="1"/>
  <c r="B148" i="10"/>
  <c r="B165" i="10"/>
  <c r="D165" i="10" s="1"/>
  <c r="M158" i="10"/>
  <c r="O157" i="10"/>
  <c r="M131" i="6"/>
  <c r="O131" i="6" s="1"/>
  <c r="B168" i="10"/>
  <c r="D168" i="10" s="1"/>
  <c r="D156" i="10"/>
  <c r="O158" i="10"/>
  <c r="N178" i="10" s="1"/>
  <c r="N185" i="10" s="1"/>
  <c r="M166" i="10"/>
  <c r="O166" i="10" s="1"/>
  <c r="M65" i="6"/>
  <c r="O65" i="6" s="1"/>
  <c r="B87" i="2"/>
  <c r="D172" i="2"/>
  <c r="B127" i="2"/>
  <c r="D173" i="2"/>
  <c r="B167" i="2"/>
  <c r="D174" i="2"/>
  <c r="F22" i="5"/>
  <c r="D22" i="5"/>
  <c r="B15" i="6"/>
  <c r="C15" i="6" s="1"/>
  <c r="B157" i="10"/>
  <c r="N126" i="10"/>
  <c r="M198" i="2" l="1"/>
  <c r="N198" i="2" s="1"/>
  <c r="C123" i="10"/>
  <c r="C126" i="10" s="1"/>
  <c r="B198" i="2"/>
  <c r="B19" i="3" s="1"/>
  <c r="C124" i="10"/>
  <c r="B230" i="2"/>
  <c r="C230" i="2" s="1"/>
  <c r="M230" i="2"/>
  <c r="N230" i="2" s="1"/>
  <c r="C125" i="10"/>
  <c r="C122" i="10"/>
  <c r="O171" i="10"/>
  <c r="N174" i="10" s="1"/>
  <c r="L189" i="10" s="1"/>
  <c r="M171" i="10"/>
  <c r="B166" i="10"/>
  <c r="B171" i="10" s="1"/>
  <c r="D157" i="10"/>
  <c r="D158" i="10" s="1"/>
  <c r="B65" i="6"/>
  <c r="D65" i="6" s="1"/>
  <c r="B86" i="6"/>
  <c r="D86" i="6" s="1"/>
  <c r="B131" i="6"/>
  <c r="D131" i="6" s="1"/>
  <c r="B44" i="6"/>
  <c r="D44" i="6" s="1"/>
  <c r="B158" i="10"/>
  <c r="D166" i="10" l="1"/>
  <c r="D171" i="10" s="1"/>
  <c r="C174" i="10" s="1"/>
  <c r="B11" i="4"/>
  <c r="B10" i="4" s="1"/>
  <c r="C178" i="10"/>
  <c r="C185" i="10" s="1"/>
  <c r="B14" i="3"/>
  <c r="C198" i="2"/>
  <c r="D12" i="3" s="1"/>
  <c r="B17" i="3"/>
  <c r="B16" i="3"/>
  <c r="E19" i="3"/>
  <c r="M17" i="3"/>
  <c r="M19" i="3"/>
  <c r="M11" i="4" s="1"/>
  <c r="M10" i="4" s="1"/>
  <c r="M16" i="3"/>
  <c r="M14" i="3"/>
  <c r="O12" i="3"/>
  <c r="N16" i="3" l="1"/>
  <c r="N15" i="3"/>
  <c r="O15" i="3" s="1"/>
  <c r="C16" i="3"/>
  <c r="D16" i="3" s="1"/>
  <c r="C15" i="3"/>
  <c r="D15" i="3" s="1"/>
  <c r="N14" i="3"/>
  <c r="O14" i="3" s="1"/>
  <c r="N18" i="3"/>
  <c r="O18" i="3" s="1"/>
  <c r="C14" i="3"/>
  <c r="D14" i="3" s="1"/>
  <c r="C18" i="3"/>
  <c r="D18" i="3" s="1"/>
  <c r="N17" i="3"/>
  <c r="O17" i="3" s="1"/>
  <c r="N19" i="3"/>
  <c r="O19" i="3" s="1"/>
  <c r="C17" i="3"/>
  <c r="D17" i="3" s="1"/>
  <c r="C19" i="3"/>
  <c r="D19" i="3" s="1"/>
  <c r="E16" i="3"/>
  <c r="G16" i="3" s="1"/>
  <c r="D40" i="4"/>
  <c r="D39" i="4" s="1"/>
  <c r="G19" i="3"/>
  <c r="E17" i="3"/>
  <c r="G17" i="3" s="1"/>
  <c r="E14" i="3"/>
  <c r="G14" i="3" s="1"/>
  <c r="O16" i="3"/>
  <c r="B22" i="3"/>
  <c r="B31" i="4"/>
  <c r="D31" i="4" s="1"/>
  <c r="B30" i="4"/>
  <c r="D30" i="4" s="1"/>
  <c r="E20" i="3"/>
  <c r="E21" i="3"/>
  <c r="P14" i="3"/>
  <c r="R14" i="3" s="1"/>
  <c r="M22" i="3"/>
  <c r="P19" i="3"/>
  <c r="P16" i="3"/>
  <c r="R16" i="3" s="1"/>
  <c r="P17" i="3"/>
  <c r="R17" i="3" s="1"/>
  <c r="B26" i="4" l="1"/>
  <c r="D26" i="4" s="1"/>
  <c r="D27" i="3"/>
  <c r="G21" i="3"/>
  <c r="R19" i="3"/>
  <c r="O40" i="4"/>
  <c r="O39" i="4" s="1"/>
  <c r="D26" i="3"/>
  <c r="G20" i="3"/>
  <c r="B24" i="4"/>
  <c r="D24" i="4" s="1"/>
  <c r="B27" i="4"/>
  <c r="D27" i="4" s="1"/>
  <c r="D22" i="3"/>
  <c r="O22" i="3"/>
  <c r="E22" i="3"/>
  <c r="B13" i="4" s="1"/>
  <c r="M27" i="4"/>
  <c r="O27" i="4" s="1"/>
  <c r="M24" i="4"/>
  <c r="O24" i="4" s="1"/>
  <c r="M26" i="4"/>
  <c r="O26" i="4" s="1"/>
  <c r="P21" i="3"/>
  <c r="R21" i="3" s="1"/>
  <c r="P20" i="3"/>
  <c r="M31" i="4"/>
  <c r="O31" i="4" s="1"/>
  <c r="M30" i="4"/>
  <c r="O30" i="4" s="1"/>
  <c r="B21" i="5" l="1"/>
  <c r="D21" i="5" s="1"/>
  <c r="B20" i="5"/>
  <c r="B13" i="6" s="1"/>
  <c r="C13" i="6" s="1"/>
  <c r="B84" i="6" s="1"/>
  <c r="D84" i="6" s="1"/>
  <c r="B18" i="5"/>
  <c r="F18" i="5" s="1"/>
  <c r="D32" i="4"/>
  <c r="O26" i="3"/>
  <c r="R20" i="3"/>
  <c r="B32" i="4"/>
  <c r="M32" i="4"/>
  <c r="G22" i="3"/>
  <c r="C24" i="3" s="1"/>
  <c r="B30" i="3" s="1"/>
  <c r="B34" i="3"/>
  <c r="A37" i="3" s="1"/>
  <c r="B14" i="4"/>
  <c r="O27" i="3"/>
  <c r="M20" i="5"/>
  <c r="M18" i="5"/>
  <c r="M21" i="5"/>
  <c r="P22" i="3"/>
  <c r="M13" i="4" s="1"/>
  <c r="F21" i="5" l="1"/>
  <c r="D18" i="5"/>
  <c r="F20" i="5"/>
  <c r="B14" i="6"/>
  <c r="C14" i="6" s="1"/>
  <c r="B85" i="6" s="1"/>
  <c r="D85" i="6" s="1"/>
  <c r="B63" i="6"/>
  <c r="D63" i="6" s="1"/>
  <c r="B42" i="6"/>
  <c r="D42" i="6" s="1"/>
  <c r="D20" i="5"/>
  <c r="B11" i="6"/>
  <c r="C11" i="6" s="1"/>
  <c r="B82" i="6" s="1"/>
  <c r="D82" i="6" s="1"/>
  <c r="O21" i="5"/>
  <c r="Q21" i="5"/>
  <c r="Q20" i="5"/>
  <c r="O20" i="5"/>
  <c r="O18" i="5"/>
  <c r="Q18" i="5"/>
  <c r="B18" i="4"/>
  <c r="F24" i="5" s="1"/>
  <c r="B16" i="4"/>
  <c r="C33" i="4"/>
  <c r="R22" i="3"/>
  <c r="N24" i="3" s="1"/>
  <c r="M30" i="3" s="1"/>
  <c r="M14" i="4"/>
  <c r="M16" i="4" s="1"/>
  <c r="M11" i="6"/>
  <c r="N11" i="6" s="1"/>
  <c r="M40" i="6" s="1"/>
  <c r="O40" i="6" s="1"/>
  <c r="M13" i="6"/>
  <c r="N13" i="6" s="1"/>
  <c r="M14" i="6"/>
  <c r="N14" i="6" s="1"/>
  <c r="M34" i="3"/>
  <c r="L37" i="3" s="1"/>
  <c r="O32" i="4"/>
  <c r="B64" i="6" l="1"/>
  <c r="D64" i="6" s="1"/>
  <c r="B43" i="6"/>
  <c r="D43" i="6" s="1"/>
  <c r="B61" i="6"/>
  <c r="D61" i="6" s="1"/>
  <c r="B40" i="6"/>
  <c r="D40" i="6" s="1"/>
  <c r="M82" i="6"/>
  <c r="O82" i="6" s="1"/>
  <c r="F23" i="5"/>
  <c r="F25" i="5" s="1"/>
  <c r="C5" i="5"/>
  <c r="C8" i="5" s="1"/>
  <c r="M61" i="6"/>
  <c r="O61" i="6" s="1"/>
  <c r="N33" i="4"/>
  <c r="B19" i="4"/>
  <c r="D37" i="4" s="1"/>
  <c r="B23" i="5"/>
  <c r="D23" i="5" s="1"/>
  <c r="B17" i="4"/>
  <c r="D36" i="4" s="1"/>
  <c r="B24" i="5"/>
  <c r="D24" i="5" s="1"/>
  <c r="M64" i="6"/>
  <c r="O64" i="6" s="1"/>
  <c r="M43" i="6"/>
  <c r="O43" i="6" s="1"/>
  <c r="M85" i="6"/>
  <c r="O85" i="6" s="1"/>
  <c r="M84" i="6"/>
  <c r="O84" i="6" s="1"/>
  <c r="M63" i="6"/>
  <c r="O63" i="6" s="1"/>
  <c r="M42" i="6"/>
  <c r="O42" i="6" s="1"/>
  <c r="M18" i="4"/>
  <c r="Q24" i="5" s="1"/>
  <c r="Q23" i="5" l="1"/>
  <c r="N5" i="5"/>
  <c r="N8" i="5" s="1"/>
  <c r="B42" i="4"/>
  <c r="B25" i="5"/>
  <c r="B16" i="6"/>
  <c r="B17" i="6"/>
  <c r="E8" i="5"/>
  <c r="C9" i="5" s="1"/>
  <c r="M23" i="5"/>
  <c r="O23" i="5" s="1"/>
  <c r="M24" i="5"/>
  <c r="O24" i="5" s="1"/>
  <c r="M17" i="4"/>
  <c r="O36" i="4" s="1"/>
  <c r="M19" i="4"/>
  <c r="O37" i="4" s="1"/>
  <c r="C17" i="6" l="1"/>
  <c r="B88" i="6" s="1"/>
  <c r="D88" i="6" s="1"/>
  <c r="Q25" i="5"/>
  <c r="B18" i="6"/>
  <c r="D25" i="5"/>
  <c r="D137" i="6" s="1"/>
  <c r="M17" i="6"/>
  <c r="P8" i="5"/>
  <c r="N9" i="5" s="1"/>
  <c r="M16" i="6"/>
  <c r="M25" i="5"/>
  <c r="M42" i="4"/>
  <c r="C18" i="6" l="1"/>
  <c r="C27" i="6" s="1"/>
  <c r="E27" i="6" s="1"/>
  <c r="B46" i="6"/>
  <c r="D46" i="6" s="1"/>
  <c r="B67" i="6"/>
  <c r="D67" i="6" s="1"/>
  <c r="N17" i="6"/>
  <c r="B87" i="6"/>
  <c r="O25" i="5"/>
  <c r="N49" i="6" s="1"/>
  <c r="N51" i="6" s="1"/>
  <c r="O98" i="6" s="1"/>
  <c r="C49" i="6"/>
  <c r="C51" i="6" s="1"/>
  <c r="D98" i="6" s="1"/>
  <c r="C70" i="6"/>
  <c r="C72" i="6" s="1"/>
  <c r="D99" i="6" s="1"/>
  <c r="C91" i="6"/>
  <c r="C93" i="6" s="1"/>
  <c r="D100" i="6" s="1"/>
  <c r="C27" i="5"/>
  <c r="M18" i="6"/>
  <c r="A22" i="6" l="1"/>
  <c r="B45" i="6"/>
  <c r="D45" i="6" s="1"/>
  <c r="D47" i="6" s="1"/>
  <c r="C98" i="6" s="1"/>
  <c r="C28" i="6"/>
  <c r="E28" i="6" s="1"/>
  <c r="C26" i="6"/>
  <c r="E26" i="6" s="1"/>
  <c r="C29" i="6"/>
  <c r="E29" i="6" s="1"/>
  <c r="B66" i="6"/>
  <c r="B68" i="6" s="1"/>
  <c r="D87" i="6"/>
  <c r="D89" i="6" s="1"/>
  <c r="C100" i="6" s="1"/>
  <c r="N91" i="6"/>
  <c r="N93" i="6" s="1"/>
  <c r="O100" i="6" s="1"/>
  <c r="O137" i="6"/>
  <c r="B89" i="6"/>
  <c r="M88" i="6"/>
  <c r="O88" i="6" s="1"/>
  <c r="N27" i="5"/>
  <c r="N70" i="6"/>
  <c r="N72" i="6" s="1"/>
  <c r="O99" i="6" s="1"/>
  <c r="M67" i="6"/>
  <c r="O67" i="6" s="1"/>
  <c r="N18" i="6"/>
  <c r="N28" i="6" s="1"/>
  <c r="P28" i="6" s="1"/>
  <c r="M46" i="6"/>
  <c r="M87" i="6" l="1"/>
  <c r="O87" i="6" s="1"/>
  <c r="O89" i="6" s="1"/>
  <c r="N100" i="6" s="1"/>
  <c r="B47" i="6"/>
  <c r="D66" i="6"/>
  <c r="D68" i="6" s="1"/>
  <c r="C99" i="6" s="1"/>
  <c r="M45" i="6"/>
  <c r="O45" i="6" s="1"/>
  <c r="O46" i="6"/>
  <c r="L22" i="6"/>
  <c r="C119" i="6"/>
  <c r="D138" i="6" s="1"/>
  <c r="D139" i="6" s="1"/>
  <c r="N29" i="6"/>
  <c r="P29" i="6" s="1"/>
  <c r="M66" i="6"/>
  <c r="N27" i="6"/>
  <c r="P27" i="6" s="1"/>
  <c r="N26" i="6"/>
  <c r="P26" i="6" s="1"/>
  <c r="M89" i="6" l="1"/>
  <c r="M47" i="6"/>
  <c r="O47" i="6"/>
  <c r="N98" i="6" s="1"/>
  <c r="B130" i="6"/>
  <c r="D130" i="6" s="1"/>
  <c r="M68" i="6"/>
  <c r="O66" i="6"/>
  <c r="O68" i="6" s="1"/>
  <c r="N99" i="6" s="1"/>
  <c r="B133" i="6"/>
  <c r="D133" i="6" s="1"/>
  <c r="B129" i="6"/>
  <c r="D129" i="6" s="1"/>
  <c r="B127" i="6"/>
  <c r="D127" i="6" s="1"/>
  <c r="D119" i="6"/>
  <c r="F119" i="6" s="1"/>
  <c r="B132" i="6" l="1"/>
  <c r="D132" i="6" s="1"/>
  <c r="D134" i="6" s="1"/>
  <c r="A142" i="6" s="1"/>
  <c r="N119" i="6"/>
  <c r="M130" i="6" s="1"/>
  <c r="O130" i="6" s="1"/>
  <c r="B134" i="6" l="1"/>
  <c r="M127" i="6"/>
  <c r="O127" i="6" s="1"/>
  <c r="M129" i="6"/>
  <c r="O129" i="6" s="1"/>
  <c r="O138" i="6"/>
  <c r="O139" i="6" s="1"/>
  <c r="M133" i="6"/>
  <c r="O133" i="6" s="1"/>
  <c r="O119" i="6"/>
  <c r="Q119" i="6" s="1"/>
  <c r="M132" i="6" l="1"/>
  <c r="O132" i="6" s="1"/>
  <c r="O134" i="6" s="1"/>
  <c r="L142" i="6" s="1"/>
  <c r="M134" i="6" l="1"/>
</calcChain>
</file>

<file path=xl/sharedStrings.xml><?xml version="1.0" encoding="utf-8"?>
<sst xmlns="http://schemas.openxmlformats.org/spreadsheetml/2006/main" count="1854" uniqueCount="350">
  <si>
    <t>Nomenclature</t>
  </si>
  <si>
    <t>=</t>
  </si>
  <si>
    <t>H</t>
  </si>
  <si>
    <t>heat content or enthalpy, Btu/lb or Btu/lb-mole</t>
  </si>
  <si>
    <t>LT/D</t>
  </si>
  <si>
    <t>long ton per day (A long ton is 2240 lb)</t>
  </si>
  <si>
    <t>P</t>
  </si>
  <si>
    <t>partial pressure, atmospheres</t>
  </si>
  <si>
    <r>
      <t>K</t>
    </r>
    <r>
      <rPr>
        <vertAlign val="subscript"/>
        <sz val="11"/>
        <color indexed="8"/>
        <rFont val="Calibri"/>
        <family val="2"/>
      </rPr>
      <t>p</t>
    </r>
  </si>
  <si>
    <t>π</t>
  </si>
  <si>
    <t>total pressure, atmospheres</t>
  </si>
  <si>
    <t>FIG. 22-1</t>
  </si>
  <si>
    <t>Acid Gas</t>
  </si>
  <si>
    <t>Claus Process</t>
  </si>
  <si>
    <t>Residence Time</t>
  </si>
  <si>
    <t>the period of time in which a process stream will be contained within a certain volume or piece of equipment, seconds</t>
  </si>
  <si>
    <t>Tail Gas Cleanup Unit</t>
  </si>
  <si>
    <t>°F</t>
  </si>
  <si>
    <t>psia</t>
  </si>
  <si>
    <t>Feed Gas Conditions:</t>
  </si>
  <si>
    <t>mol %</t>
  </si>
  <si>
    <t>mols/hr</t>
  </si>
  <si>
    <t>Step 1 Combustion/Reaction Section</t>
  </si>
  <si>
    <t>From Eq 22-2</t>
  </si>
  <si>
    <t>Eq 22-9</t>
  </si>
  <si>
    <t>Find oxygen required</t>
  </si>
  <si>
    <t>Assume x=mols of H2S reacting</t>
  </si>
  <si>
    <t xml:space="preserve">   x       1/2x         x        3/4x</t>
  </si>
  <si>
    <t>From Eq 22-6</t>
  </si>
  <si>
    <t>Material Balance (Combustion/Reaction Section)</t>
  </si>
  <si>
    <t>Air (mol/hr)</t>
  </si>
  <si>
    <t>Feed Gas (mol/hr)</t>
  </si>
  <si>
    <t>Combustion Products (mol/hr)</t>
  </si>
  <si>
    <t>Reaction Products (mol/hr)</t>
  </si>
  <si>
    <t>Dry Bulb Temp</t>
  </si>
  <si>
    <t>Wet Bulb Temp</t>
  </si>
  <si>
    <t>Air Blower Discharge Temp</t>
  </si>
  <si>
    <t>Specific Humidity</t>
  </si>
  <si>
    <t>(from psychrometric charts)</t>
  </si>
  <si>
    <t>lb-mol vapor/lb-mol dry air</t>
  </si>
  <si>
    <r>
      <t>Example 22-1</t>
    </r>
    <r>
      <rPr>
        <sz val="16"/>
        <rFont val="Times New Roman"/>
        <family val="1"/>
      </rPr>
      <t xml:space="preserve"> -- Claus Process Calculation</t>
    </r>
  </si>
  <si>
    <r>
      <t>Application 22-1</t>
    </r>
    <r>
      <rPr>
        <sz val="16"/>
        <rFont val="Times New Roman"/>
        <family val="1"/>
      </rPr>
      <t xml:space="preserve"> -- Claus Process Calculation</t>
    </r>
  </si>
  <si>
    <r>
      <t>H</t>
    </r>
    <r>
      <rPr>
        <vertAlign val="subscript"/>
        <sz val="11"/>
        <rFont val="Times New Roman"/>
        <family val="1"/>
      </rPr>
      <t>2</t>
    </r>
    <r>
      <rPr>
        <sz val="11"/>
        <rFont val="Times New Roman"/>
        <family val="1"/>
      </rPr>
      <t>S</t>
    </r>
  </si>
  <si>
    <r>
      <t>CO</t>
    </r>
    <r>
      <rPr>
        <vertAlign val="subscript"/>
        <sz val="11"/>
        <rFont val="Times New Roman"/>
        <family val="1"/>
      </rPr>
      <t>2</t>
    </r>
  </si>
  <si>
    <r>
      <t>H</t>
    </r>
    <r>
      <rPr>
        <vertAlign val="subscript"/>
        <sz val="11"/>
        <rFont val="Times New Roman"/>
        <family val="1"/>
      </rPr>
      <t>2</t>
    </r>
    <r>
      <rPr>
        <sz val="11"/>
        <rFont val="Times New Roman"/>
        <family val="1"/>
      </rPr>
      <t>O</t>
    </r>
  </si>
  <si>
    <r>
      <t>Hydrocarbons (as C</t>
    </r>
    <r>
      <rPr>
        <vertAlign val="subscript"/>
        <sz val="11"/>
        <rFont val="Times New Roman"/>
        <family val="1"/>
      </rPr>
      <t>1</t>
    </r>
    <r>
      <rPr>
        <sz val="11"/>
        <rFont val="Times New Roman"/>
        <family val="1"/>
      </rPr>
      <t>)</t>
    </r>
  </si>
  <si>
    <r>
      <t>Calculate air required to burn 1/3 of the H</t>
    </r>
    <r>
      <rPr>
        <vertAlign val="subscript"/>
        <sz val="11"/>
        <rFont val="Times New Roman"/>
        <family val="1"/>
      </rPr>
      <t>2</t>
    </r>
    <r>
      <rPr>
        <sz val="11"/>
        <rFont val="Times New Roman"/>
        <family val="1"/>
      </rPr>
      <t>S in the feed and for total combustion of hydrocarbons</t>
    </r>
  </si>
  <si>
    <r>
      <t>H</t>
    </r>
    <r>
      <rPr>
        <vertAlign val="subscript"/>
        <sz val="11"/>
        <rFont val="Times New Roman"/>
        <family val="1"/>
      </rPr>
      <t>2</t>
    </r>
    <r>
      <rPr>
        <sz val="11"/>
        <rFont val="Times New Roman"/>
        <family val="1"/>
      </rPr>
      <t>S + 1½ O</t>
    </r>
    <r>
      <rPr>
        <vertAlign val="subscript"/>
        <sz val="11"/>
        <rFont val="Times New Roman"/>
        <family val="1"/>
      </rPr>
      <t>2</t>
    </r>
    <r>
      <rPr>
        <sz val="11"/>
        <rFont val="Times New Roman"/>
        <family val="1"/>
      </rPr>
      <t xml:space="preserve"> → H</t>
    </r>
    <r>
      <rPr>
        <vertAlign val="subscript"/>
        <sz val="11"/>
        <rFont val="Times New Roman"/>
        <family val="1"/>
      </rPr>
      <t>2</t>
    </r>
    <r>
      <rPr>
        <sz val="11"/>
        <rFont val="Times New Roman"/>
        <family val="1"/>
      </rPr>
      <t>O + SO</t>
    </r>
    <r>
      <rPr>
        <vertAlign val="subscript"/>
        <sz val="11"/>
        <rFont val="Times New Roman"/>
        <family val="1"/>
      </rPr>
      <t>2</t>
    </r>
  </si>
  <si>
    <r>
      <t>CH</t>
    </r>
    <r>
      <rPr>
        <vertAlign val="subscript"/>
        <sz val="11"/>
        <rFont val="Times New Roman"/>
        <family val="1"/>
      </rPr>
      <t>4</t>
    </r>
    <r>
      <rPr>
        <sz val="11"/>
        <rFont val="Times New Roman"/>
        <family val="1"/>
      </rPr>
      <t xml:space="preserve"> + 2O</t>
    </r>
    <r>
      <rPr>
        <vertAlign val="subscript"/>
        <sz val="11"/>
        <rFont val="Times New Roman"/>
        <family val="1"/>
      </rPr>
      <t>2</t>
    </r>
    <r>
      <rPr>
        <sz val="11"/>
        <rFont val="Times New Roman"/>
        <family val="1"/>
      </rPr>
      <t xml:space="preserve"> → CO</t>
    </r>
    <r>
      <rPr>
        <vertAlign val="subscript"/>
        <sz val="11"/>
        <rFont val="Times New Roman"/>
        <family val="1"/>
      </rPr>
      <t>2</t>
    </r>
    <r>
      <rPr>
        <sz val="11"/>
        <rFont val="Times New Roman"/>
        <family val="1"/>
      </rPr>
      <t xml:space="preserve"> + 2H</t>
    </r>
    <r>
      <rPr>
        <vertAlign val="subscript"/>
        <sz val="11"/>
        <rFont val="Times New Roman"/>
        <family val="1"/>
      </rPr>
      <t>2</t>
    </r>
    <r>
      <rPr>
        <sz val="11"/>
        <rFont val="Times New Roman"/>
        <family val="1"/>
      </rPr>
      <t>O</t>
    </r>
  </si>
  <si>
    <r>
      <t>H</t>
    </r>
    <r>
      <rPr>
        <vertAlign val="subscript"/>
        <sz val="11"/>
        <rFont val="Times New Roman"/>
        <family val="1"/>
      </rPr>
      <t>2</t>
    </r>
    <r>
      <rPr>
        <sz val="11"/>
        <rFont val="Times New Roman"/>
        <family val="1"/>
      </rPr>
      <t>S → SO</t>
    </r>
    <r>
      <rPr>
        <vertAlign val="subscript"/>
        <sz val="11"/>
        <rFont val="Times New Roman"/>
        <family val="1"/>
      </rPr>
      <t>2</t>
    </r>
  </si>
  <si>
    <r>
      <t>2H</t>
    </r>
    <r>
      <rPr>
        <vertAlign val="subscript"/>
        <sz val="11"/>
        <rFont val="Times New Roman"/>
        <family val="1"/>
      </rPr>
      <t>2</t>
    </r>
    <r>
      <rPr>
        <sz val="11"/>
        <rFont val="Times New Roman"/>
        <family val="1"/>
      </rPr>
      <t>S + SO</t>
    </r>
    <r>
      <rPr>
        <vertAlign val="subscript"/>
        <sz val="11"/>
        <rFont val="Times New Roman"/>
        <family val="1"/>
      </rPr>
      <t>2</t>
    </r>
    <r>
      <rPr>
        <sz val="11"/>
        <rFont val="Times New Roman"/>
        <family val="1"/>
      </rPr>
      <t xml:space="preserve"> → 2H</t>
    </r>
    <r>
      <rPr>
        <vertAlign val="subscript"/>
        <sz val="11"/>
        <rFont val="Times New Roman"/>
        <family val="1"/>
      </rPr>
      <t>2</t>
    </r>
    <r>
      <rPr>
        <sz val="11"/>
        <rFont val="Times New Roman"/>
        <family val="1"/>
      </rPr>
      <t>O + 3/2 S</t>
    </r>
    <r>
      <rPr>
        <vertAlign val="subscript"/>
        <sz val="11"/>
        <rFont val="Times New Roman"/>
        <family val="1"/>
      </rPr>
      <t>2</t>
    </r>
  </si>
  <si>
    <r>
      <t>SO</t>
    </r>
    <r>
      <rPr>
        <vertAlign val="subscript"/>
        <sz val="11"/>
        <rFont val="Times New Roman"/>
        <family val="1"/>
      </rPr>
      <t>2</t>
    </r>
  </si>
  <si>
    <r>
      <t>N</t>
    </r>
    <r>
      <rPr>
        <vertAlign val="subscript"/>
        <sz val="11"/>
        <rFont val="Times New Roman"/>
        <family val="1"/>
      </rPr>
      <t>2</t>
    </r>
  </si>
  <si>
    <r>
      <t>O</t>
    </r>
    <r>
      <rPr>
        <vertAlign val="subscript"/>
        <sz val="11"/>
        <rFont val="Times New Roman"/>
        <family val="1"/>
      </rPr>
      <t>2</t>
    </r>
  </si>
  <si>
    <r>
      <t>S</t>
    </r>
    <r>
      <rPr>
        <vertAlign val="subscript"/>
        <sz val="11"/>
        <rFont val="Times New Roman"/>
        <family val="1"/>
      </rPr>
      <t>2</t>
    </r>
  </si>
  <si>
    <r>
      <t>S</t>
    </r>
    <r>
      <rPr>
        <vertAlign val="subscript"/>
        <sz val="11"/>
        <rFont val="Times New Roman"/>
        <family val="1"/>
      </rPr>
      <t>6</t>
    </r>
  </si>
  <si>
    <r>
      <t>S</t>
    </r>
    <r>
      <rPr>
        <vertAlign val="subscript"/>
        <sz val="11"/>
        <rFont val="Times New Roman"/>
        <family val="1"/>
      </rPr>
      <t>8</t>
    </r>
  </si>
  <si>
    <t>- 1/2x</t>
  </si>
  <si>
    <t>+ x</t>
  </si>
  <si>
    <t>- x</t>
  </si>
  <si>
    <t>+ 3/4 x</t>
  </si>
  <si>
    <t>+ 1/4 x</t>
  </si>
  <si>
    <t>psi</t>
  </si>
  <si>
    <t xml:space="preserve">Assume ∆P through the burner and furnace is: </t>
  </si>
  <si>
    <t>Then P=</t>
  </si>
  <si>
    <t>psia        =</t>
  </si>
  <si>
    <t>atmospheres</t>
  </si>
  <si>
    <t>At equilibrium</t>
  </si>
  <si>
    <r>
      <t>K</t>
    </r>
    <r>
      <rPr>
        <vertAlign val="subscript"/>
        <sz val="11"/>
        <color indexed="8"/>
        <rFont val="Times New Roman"/>
        <family val="1"/>
      </rPr>
      <t>p</t>
    </r>
    <r>
      <rPr>
        <sz val="11"/>
        <color indexed="8"/>
        <rFont val="Times New Roman"/>
        <family val="1"/>
      </rPr>
      <t xml:space="preserve"> = ( (P</t>
    </r>
    <r>
      <rPr>
        <vertAlign val="subscript"/>
        <sz val="11"/>
        <color indexed="8"/>
        <rFont val="Times New Roman"/>
        <family val="1"/>
      </rPr>
      <t>H2O</t>
    </r>
    <r>
      <rPr>
        <sz val="11"/>
        <color indexed="8"/>
        <rFont val="Times New Roman"/>
        <family val="1"/>
      </rPr>
      <t>)</t>
    </r>
    <r>
      <rPr>
        <vertAlign val="superscript"/>
        <sz val="11"/>
        <color indexed="8"/>
        <rFont val="Times New Roman"/>
        <family val="1"/>
      </rPr>
      <t>2</t>
    </r>
    <r>
      <rPr>
        <sz val="11"/>
        <color indexed="8"/>
        <rFont val="Times New Roman"/>
        <family val="1"/>
      </rPr>
      <t>(P</t>
    </r>
    <r>
      <rPr>
        <vertAlign val="subscript"/>
        <sz val="11"/>
        <color indexed="8"/>
        <rFont val="Times New Roman"/>
        <family val="1"/>
      </rPr>
      <t>Sx</t>
    </r>
    <r>
      <rPr>
        <sz val="11"/>
        <color indexed="8"/>
        <rFont val="Times New Roman"/>
        <family val="1"/>
      </rPr>
      <t>)</t>
    </r>
    <r>
      <rPr>
        <vertAlign val="superscript"/>
        <sz val="11"/>
        <color indexed="8"/>
        <rFont val="Times New Roman"/>
        <family val="1"/>
      </rPr>
      <t>3/x</t>
    </r>
    <r>
      <rPr>
        <sz val="11"/>
        <color indexed="8"/>
        <rFont val="Times New Roman"/>
        <family val="1"/>
      </rPr>
      <t xml:space="preserve"> ) / ( (P</t>
    </r>
    <r>
      <rPr>
        <vertAlign val="subscript"/>
        <sz val="11"/>
        <color indexed="8"/>
        <rFont val="Times New Roman"/>
        <family val="1"/>
      </rPr>
      <t>H2S</t>
    </r>
    <r>
      <rPr>
        <sz val="11"/>
        <color indexed="8"/>
        <rFont val="Times New Roman"/>
        <family val="1"/>
      </rPr>
      <t>)</t>
    </r>
    <r>
      <rPr>
        <vertAlign val="superscript"/>
        <sz val="11"/>
        <color indexed="8"/>
        <rFont val="Times New Roman"/>
        <family val="1"/>
      </rPr>
      <t>2</t>
    </r>
    <r>
      <rPr>
        <sz val="11"/>
        <color indexed="8"/>
        <rFont val="Times New Roman"/>
        <family val="1"/>
      </rPr>
      <t>(P</t>
    </r>
    <r>
      <rPr>
        <vertAlign val="subscript"/>
        <sz val="11"/>
        <color indexed="8"/>
        <rFont val="Times New Roman"/>
        <family val="1"/>
      </rPr>
      <t>SO2</t>
    </r>
    <r>
      <rPr>
        <sz val="11"/>
        <color indexed="8"/>
        <rFont val="Times New Roman"/>
        <family val="1"/>
      </rPr>
      <t>) ) = ( [Mols H</t>
    </r>
    <r>
      <rPr>
        <vertAlign val="subscript"/>
        <sz val="11"/>
        <color indexed="8"/>
        <rFont val="Times New Roman"/>
        <family val="1"/>
      </rPr>
      <t>­2</t>
    </r>
    <r>
      <rPr>
        <sz val="11"/>
        <color indexed="8"/>
        <rFont val="Times New Roman"/>
        <family val="1"/>
      </rPr>
      <t>O]</t>
    </r>
    <r>
      <rPr>
        <vertAlign val="superscript"/>
        <sz val="11"/>
        <color indexed="8"/>
        <rFont val="Times New Roman"/>
        <family val="1"/>
      </rPr>
      <t>2</t>
    </r>
    <r>
      <rPr>
        <sz val="11"/>
        <color indexed="8"/>
        <rFont val="Times New Roman"/>
        <family val="1"/>
      </rPr>
      <t>[Mols S</t>
    </r>
    <r>
      <rPr>
        <vertAlign val="subscript"/>
        <sz val="11"/>
        <color indexed="8"/>
        <rFont val="Times New Roman"/>
        <family val="1"/>
      </rPr>
      <t>2</t>
    </r>
    <r>
      <rPr>
        <sz val="11"/>
        <color indexed="8"/>
        <rFont val="Times New Roman"/>
        <family val="1"/>
      </rPr>
      <t>]</t>
    </r>
    <r>
      <rPr>
        <vertAlign val="superscript"/>
        <sz val="11"/>
        <color indexed="8"/>
        <rFont val="Times New Roman"/>
        <family val="1"/>
      </rPr>
      <t>3/2</t>
    </r>
    <r>
      <rPr>
        <sz val="11"/>
        <color indexed="8"/>
        <rFont val="Times New Roman"/>
        <family val="1"/>
      </rPr>
      <t xml:space="preserve"> ) / ( [Mols H</t>
    </r>
    <r>
      <rPr>
        <vertAlign val="subscript"/>
        <sz val="11"/>
        <color indexed="8"/>
        <rFont val="Times New Roman"/>
        <family val="1"/>
      </rPr>
      <t>2</t>
    </r>
    <r>
      <rPr>
        <sz val="11"/>
        <color indexed="8"/>
        <rFont val="Times New Roman"/>
        <family val="1"/>
      </rPr>
      <t>S]</t>
    </r>
    <r>
      <rPr>
        <vertAlign val="superscript"/>
        <sz val="11"/>
        <color indexed="8"/>
        <rFont val="Times New Roman"/>
        <family val="1"/>
      </rPr>
      <t>2</t>
    </r>
    <r>
      <rPr>
        <sz val="11"/>
        <color indexed="8"/>
        <rFont val="Times New Roman"/>
        <family val="1"/>
      </rPr>
      <t>[Mols SO</t>
    </r>
    <r>
      <rPr>
        <vertAlign val="subscript"/>
        <sz val="11"/>
        <color indexed="8"/>
        <rFont val="Times New Roman"/>
        <family val="1"/>
      </rPr>
      <t>2</t>
    </r>
    <r>
      <rPr>
        <sz val="11"/>
        <color indexed="8"/>
        <rFont val="Times New Roman"/>
        <family val="1"/>
      </rPr>
      <t>] ) * ( π / Total Mols )</t>
    </r>
    <r>
      <rPr>
        <vertAlign val="superscript"/>
        <sz val="11"/>
        <color indexed="8"/>
        <rFont val="Times New Roman"/>
        <family val="1"/>
      </rPr>
      <t xml:space="preserve">3/x </t>
    </r>
    <r>
      <rPr>
        <vertAlign val="superscript"/>
        <sz val="11"/>
        <color indexed="8"/>
        <rFont val="Calibri"/>
        <family val="2"/>
      </rPr>
      <t>– 1</t>
    </r>
  </si>
  <si>
    <t>x, mol/hr (assumed)</t>
  </si>
  <si>
    <r>
      <t>K</t>
    </r>
    <r>
      <rPr>
        <vertAlign val="subscript"/>
        <sz val="11"/>
        <color indexed="8"/>
        <rFont val="Times New Roman"/>
        <family val="1"/>
      </rPr>
      <t>p</t>
    </r>
    <r>
      <rPr>
        <sz val="11"/>
        <color indexed="8"/>
        <rFont val="Times New Roman"/>
        <family val="1"/>
      </rPr>
      <t xml:space="preserve"> (calculated)</t>
    </r>
  </si>
  <si>
    <t>Equilibrium Temperature (°F)</t>
  </si>
  <si>
    <t>x=</t>
  </si>
  <si>
    <t>Feed Gas</t>
  </si>
  <si>
    <t>mol/hr</t>
  </si>
  <si>
    <t>Btu/lb-mol</t>
  </si>
  <si>
    <t>Btu/hr</t>
  </si>
  <si>
    <t>Combustion Air</t>
  </si>
  <si>
    <t>But/lb-mol</t>
  </si>
  <si>
    <t>Reaction Products</t>
  </si>
  <si>
    <t>Btu/lbmol</t>
  </si>
  <si>
    <r>
      <t>H</t>
    </r>
    <r>
      <rPr>
        <vertAlign val="subscript"/>
        <sz val="11"/>
        <rFont val="Times New Roman"/>
        <family val="1"/>
      </rPr>
      <t>2</t>
    </r>
    <r>
      <rPr>
        <sz val="11"/>
        <rFont val="Times New Roman"/>
        <family val="1"/>
      </rPr>
      <t>S Combustion</t>
    </r>
  </si>
  <si>
    <t>HC Combustion</t>
  </si>
  <si>
    <t>Claus Reaction</t>
  </si>
  <si>
    <t>Btu</t>
  </si>
  <si>
    <t>H @</t>
  </si>
  <si>
    <t>Plot x vs. calculated equilibrium tenperature and vs. flame temperatures to get the x-value and temperature that meet the thermodynamic equilibrium and heat balance conditions.</t>
  </si>
  <si>
    <t>Flame Temperature (°F)</t>
  </si>
  <si>
    <t xml:space="preserve">x, mol/hr </t>
  </si>
  <si>
    <t>Equil. and Flame Temperature (°F)</t>
  </si>
  <si>
    <t>Intercept:</t>
  </si>
  <si>
    <t>Step 2 Waste Heat Boiler Duty</t>
  </si>
  <si>
    <t>Step 3 1st Sulfur Condenser</t>
  </si>
  <si>
    <t>Step 5 1st Catalytic Converter</t>
  </si>
  <si>
    <t>Assume that</t>
  </si>
  <si>
    <t>psig steam is generated in the waste heat boiler</t>
  </si>
  <si>
    <r>
      <t>mol % S</t>
    </r>
    <r>
      <rPr>
        <vertAlign val="subscript"/>
        <sz val="11"/>
        <color indexed="8"/>
        <rFont val="Times New Roman"/>
        <family val="1"/>
      </rPr>
      <t>2</t>
    </r>
  </si>
  <si>
    <r>
      <t>mol % S</t>
    </r>
    <r>
      <rPr>
        <vertAlign val="subscript"/>
        <sz val="11"/>
        <color indexed="8"/>
        <rFont val="Times New Roman"/>
        <family val="1"/>
      </rPr>
      <t>6</t>
    </r>
  </si>
  <si>
    <r>
      <t>mol % S</t>
    </r>
    <r>
      <rPr>
        <vertAlign val="subscript"/>
        <sz val="11"/>
        <color indexed="8"/>
        <rFont val="Times New Roman"/>
        <family val="1"/>
      </rPr>
      <t>8</t>
    </r>
  </si>
  <si>
    <t>Cooled Reaction Products</t>
  </si>
  <si>
    <t>∆H=</t>
  </si>
  <si>
    <r>
      <t>S</t>
    </r>
    <r>
      <rPr>
        <vertAlign val="subscript"/>
        <sz val="11"/>
        <color indexed="8"/>
        <rFont val="Times New Roman"/>
        <family val="1"/>
      </rPr>
      <t>2</t>
    </r>
    <r>
      <rPr>
        <sz val="11"/>
        <color indexed="8"/>
        <rFont val="Times New Roman"/>
        <family val="1"/>
      </rPr>
      <t xml:space="preserve"> → S</t>
    </r>
    <r>
      <rPr>
        <vertAlign val="subscript"/>
        <sz val="11"/>
        <color indexed="8"/>
        <rFont val="Times New Roman"/>
        <family val="1"/>
      </rPr>
      <t>6</t>
    </r>
    <r>
      <rPr>
        <sz val="11"/>
        <color indexed="8"/>
        <rFont val="Times New Roman"/>
        <family val="1"/>
      </rPr>
      <t xml:space="preserve">          ∆Ĥ=</t>
    </r>
  </si>
  <si>
    <r>
      <t>S</t>
    </r>
    <r>
      <rPr>
        <vertAlign val="subscript"/>
        <sz val="11"/>
        <color indexed="8"/>
        <rFont val="Times New Roman"/>
        <family val="1"/>
      </rPr>
      <t>2</t>
    </r>
    <r>
      <rPr>
        <sz val="11"/>
        <color indexed="8"/>
        <rFont val="Times New Roman"/>
        <family val="1"/>
      </rPr>
      <t xml:space="preserve"> → S</t>
    </r>
    <r>
      <rPr>
        <vertAlign val="subscript"/>
        <sz val="11"/>
        <color indexed="8"/>
        <rFont val="Times New Roman"/>
        <family val="1"/>
      </rPr>
      <t>8</t>
    </r>
    <r>
      <rPr>
        <sz val="11"/>
        <color indexed="8"/>
        <rFont val="Times New Roman"/>
        <family val="1"/>
      </rPr>
      <t xml:space="preserve">          ∆Ĥ=</t>
    </r>
  </si>
  <si>
    <t>Total heat duty:</t>
  </si>
  <si>
    <t>Note: Partial pressure of sulfur vapor</t>
  </si>
  <si>
    <r>
      <t>((S</t>
    </r>
    <r>
      <rPr>
        <vertAlign val="subscript"/>
        <sz val="11"/>
        <color indexed="8"/>
        <rFont val="Times New Roman"/>
        <family val="1"/>
      </rPr>
      <t>2</t>
    </r>
    <r>
      <rPr>
        <sz val="11"/>
        <color indexed="8"/>
        <rFont val="Times New Roman"/>
        <family val="1"/>
      </rPr>
      <t xml:space="preserve"> + S</t>
    </r>
    <r>
      <rPr>
        <vertAlign val="subscript"/>
        <sz val="11"/>
        <color indexed="8"/>
        <rFont val="Times New Roman"/>
        <family val="1"/>
      </rPr>
      <t>6</t>
    </r>
    <r>
      <rPr>
        <sz val="11"/>
        <color indexed="8"/>
        <rFont val="Times New Roman"/>
        <family val="1"/>
      </rPr>
      <t xml:space="preserve"> + S</t>
    </r>
    <r>
      <rPr>
        <vertAlign val="subscript"/>
        <sz val="11"/>
        <color indexed="8"/>
        <rFont val="Times New Roman"/>
        <family val="1"/>
      </rPr>
      <t>8</t>
    </r>
    <r>
      <rPr>
        <sz val="11"/>
        <color indexed="8"/>
        <rFont val="Times New Roman"/>
        <family val="1"/>
      </rPr>
      <t>) / Total moles) *(Total pressure)</t>
    </r>
  </si>
  <si>
    <t>Assume pressure drop through the condenser:</t>
  </si>
  <si>
    <t>Process stream further cooled to :</t>
  </si>
  <si>
    <t>atm</t>
  </si>
  <si>
    <t>Therefore, if no sulfur condensed there would be:</t>
  </si>
  <si>
    <r>
      <t>mol S</t>
    </r>
    <r>
      <rPr>
        <vertAlign val="subscript"/>
        <sz val="11"/>
        <color indexed="8"/>
        <rFont val="Times New Roman"/>
        <family val="1"/>
      </rPr>
      <t>6</t>
    </r>
  </si>
  <si>
    <r>
      <t>mol S</t>
    </r>
    <r>
      <rPr>
        <vertAlign val="subscript"/>
        <sz val="11"/>
        <color indexed="8"/>
        <rFont val="Times New Roman"/>
        <family val="1"/>
      </rPr>
      <t>8</t>
    </r>
  </si>
  <si>
    <t>Uncondensed sulfur</t>
  </si>
  <si>
    <t>mol/hr uncondensed</t>
  </si>
  <si>
    <t>mol/hr condensed</t>
  </si>
  <si>
    <t>Condenser Outlet Conditions</t>
  </si>
  <si>
    <r>
      <t>S</t>
    </r>
    <r>
      <rPr>
        <vertAlign val="subscript"/>
        <sz val="11"/>
        <color indexed="8"/>
        <rFont val="Times New Roman"/>
        <family val="1"/>
      </rPr>
      <t>2</t>
    </r>
    <r>
      <rPr>
        <sz val="11"/>
        <color indexed="8"/>
        <rFont val="Times New Roman"/>
        <family val="1"/>
      </rPr>
      <t xml:space="preserve"> (vapor)</t>
    </r>
  </si>
  <si>
    <r>
      <t>S</t>
    </r>
    <r>
      <rPr>
        <vertAlign val="subscript"/>
        <sz val="11"/>
        <color indexed="8"/>
        <rFont val="Times New Roman"/>
        <family val="1"/>
      </rPr>
      <t>6</t>
    </r>
    <r>
      <rPr>
        <sz val="11"/>
        <color indexed="8"/>
        <rFont val="Times New Roman"/>
        <family val="1"/>
      </rPr>
      <t xml:space="preserve"> (vapor)</t>
    </r>
  </si>
  <si>
    <r>
      <t>S</t>
    </r>
    <r>
      <rPr>
        <vertAlign val="subscript"/>
        <sz val="11"/>
        <color indexed="8"/>
        <rFont val="Times New Roman"/>
        <family val="1"/>
      </rPr>
      <t>8</t>
    </r>
    <r>
      <rPr>
        <sz val="11"/>
        <color indexed="8"/>
        <rFont val="Times New Roman"/>
        <family val="1"/>
      </rPr>
      <t xml:space="preserve"> (vapor)</t>
    </r>
  </si>
  <si>
    <t>Fig. 22-29 ∆H:</t>
  </si>
  <si>
    <r>
      <t>S</t>
    </r>
    <r>
      <rPr>
        <vertAlign val="subscript"/>
        <sz val="11"/>
        <color indexed="8"/>
        <rFont val="Times New Roman"/>
        <family val="1"/>
      </rPr>
      <t>6</t>
    </r>
    <r>
      <rPr>
        <sz val="11"/>
        <color indexed="8"/>
        <rFont val="Times New Roman"/>
        <family val="1"/>
      </rPr>
      <t xml:space="preserve"> (vapor) → S</t>
    </r>
    <r>
      <rPr>
        <vertAlign val="subscript"/>
        <sz val="11"/>
        <color indexed="8"/>
        <rFont val="Times New Roman"/>
        <family val="1"/>
      </rPr>
      <t>liq</t>
    </r>
  </si>
  <si>
    <r>
      <t>S</t>
    </r>
    <r>
      <rPr>
        <vertAlign val="subscript"/>
        <sz val="11"/>
        <color indexed="8"/>
        <rFont val="Times New Roman"/>
        <family val="1"/>
      </rPr>
      <t>8</t>
    </r>
    <r>
      <rPr>
        <sz val="11"/>
        <color indexed="8"/>
        <rFont val="Times New Roman"/>
        <family val="1"/>
      </rPr>
      <t xml:space="preserve"> (vapor) → S</t>
    </r>
    <r>
      <rPr>
        <vertAlign val="subscript"/>
        <sz val="11"/>
        <color indexed="8"/>
        <rFont val="Times New Roman"/>
        <family val="1"/>
      </rPr>
      <t>liq</t>
    </r>
  </si>
  <si>
    <r>
      <t>S</t>
    </r>
    <r>
      <rPr>
        <vertAlign val="subscript"/>
        <sz val="11"/>
        <color indexed="8"/>
        <rFont val="Times New Roman"/>
        <family val="1"/>
      </rPr>
      <t>2</t>
    </r>
    <r>
      <rPr>
        <sz val="11"/>
        <color indexed="8"/>
        <rFont val="Times New Roman"/>
        <family val="1"/>
      </rPr>
      <t xml:space="preserve"> (vapor) → S</t>
    </r>
    <r>
      <rPr>
        <vertAlign val="subscript"/>
        <sz val="11"/>
        <color indexed="8"/>
        <rFont val="Times New Roman"/>
        <family val="1"/>
      </rPr>
      <t>6</t>
    </r>
    <r>
      <rPr>
        <sz val="11"/>
        <color indexed="8"/>
        <rFont val="Times New Roman"/>
        <family val="1"/>
      </rPr>
      <t xml:space="preserve"> (vapor)</t>
    </r>
  </si>
  <si>
    <r>
      <t>S</t>
    </r>
    <r>
      <rPr>
        <vertAlign val="subscript"/>
        <sz val="11"/>
        <color indexed="8"/>
        <rFont val="Times New Roman"/>
        <family val="1"/>
      </rPr>
      <t>2</t>
    </r>
    <r>
      <rPr>
        <sz val="11"/>
        <color indexed="8"/>
        <rFont val="Times New Roman"/>
        <family val="1"/>
      </rPr>
      <t xml:space="preserve"> (vapor) → S</t>
    </r>
    <r>
      <rPr>
        <vertAlign val="subscript"/>
        <sz val="11"/>
        <color indexed="8"/>
        <rFont val="Times New Roman"/>
        <family val="1"/>
      </rPr>
      <t>8</t>
    </r>
    <r>
      <rPr>
        <sz val="11"/>
        <color indexed="8"/>
        <rFont val="Times New Roman"/>
        <family val="1"/>
      </rPr>
      <t xml:space="preserve"> (vapor)</t>
    </r>
  </si>
  <si>
    <r>
      <t>mols/hr O</t>
    </r>
    <r>
      <rPr>
        <vertAlign val="subscript"/>
        <sz val="11"/>
        <color indexed="8"/>
        <rFont val="Times New Roman"/>
        <family val="1"/>
      </rPr>
      <t>2</t>
    </r>
  </si>
  <si>
    <r>
      <t>2 * (moles C</t>
    </r>
    <r>
      <rPr>
        <vertAlign val="subscript"/>
        <sz val="11"/>
        <color indexed="8"/>
        <rFont val="Times New Roman"/>
        <family val="1"/>
      </rPr>
      <t>1</t>
    </r>
    <r>
      <rPr>
        <sz val="11"/>
        <color indexed="8"/>
        <rFont val="Times New Roman"/>
        <family val="1"/>
      </rPr>
      <t>)</t>
    </r>
  </si>
  <si>
    <r>
      <t>(1/3)*(3/2)*(moles H</t>
    </r>
    <r>
      <rPr>
        <vertAlign val="subscript"/>
        <sz val="11"/>
        <color indexed="8"/>
        <rFont val="Times New Roman"/>
        <family val="1"/>
      </rPr>
      <t>2</t>
    </r>
    <r>
      <rPr>
        <sz val="11"/>
        <color indexed="8"/>
        <rFont val="Times New Roman"/>
        <family val="1"/>
      </rPr>
      <t>S)</t>
    </r>
  </si>
  <si>
    <t>Total Duty:</t>
  </si>
  <si>
    <t>Assume</t>
  </si>
  <si>
    <r>
      <t>% H</t>
    </r>
    <r>
      <rPr>
        <vertAlign val="subscript"/>
        <sz val="11"/>
        <color indexed="8"/>
        <rFont val="Times New Roman"/>
        <family val="1"/>
      </rPr>
      <t>2</t>
    </r>
    <r>
      <rPr>
        <sz val="11"/>
        <color indexed="8"/>
        <rFont val="Times New Roman"/>
        <family val="1"/>
      </rPr>
      <t>S conversion to sulfur in the first catalyst bed</t>
    </r>
  </si>
  <si>
    <t>Example calculation from the book</t>
  </si>
  <si>
    <t>Application worksheet for user to fill out</t>
  </si>
  <si>
    <t>KEY</t>
  </si>
  <si>
    <r>
      <t>Total sulfur as S</t>
    </r>
    <r>
      <rPr>
        <vertAlign val="subscript"/>
        <sz val="11"/>
        <color indexed="8"/>
        <rFont val="Times New Roman"/>
        <family val="1"/>
      </rPr>
      <t>1</t>
    </r>
    <r>
      <rPr>
        <sz val="11"/>
        <color indexed="8"/>
        <rFont val="Times New Roman"/>
        <family val="1"/>
      </rPr>
      <t xml:space="preserve"> vapor =</t>
    </r>
  </si>
  <si>
    <t>New pressure:</t>
  </si>
  <si>
    <t>Assume pressure drop for reheater and catalyst bed:</t>
  </si>
  <si>
    <r>
      <t>Sulfur vapor pressure (as S</t>
    </r>
    <r>
      <rPr>
        <vertAlign val="subscript"/>
        <sz val="11"/>
        <color indexed="8"/>
        <rFont val="Times New Roman"/>
        <family val="1"/>
      </rPr>
      <t>1</t>
    </r>
    <r>
      <rPr>
        <sz val="11"/>
        <color indexed="8"/>
        <rFont val="Times New Roman"/>
        <family val="1"/>
      </rPr>
      <t>) then is:</t>
    </r>
  </si>
  <si>
    <t>Therefore preheater outlet temperature should be set to</t>
  </si>
  <si>
    <t>Composition at outlet temperature:</t>
  </si>
  <si>
    <t>Reheater Heat Duty:</t>
  </si>
  <si>
    <r>
      <t>Assume y mols of H</t>
    </r>
    <r>
      <rPr>
        <vertAlign val="subscript"/>
        <sz val="11"/>
        <color indexed="8"/>
        <rFont val="Times New Roman"/>
        <family val="1"/>
      </rPr>
      <t>2</t>
    </r>
    <r>
      <rPr>
        <sz val="11"/>
        <color indexed="8"/>
        <rFont val="Times New Roman"/>
        <family val="1"/>
      </rPr>
      <t>S react</t>
    </r>
  </si>
  <si>
    <t xml:space="preserve">   y       1/2y         y        3/16y</t>
  </si>
  <si>
    <r>
      <t>2H</t>
    </r>
    <r>
      <rPr>
        <vertAlign val="subscript"/>
        <sz val="11"/>
        <rFont val="Times New Roman"/>
        <family val="1"/>
      </rPr>
      <t>2</t>
    </r>
    <r>
      <rPr>
        <sz val="11"/>
        <rFont val="Times New Roman"/>
        <family val="1"/>
      </rPr>
      <t>S + SO</t>
    </r>
    <r>
      <rPr>
        <vertAlign val="subscript"/>
        <sz val="11"/>
        <rFont val="Times New Roman"/>
        <family val="1"/>
      </rPr>
      <t>2</t>
    </r>
    <r>
      <rPr>
        <sz val="11"/>
        <rFont val="Times New Roman"/>
        <family val="1"/>
      </rPr>
      <t xml:space="preserve"> → 2H</t>
    </r>
    <r>
      <rPr>
        <vertAlign val="subscript"/>
        <sz val="11"/>
        <rFont val="Times New Roman"/>
        <family val="1"/>
      </rPr>
      <t>2</t>
    </r>
    <r>
      <rPr>
        <sz val="11"/>
        <rFont val="Times New Roman"/>
        <family val="1"/>
      </rPr>
      <t>O + 3/8 S</t>
    </r>
    <r>
      <rPr>
        <vertAlign val="subscript"/>
        <sz val="11"/>
        <rFont val="Times New Roman"/>
        <family val="1"/>
      </rPr>
      <t>8</t>
    </r>
  </si>
  <si>
    <t>Outlet Conditions</t>
  </si>
  <si>
    <t>- y</t>
  </si>
  <si>
    <t>+ y</t>
  </si>
  <si>
    <t>- y/2</t>
  </si>
  <si>
    <t>+ 3/16 y</t>
  </si>
  <si>
    <t>- .3125 y</t>
  </si>
  <si>
    <r>
      <t>K</t>
    </r>
    <r>
      <rPr>
        <vertAlign val="subscript"/>
        <sz val="11"/>
        <color indexed="8"/>
        <rFont val="Times New Roman"/>
        <family val="1"/>
      </rPr>
      <t>p</t>
    </r>
    <r>
      <rPr>
        <sz val="11"/>
        <color indexed="8"/>
        <rFont val="Times New Roman"/>
        <family val="1"/>
      </rPr>
      <t xml:space="preserve"> = ( [H</t>
    </r>
    <r>
      <rPr>
        <vertAlign val="subscript"/>
        <sz val="11"/>
        <color indexed="8"/>
        <rFont val="Times New Roman"/>
        <family val="1"/>
      </rPr>
      <t>2</t>
    </r>
    <r>
      <rPr>
        <sz val="11"/>
        <color indexed="8"/>
        <rFont val="Times New Roman"/>
        <family val="1"/>
      </rPr>
      <t>O]</t>
    </r>
    <r>
      <rPr>
        <vertAlign val="superscript"/>
        <sz val="11"/>
        <color indexed="8"/>
        <rFont val="Times New Roman"/>
        <family val="1"/>
      </rPr>
      <t>2</t>
    </r>
    <r>
      <rPr>
        <sz val="11"/>
        <color indexed="8"/>
        <rFont val="Times New Roman"/>
        <family val="1"/>
      </rPr>
      <t>[S</t>
    </r>
    <r>
      <rPr>
        <vertAlign val="subscript"/>
        <sz val="11"/>
        <color indexed="8"/>
        <rFont val="Times New Roman"/>
        <family val="1"/>
      </rPr>
      <t>8</t>
    </r>
    <r>
      <rPr>
        <sz val="11"/>
        <color indexed="8"/>
        <rFont val="Times New Roman"/>
        <family val="1"/>
      </rPr>
      <t>]</t>
    </r>
    <r>
      <rPr>
        <vertAlign val="superscript"/>
        <sz val="11"/>
        <color indexed="8"/>
        <rFont val="Times New Roman"/>
        <family val="1"/>
      </rPr>
      <t>3/8</t>
    </r>
    <r>
      <rPr>
        <sz val="11"/>
        <color indexed="8"/>
        <rFont val="Times New Roman"/>
        <family val="1"/>
      </rPr>
      <t xml:space="preserve"> ) / ( [H</t>
    </r>
    <r>
      <rPr>
        <vertAlign val="subscript"/>
        <sz val="11"/>
        <color indexed="8"/>
        <rFont val="Times New Roman"/>
        <family val="1"/>
      </rPr>
      <t>2</t>
    </r>
    <r>
      <rPr>
        <sz val="11"/>
        <color indexed="8"/>
        <rFont val="Times New Roman"/>
        <family val="1"/>
      </rPr>
      <t>S]</t>
    </r>
    <r>
      <rPr>
        <vertAlign val="superscript"/>
        <sz val="11"/>
        <color indexed="8"/>
        <rFont val="Times New Roman"/>
        <family val="1"/>
      </rPr>
      <t>2</t>
    </r>
    <r>
      <rPr>
        <sz val="11"/>
        <color indexed="8"/>
        <rFont val="Times New Roman"/>
        <family val="1"/>
      </rPr>
      <t>[SO</t>
    </r>
    <r>
      <rPr>
        <vertAlign val="subscript"/>
        <sz val="11"/>
        <color indexed="8"/>
        <rFont val="Times New Roman"/>
        <family val="1"/>
      </rPr>
      <t>2</t>
    </r>
    <r>
      <rPr>
        <sz val="11"/>
        <color indexed="8"/>
        <rFont val="Times New Roman"/>
        <family val="1"/>
      </rPr>
      <t>] ) * ( π / Total Mols )</t>
    </r>
    <r>
      <rPr>
        <vertAlign val="superscript"/>
        <sz val="11"/>
        <color indexed="8"/>
        <rFont val="Times New Roman"/>
        <family val="1"/>
      </rPr>
      <t xml:space="preserve">3/8 </t>
    </r>
    <r>
      <rPr>
        <vertAlign val="superscript"/>
        <sz val="11"/>
        <color indexed="8"/>
        <rFont val="Calibri"/>
        <family val="2"/>
      </rPr>
      <t>– 1</t>
    </r>
  </si>
  <si>
    <t>For each assumed value of y, calculate the total outlet stream enthalpy and the overall converter heat balance.</t>
  </si>
  <si>
    <t>y=</t>
  </si>
  <si>
    <t>At equilibrium temperature, composition is:</t>
  </si>
  <si>
    <t>Outlet Stream</t>
  </si>
  <si>
    <t>Heat Balance:</t>
  </si>
  <si>
    <t>Heat In (Step 4)</t>
  </si>
  <si>
    <t>Total Heat Out</t>
  </si>
  <si>
    <t>Summary:</t>
  </si>
  <si>
    <t>y, mol/hr</t>
  </si>
  <si>
    <t>H (indiv. species)</t>
  </si>
  <si>
    <t>H (reaction enthalpies)</t>
  </si>
  <si>
    <t>At converter outlet temperature, composition is:</t>
  </si>
  <si>
    <t>Distribution of sulfur species is:</t>
  </si>
  <si>
    <t>Assume temp of the cooled combustion products is</t>
  </si>
  <si>
    <t>Distribution of vapor species at the given temperature</t>
  </si>
  <si>
    <t>Conversion Efficiency:</t>
  </si>
  <si>
    <t>Recovery Efficiency (allowing sulfur vapor losses and about 1/2% for liquid sulfur entrainment):</t>
  </si>
  <si>
    <t>Tail gas composition:</t>
  </si>
  <si>
    <r>
      <t>S</t>
    </r>
    <r>
      <rPr>
        <vertAlign val="subscript"/>
        <sz val="11"/>
        <color indexed="8"/>
        <rFont val="Times New Roman"/>
        <family val="1"/>
      </rPr>
      <t>liq</t>
    </r>
    <r>
      <rPr>
        <sz val="11"/>
        <color indexed="8"/>
        <rFont val="Times New Roman"/>
        <family val="1"/>
      </rPr>
      <t xml:space="preserve"> (as S</t>
    </r>
    <r>
      <rPr>
        <vertAlign val="subscript"/>
        <sz val="11"/>
        <color indexed="8"/>
        <rFont val="Times New Roman"/>
        <family val="1"/>
      </rPr>
      <t>1</t>
    </r>
    <r>
      <rPr>
        <sz val="11"/>
        <color indexed="8"/>
        <rFont val="Times New Roman"/>
        <family val="1"/>
      </rPr>
      <t>)</t>
    </r>
  </si>
  <si>
    <r>
      <t>S</t>
    </r>
    <r>
      <rPr>
        <vertAlign val="subscript"/>
        <sz val="11"/>
        <rFont val="Times New Roman"/>
        <family val="1"/>
      </rPr>
      <t>1</t>
    </r>
    <r>
      <rPr>
        <sz val="11"/>
        <rFont val="Times New Roman"/>
        <family val="1"/>
      </rPr>
      <t xml:space="preserve"> + O</t>
    </r>
    <r>
      <rPr>
        <vertAlign val="subscript"/>
        <sz val="11"/>
        <rFont val="Times New Roman"/>
        <family val="1"/>
      </rPr>
      <t>2</t>
    </r>
    <r>
      <rPr>
        <sz val="11"/>
        <rFont val="Times New Roman"/>
        <family val="1"/>
      </rPr>
      <t xml:space="preserve"> → </t>
    </r>
    <r>
      <rPr>
        <sz val="11"/>
        <rFont val="Times New Roman"/>
        <family val="1"/>
      </rPr>
      <t>SO</t>
    </r>
    <r>
      <rPr>
        <vertAlign val="subscript"/>
        <sz val="11"/>
        <rFont val="Times New Roman"/>
        <family val="1"/>
      </rPr>
      <t>2</t>
    </r>
  </si>
  <si>
    <t>Eq 22-10</t>
  </si>
  <si>
    <r>
      <t>H</t>
    </r>
    <r>
      <rPr>
        <vertAlign val="subscript"/>
        <sz val="11"/>
        <rFont val="Times New Roman"/>
        <family val="1"/>
      </rPr>
      <t>2</t>
    </r>
    <r>
      <rPr>
        <sz val="11"/>
        <rFont val="Times New Roman"/>
        <family val="1"/>
      </rPr>
      <t>S:</t>
    </r>
  </si>
  <si>
    <r>
      <t>mol/hr O</t>
    </r>
    <r>
      <rPr>
        <vertAlign val="subscript"/>
        <sz val="11"/>
        <rFont val="Times New Roman"/>
        <family val="1"/>
      </rPr>
      <t>2</t>
    </r>
  </si>
  <si>
    <r>
      <t>S</t>
    </r>
    <r>
      <rPr>
        <vertAlign val="subscript"/>
        <sz val="11"/>
        <color indexed="8"/>
        <rFont val="Times New Roman"/>
        <family val="1"/>
      </rPr>
      <t>1</t>
    </r>
    <r>
      <rPr>
        <sz val="11"/>
        <color indexed="8"/>
        <rFont val="Times New Roman"/>
        <family val="1"/>
      </rPr>
      <t>:</t>
    </r>
  </si>
  <si>
    <t>Feed</t>
  </si>
  <si>
    <t>Air</t>
  </si>
  <si>
    <r>
      <t>S</t>
    </r>
    <r>
      <rPr>
        <sz val="11"/>
        <color indexed="8"/>
        <rFont val="Times New Roman"/>
        <family val="1"/>
      </rPr>
      <t xml:space="preserve"> (as S</t>
    </r>
    <r>
      <rPr>
        <vertAlign val="subscript"/>
        <sz val="11"/>
        <color indexed="8"/>
        <rFont val="Times New Roman"/>
        <family val="1"/>
      </rPr>
      <t>1</t>
    </r>
    <r>
      <rPr>
        <sz val="11"/>
        <color indexed="8"/>
        <rFont val="Times New Roman"/>
        <family val="1"/>
      </rPr>
      <t>)</t>
    </r>
  </si>
  <si>
    <t>Products</t>
  </si>
  <si>
    <t>Heat Balance</t>
  </si>
  <si>
    <t>Heat Out</t>
  </si>
  <si>
    <t>Heat In</t>
  </si>
  <si>
    <r>
      <rPr>
        <sz val="11"/>
        <color indexed="8"/>
        <rFont val="Times New Roman"/>
        <family val="1"/>
      </rPr>
      <t>S</t>
    </r>
    <r>
      <rPr>
        <vertAlign val="subscript"/>
        <sz val="11"/>
        <color indexed="8"/>
        <rFont val="Times New Roman"/>
        <family val="1"/>
      </rPr>
      <t>1</t>
    </r>
    <r>
      <rPr>
        <sz val="11"/>
        <color indexed="8"/>
        <rFont val="Times New Roman"/>
        <family val="1"/>
      </rPr>
      <t xml:space="preserve"> Combustion</t>
    </r>
  </si>
  <si>
    <t>Heat Gained by Feed Gas</t>
  </si>
  <si>
    <t>Step 2.  Calculate net heat release for fuel (assumed methane) at 50% excess air, base rate</t>
  </si>
  <si>
    <t>Fuel</t>
  </si>
  <si>
    <r>
      <t>CH</t>
    </r>
    <r>
      <rPr>
        <vertAlign val="subscript"/>
        <sz val="11"/>
        <rFont val="Times New Roman"/>
        <family val="1"/>
      </rPr>
      <t>4</t>
    </r>
  </si>
  <si>
    <r>
      <t>CO</t>
    </r>
    <r>
      <rPr>
        <vertAlign val="subscript"/>
        <sz val="11"/>
        <rFont val="Times New Roman"/>
        <family val="1"/>
      </rPr>
      <t>2</t>
    </r>
    <r>
      <rPr>
        <sz val="11"/>
        <rFont val="Times New Roman"/>
        <family val="1"/>
      </rPr>
      <t/>
    </r>
  </si>
  <si>
    <t>Combustion Products</t>
  </si>
  <si>
    <r>
      <t>C</t>
    </r>
    <r>
      <rPr>
        <vertAlign val="subscript"/>
        <sz val="11"/>
        <color indexed="8"/>
        <rFont val="Times New Roman"/>
        <family val="1"/>
      </rPr>
      <t>1</t>
    </r>
    <r>
      <rPr>
        <sz val="11"/>
        <color indexed="8"/>
        <rFont val="Times New Roman"/>
        <family val="1"/>
      </rPr>
      <t xml:space="preserve"> Combustion</t>
    </r>
  </si>
  <si>
    <t>Net Heat Release of Fuel</t>
  </si>
  <si>
    <t>Step 3.  Calculate fuel requirement and stack gas rate and composition.</t>
  </si>
  <si>
    <t>Fuel required = (Heat gained by feed gas / Net Heat Release of Fuel) * Fuel basis</t>
  </si>
  <si>
    <t>Stack Gas</t>
  </si>
  <si>
    <t>Total Heat Release</t>
  </si>
  <si>
    <r>
      <t>H</t>
    </r>
    <r>
      <rPr>
        <vertAlign val="subscript"/>
        <sz val="11"/>
        <rFont val="Times New Roman"/>
        <family val="1"/>
      </rPr>
      <t>2</t>
    </r>
    <r>
      <rPr>
        <sz val="11"/>
        <rFont val="Times New Roman"/>
        <family val="1"/>
      </rPr>
      <t>S (From Step 1)</t>
    </r>
  </si>
  <si>
    <t>S (From Step 1)</t>
  </si>
  <si>
    <t>Heat in</t>
  </si>
  <si>
    <t>These cells are obtained after the specified number of catalytic converter stages have been used for calculations.  The calculations for the second and third stages are not shown and should be done by hand.  Then put the calculated answers in these boxes to continue.</t>
  </si>
  <si>
    <r>
      <t>C</t>
    </r>
    <r>
      <rPr>
        <b/>
        <vertAlign val="subscript"/>
        <sz val="11"/>
        <color indexed="8"/>
        <rFont val="Times New Roman"/>
        <family val="1"/>
      </rPr>
      <t>1</t>
    </r>
  </si>
  <si>
    <r>
      <t>C</t>
    </r>
    <r>
      <rPr>
        <b/>
        <vertAlign val="subscript"/>
        <sz val="11"/>
        <color indexed="8"/>
        <rFont val="Times New Roman"/>
        <family val="1"/>
      </rPr>
      <t>2</t>
    </r>
    <r>
      <rPr>
        <sz val="11"/>
        <color theme="1"/>
        <rFont val="Calibri"/>
        <family val="2"/>
        <scheme val="minor"/>
      </rPr>
      <t/>
    </r>
  </si>
  <si>
    <r>
      <t>C</t>
    </r>
    <r>
      <rPr>
        <b/>
        <vertAlign val="subscript"/>
        <sz val="11"/>
        <color indexed="8"/>
        <rFont val="Times New Roman"/>
        <family val="1"/>
      </rPr>
      <t>3</t>
    </r>
    <r>
      <rPr>
        <sz val="11"/>
        <color theme="1"/>
        <rFont val="Calibri"/>
        <family val="2"/>
        <scheme val="minor"/>
      </rPr>
      <t/>
    </r>
  </si>
  <si>
    <r>
      <t>nC</t>
    </r>
    <r>
      <rPr>
        <b/>
        <vertAlign val="subscript"/>
        <sz val="11"/>
        <color indexed="8"/>
        <rFont val="Times New Roman"/>
        <family val="1"/>
      </rPr>
      <t>4</t>
    </r>
    <r>
      <rPr>
        <sz val="11"/>
        <color theme="1"/>
        <rFont val="Calibri"/>
        <family val="2"/>
        <scheme val="minor"/>
      </rPr>
      <t/>
    </r>
  </si>
  <si>
    <r>
      <t>iC</t>
    </r>
    <r>
      <rPr>
        <b/>
        <vertAlign val="subscript"/>
        <sz val="11"/>
        <color indexed="8"/>
        <rFont val="Times New Roman"/>
        <family val="1"/>
      </rPr>
      <t>4</t>
    </r>
    <r>
      <rPr>
        <sz val="11"/>
        <color theme="1"/>
        <rFont val="Calibri"/>
        <family val="2"/>
        <scheme val="minor"/>
      </rPr>
      <t/>
    </r>
  </si>
  <si>
    <r>
      <t>nC</t>
    </r>
    <r>
      <rPr>
        <b/>
        <vertAlign val="subscript"/>
        <sz val="11"/>
        <color indexed="8"/>
        <rFont val="Times New Roman"/>
        <family val="1"/>
      </rPr>
      <t>5</t>
    </r>
    <r>
      <rPr>
        <sz val="11"/>
        <color theme="1"/>
        <rFont val="Calibri"/>
        <family val="2"/>
        <scheme val="minor"/>
      </rPr>
      <t/>
    </r>
  </si>
  <si>
    <r>
      <t>nC</t>
    </r>
    <r>
      <rPr>
        <b/>
        <vertAlign val="subscript"/>
        <sz val="11"/>
        <color indexed="8"/>
        <rFont val="Times New Roman"/>
        <family val="1"/>
      </rPr>
      <t>6</t>
    </r>
    <r>
      <rPr>
        <sz val="11"/>
        <color theme="1"/>
        <rFont val="Calibri"/>
        <family val="2"/>
        <scheme val="minor"/>
      </rPr>
      <t/>
    </r>
  </si>
  <si>
    <r>
      <t>S</t>
    </r>
    <r>
      <rPr>
        <vertAlign val="subscript"/>
        <sz val="11"/>
        <color indexed="8"/>
        <rFont val="Times New Roman"/>
        <family val="1"/>
      </rPr>
      <t>2</t>
    </r>
  </si>
  <si>
    <r>
      <t>SO</t>
    </r>
    <r>
      <rPr>
        <vertAlign val="subscript"/>
        <sz val="11"/>
        <color indexed="8"/>
        <rFont val="Times New Roman"/>
        <family val="1"/>
      </rPr>
      <t>2</t>
    </r>
  </si>
  <si>
    <r>
      <t>SO</t>
    </r>
    <r>
      <rPr>
        <vertAlign val="subscript"/>
        <sz val="11"/>
        <color indexed="8"/>
        <rFont val="Times New Roman"/>
        <family val="1"/>
      </rPr>
      <t>3</t>
    </r>
  </si>
  <si>
    <r>
      <t>H</t>
    </r>
    <r>
      <rPr>
        <vertAlign val="subscript"/>
        <sz val="11"/>
        <color indexed="8"/>
        <rFont val="Times New Roman"/>
        <family val="1"/>
      </rPr>
      <t>2</t>
    </r>
    <r>
      <rPr>
        <sz val="11"/>
        <color indexed="8"/>
        <rFont val="Times New Roman"/>
        <family val="1"/>
      </rPr>
      <t>S</t>
    </r>
  </si>
  <si>
    <r>
      <t>CS</t>
    </r>
    <r>
      <rPr>
        <vertAlign val="subscript"/>
        <sz val="11"/>
        <color indexed="8"/>
        <rFont val="Times New Roman"/>
        <family val="1"/>
      </rPr>
      <t>2</t>
    </r>
  </si>
  <si>
    <t>COS</t>
  </si>
  <si>
    <r>
      <t>S</t>
    </r>
    <r>
      <rPr>
        <vertAlign val="subscript"/>
        <sz val="11"/>
        <color indexed="8"/>
        <rFont val="Times New Roman"/>
        <family val="1"/>
      </rPr>
      <t>6</t>
    </r>
  </si>
  <si>
    <r>
      <t>S</t>
    </r>
    <r>
      <rPr>
        <vertAlign val="subscript"/>
        <sz val="11"/>
        <color indexed="8"/>
        <rFont val="Times New Roman"/>
        <family val="1"/>
      </rPr>
      <t>8</t>
    </r>
  </si>
  <si>
    <r>
      <t>N</t>
    </r>
    <r>
      <rPr>
        <vertAlign val="subscript"/>
        <sz val="11"/>
        <color indexed="8"/>
        <rFont val="Times New Roman"/>
        <family val="1"/>
      </rPr>
      <t>2</t>
    </r>
  </si>
  <si>
    <r>
      <t>O</t>
    </r>
    <r>
      <rPr>
        <vertAlign val="subscript"/>
        <sz val="11"/>
        <color indexed="8"/>
        <rFont val="Times New Roman"/>
        <family val="1"/>
      </rPr>
      <t>2</t>
    </r>
  </si>
  <si>
    <r>
      <t>H</t>
    </r>
    <r>
      <rPr>
        <vertAlign val="subscript"/>
        <sz val="11"/>
        <color indexed="8"/>
        <rFont val="Times New Roman"/>
        <family val="1"/>
      </rPr>
      <t>2</t>
    </r>
  </si>
  <si>
    <t>CO</t>
  </si>
  <si>
    <r>
      <t>CO</t>
    </r>
    <r>
      <rPr>
        <vertAlign val="subscript"/>
        <sz val="11"/>
        <color indexed="8"/>
        <rFont val="Times New Roman"/>
        <family val="1"/>
      </rPr>
      <t>2</t>
    </r>
  </si>
  <si>
    <r>
      <t>H</t>
    </r>
    <r>
      <rPr>
        <vertAlign val="subscript"/>
        <sz val="11"/>
        <color indexed="8"/>
        <rFont val="Times New Roman"/>
        <family val="1"/>
      </rPr>
      <t>2</t>
    </r>
    <r>
      <rPr>
        <sz val="11"/>
        <color indexed="8"/>
        <rFont val="Times New Roman"/>
        <family val="1"/>
      </rPr>
      <t>O</t>
    </r>
  </si>
  <si>
    <t>Incinerator</t>
  </si>
  <si>
    <t>moles/hr</t>
  </si>
  <si>
    <t>x =</t>
  </si>
  <si>
    <t>Fig. 22-20</t>
  </si>
  <si>
    <t>Fig. 22-29</t>
  </si>
  <si>
    <t>atm.</t>
  </si>
  <si>
    <t>Fig. 22-30 ∆H:</t>
  </si>
  <si>
    <t>Step 4     1st Reheater</t>
  </si>
  <si>
    <t xml:space="preserve">One of the principal purposes of reheating is to maintain the process gas above the sulfur dewpoint throughout the catalyst bed.  </t>
  </si>
  <si>
    <t xml:space="preserve">One of the principal purposes of reheating is to maintain the process gas above the sulfur dewpoint throughout the catalyst bed. </t>
  </si>
  <si>
    <t>The preheater outlet temperture is typically set</t>
  </si>
  <si>
    <t>°F higher.</t>
  </si>
  <si>
    <t>Sulfur dist. at outlet temperature:</t>
  </si>
  <si>
    <t>Excess air, based upon combustion:</t>
  </si>
  <si>
    <t>Step 1. Calculate oxygen required for combustibles in feed gas; outlet temp</t>
  </si>
  <si>
    <t>Numbers that must be filled in according to graphs and charts</t>
  </si>
  <si>
    <t>Numbers that must be filled in according to the user's data and specific situation</t>
  </si>
  <si>
    <t>Plant Size - Feed</t>
  </si>
  <si>
    <t>LTD sulfur</t>
  </si>
  <si>
    <t>x</t>
  </si>
  <si>
    <r>
      <t>Assume x=mols of H</t>
    </r>
    <r>
      <rPr>
        <vertAlign val="subscript"/>
        <sz val="11"/>
        <rFont val="Times New Roman"/>
        <family val="1"/>
      </rPr>
      <t>2</t>
    </r>
    <r>
      <rPr>
        <sz val="11"/>
        <rFont val="Times New Roman"/>
        <family val="1"/>
      </rPr>
      <t>S reacting</t>
    </r>
  </si>
  <si>
    <t>∆Ĥ (32°F)</t>
  </si>
  <si>
    <t xml:space="preserve"> ∆Ĥ (32°F)</t>
  </si>
  <si>
    <t>Enthalpies of Paraffin Hydrocarbons, Combustion Products and Sulfur Compounds</t>
  </si>
  <si>
    <t>a process unit designed to take tail gas from a Claus sulfur recovery plant and remove additional sulfur with the goal of meeting environmental sulfur emission standards</t>
  </si>
  <si>
    <t>Fig. 11-2</t>
  </si>
  <si>
    <t>Determine flame temperature by heat balance for each value of x using the thermodynamic data in Fig. 22-28.</t>
  </si>
  <si>
    <t>Equilibrium Temperature (°F) from Fig. 22-27</t>
  </si>
  <si>
    <t>Equilibrium Temperature (°F) from Kp Approximate</t>
  </si>
  <si>
    <r>
      <t>Equilibrium Temperature (°F) from K</t>
    </r>
    <r>
      <rPr>
        <vertAlign val="subscript"/>
        <sz val="11"/>
        <rFont val="Times New Roman"/>
        <family val="1"/>
      </rPr>
      <t>p</t>
    </r>
    <r>
      <rPr>
        <sz val="11"/>
        <rFont val="Times New Roman"/>
        <family val="1"/>
      </rPr>
      <t xml:space="preserve"> Approximate</t>
    </r>
  </si>
  <si>
    <t>By Equations page 22-28</t>
  </si>
  <si>
    <t>Assume a  range in order to interpolate for reaction temperature</t>
  </si>
  <si>
    <t>Fig. 22-21</t>
  </si>
  <si>
    <r>
      <t>Distribution of vapor species at the given temperature, ignoring S</t>
    </r>
    <r>
      <rPr>
        <vertAlign val="subscript"/>
        <sz val="11"/>
        <rFont val="Times New Roman"/>
        <family val="1"/>
      </rPr>
      <t>7</t>
    </r>
  </si>
  <si>
    <t>From Fig. 22-22, vapor pressure of sulfur at above temperature:</t>
  </si>
  <si>
    <t>Btu/lb</t>
  </si>
  <si>
    <t>Btu/lb-mole</t>
  </si>
  <si>
    <t>Looking at Fig. 22-22, the vapor pressure of sulfur is the above value at about</t>
  </si>
  <si>
    <r>
      <t>In the temperatur range of 400°F-700°F prevailing in the catalytic reactors, the Claus Reaction equilibrium involving formation of S</t>
    </r>
    <r>
      <rPr>
        <vertAlign val="subscript"/>
        <sz val="11"/>
        <rFont val="Times New Roman"/>
        <family val="1"/>
      </rPr>
      <t>2</t>
    </r>
    <r>
      <rPr>
        <sz val="11"/>
        <rFont val="Times New Roman"/>
        <family val="1"/>
      </rPr>
      <t>, S</t>
    </r>
    <r>
      <rPr>
        <vertAlign val="subscript"/>
        <sz val="11"/>
        <rFont val="Times New Roman"/>
        <family val="1"/>
      </rPr>
      <t>6</t>
    </r>
    <r>
      <rPr>
        <sz val="11"/>
        <rFont val="Times New Roman"/>
        <family val="1"/>
      </rPr>
      <t>, and S</t>
    </r>
    <r>
      <rPr>
        <vertAlign val="subscript"/>
        <sz val="11"/>
        <rFont val="Times New Roman"/>
        <family val="1"/>
      </rPr>
      <t>8</t>
    </r>
    <r>
      <rPr>
        <sz val="11"/>
        <rFont val="Times New Roman"/>
        <family val="1"/>
      </rPr>
      <t xml:space="preserve"> should all be used in equilibrium calculations.  </t>
    </r>
  </si>
  <si>
    <t>∆H (32°F)</t>
  </si>
  <si>
    <t>Equilibrium Temperature (°F) Fig. 22-27</t>
  </si>
  <si>
    <t>y, mol/hr (assumed)</t>
  </si>
  <si>
    <t>Equilibrium Temperature (°F) calculated</t>
  </si>
  <si>
    <r>
      <t>Equil Temp (°F) calculated = 1143 - 90.19*ln(K</t>
    </r>
    <r>
      <rPr>
        <vertAlign val="subscript"/>
        <sz val="11"/>
        <rFont val="Times New Roman"/>
        <family val="1"/>
      </rPr>
      <t>p</t>
    </r>
    <r>
      <rPr>
        <sz val="11"/>
        <rFont val="Times New Roman"/>
        <family val="1"/>
      </rPr>
      <t>) + 3.108*ln(K</t>
    </r>
    <r>
      <rPr>
        <vertAlign val="subscript"/>
        <sz val="11"/>
        <rFont val="Times New Roman"/>
        <family val="1"/>
      </rPr>
      <t>p</t>
    </r>
    <r>
      <rPr>
        <sz val="11"/>
        <rFont val="Times New Roman"/>
        <family val="1"/>
      </rPr>
      <t>)</t>
    </r>
    <r>
      <rPr>
        <vertAlign val="superscript"/>
        <sz val="11"/>
        <rFont val="Times New Roman"/>
        <family val="1"/>
      </rPr>
      <t>2</t>
    </r>
    <r>
      <rPr>
        <sz val="11"/>
        <rFont val="Times New Roman"/>
        <family val="1"/>
      </rPr>
      <t xml:space="preserve"> - 0.04538*ln(K</t>
    </r>
    <r>
      <rPr>
        <vertAlign val="subscript"/>
        <sz val="11"/>
        <rFont val="Times New Roman"/>
        <family val="1"/>
      </rPr>
      <t>p</t>
    </r>
    <r>
      <rPr>
        <sz val="11"/>
        <rFont val="Times New Roman"/>
        <family val="1"/>
      </rPr>
      <t>)</t>
    </r>
    <r>
      <rPr>
        <vertAlign val="superscript"/>
        <sz val="11"/>
        <rFont val="Times New Roman"/>
        <family val="1"/>
      </rPr>
      <t>3</t>
    </r>
  </si>
  <si>
    <r>
      <t>but we are examining only S</t>
    </r>
    <r>
      <rPr>
        <vertAlign val="subscript"/>
        <sz val="11"/>
        <rFont val="Times New Roman"/>
        <family val="1"/>
      </rPr>
      <t>8</t>
    </r>
    <r>
      <rPr>
        <sz val="11"/>
        <rFont val="Times New Roman"/>
        <family val="1"/>
      </rPr>
      <t xml:space="preserve"> formation here.</t>
    </r>
  </si>
  <si>
    <t>Converter Outlet Temperature (°F) Fig. 22-27</t>
  </si>
  <si>
    <t>Heat In (from Step 4)</t>
  </si>
  <si>
    <t>BTU/hr</t>
  </si>
  <si>
    <t>From page 22-28</t>
  </si>
  <si>
    <t>page 22-31</t>
  </si>
  <si>
    <t>Step 1(b).  Calculate net heat release for fuel (assumed methane), base rate</t>
  </si>
  <si>
    <t>Step 1(c).  Calculate fuel requirement and stack gas rate and composition.</t>
  </si>
  <si>
    <r>
      <t>O</t>
    </r>
    <r>
      <rPr>
        <vertAlign val="subscript"/>
        <sz val="11"/>
        <rFont val="Times New Roman"/>
        <family val="1"/>
      </rPr>
      <t>2</t>
    </r>
    <r>
      <rPr>
        <sz val="11"/>
        <rFont val="Times New Roman"/>
        <family val="1"/>
      </rPr>
      <t xml:space="preserve"> for CH</t>
    </r>
    <r>
      <rPr>
        <vertAlign val="subscript"/>
        <sz val="11"/>
        <rFont val="Times New Roman"/>
        <family val="1"/>
      </rPr>
      <t>4</t>
    </r>
    <r>
      <rPr>
        <sz val="11"/>
        <rFont val="Times New Roman"/>
        <family val="1"/>
      </rPr>
      <t xml:space="preserve"> combustion</t>
    </r>
  </si>
  <si>
    <r>
      <t>O</t>
    </r>
    <r>
      <rPr>
        <vertAlign val="subscript"/>
        <sz val="11"/>
        <rFont val="Times New Roman"/>
        <family val="1"/>
      </rPr>
      <t>2</t>
    </r>
    <r>
      <rPr>
        <sz val="11"/>
        <rFont val="Times New Roman"/>
        <family val="1"/>
      </rPr>
      <t xml:space="preserve"> for H</t>
    </r>
    <r>
      <rPr>
        <vertAlign val="subscript"/>
        <sz val="11"/>
        <rFont val="Times New Roman"/>
        <family val="1"/>
      </rPr>
      <t>2</t>
    </r>
    <r>
      <rPr>
        <sz val="11"/>
        <rFont val="Times New Roman"/>
        <family val="1"/>
      </rPr>
      <t>S and S</t>
    </r>
    <r>
      <rPr>
        <vertAlign val="subscript"/>
        <sz val="11"/>
        <rFont val="Times New Roman"/>
        <family val="1"/>
      </rPr>
      <t>1</t>
    </r>
  </si>
  <si>
    <r>
      <t>S</t>
    </r>
    <r>
      <rPr>
        <vertAlign val="subscript"/>
        <sz val="11"/>
        <rFont val="Times New Roman"/>
        <family val="1"/>
      </rPr>
      <t>1</t>
    </r>
    <r>
      <rPr>
        <sz val="11"/>
        <rFont val="Times New Roman"/>
        <family val="1"/>
      </rPr>
      <t xml:space="preserve"> Combustion</t>
    </r>
  </si>
  <si>
    <r>
      <t>S</t>
    </r>
    <r>
      <rPr>
        <vertAlign val="subscript"/>
        <sz val="11"/>
        <rFont val="Times New Roman"/>
        <family val="1"/>
      </rPr>
      <t>6</t>
    </r>
    <r>
      <rPr>
        <sz val="11"/>
        <rFont val="Times New Roman"/>
        <family val="1"/>
      </rPr>
      <t xml:space="preserve"> Combustion</t>
    </r>
  </si>
  <si>
    <r>
      <t>S</t>
    </r>
    <r>
      <rPr>
        <vertAlign val="subscript"/>
        <sz val="11"/>
        <rFont val="Times New Roman"/>
        <family val="1"/>
      </rPr>
      <t>8</t>
    </r>
    <r>
      <rPr>
        <sz val="11"/>
        <rFont val="Times New Roman"/>
        <family val="1"/>
      </rPr>
      <t xml:space="preserve"> Combustion</t>
    </r>
  </si>
  <si>
    <r>
      <t>S</t>
    </r>
    <r>
      <rPr>
        <vertAlign val="subscript"/>
        <sz val="11"/>
        <rFont val="Times New Roman"/>
        <family val="1"/>
      </rPr>
      <t>6</t>
    </r>
    <r>
      <rPr>
        <sz val="11"/>
        <rFont val="Times New Roman"/>
        <family val="1"/>
      </rPr>
      <t xml:space="preserve"> + 6O</t>
    </r>
    <r>
      <rPr>
        <vertAlign val="subscript"/>
        <sz val="11"/>
        <rFont val="Times New Roman"/>
        <family val="1"/>
      </rPr>
      <t>2</t>
    </r>
    <r>
      <rPr>
        <sz val="11"/>
        <rFont val="Times New Roman"/>
        <family val="1"/>
      </rPr>
      <t xml:space="preserve"> → 6SO</t>
    </r>
    <r>
      <rPr>
        <vertAlign val="subscript"/>
        <sz val="11"/>
        <rFont val="Times New Roman"/>
        <family val="1"/>
      </rPr>
      <t>2</t>
    </r>
  </si>
  <si>
    <r>
      <t>S</t>
    </r>
    <r>
      <rPr>
        <vertAlign val="subscript"/>
        <sz val="11"/>
        <rFont val="Times New Roman"/>
        <family val="1"/>
      </rPr>
      <t>8</t>
    </r>
    <r>
      <rPr>
        <sz val="11"/>
        <rFont val="Times New Roman"/>
        <family val="1"/>
      </rPr>
      <t xml:space="preserve"> + 8O</t>
    </r>
    <r>
      <rPr>
        <vertAlign val="subscript"/>
        <sz val="11"/>
        <rFont val="Times New Roman"/>
        <family val="1"/>
      </rPr>
      <t>2</t>
    </r>
    <r>
      <rPr>
        <sz val="11"/>
        <rFont val="Times New Roman"/>
        <family val="1"/>
      </rPr>
      <t xml:space="preserve"> → 8SO</t>
    </r>
    <r>
      <rPr>
        <vertAlign val="subscript"/>
        <sz val="11"/>
        <rFont val="Times New Roman"/>
        <family val="1"/>
      </rPr>
      <t>2</t>
    </r>
  </si>
  <si>
    <t>Page 22-31</t>
  </si>
  <si>
    <t>S6 + 6O2 → 6SO2</t>
  </si>
  <si>
    <t>S8 + 8O2 → 8SO2</t>
  </si>
  <si>
    <r>
      <t>Good approximation (within 1% total overall conversion) obtained if only the reaction to form S</t>
    </r>
    <r>
      <rPr>
        <vertAlign val="subscript"/>
        <sz val="11"/>
        <color indexed="8"/>
        <rFont val="Times New Roman"/>
        <family val="1"/>
      </rPr>
      <t>8</t>
    </r>
    <r>
      <rPr>
        <sz val="11"/>
        <color indexed="8"/>
        <rFont val="Times New Roman"/>
        <family val="1"/>
      </rPr>
      <t xml:space="preserve"> is considered.</t>
    </r>
  </si>
  <si>
    <t>Desired accuracy for convergence ([heat in plus heats of reaction - heat out]/heat in)</t>
  </si>
  <si>
    <t>equilibrium constant*</t>
  </si>
  <si>
    <t>*</t>
  </si>
  <si>
    <t>For the low pressure, vapor phase Claus reaction</t>
  </si>
  <si>
    <t>Kp = ( (PH2O)2(PSx)3/x ) / ( (PH2S)2(PSO2) ) = ( [Mols H­2O]2[Mols S2]3/2 ) / ( [Mols H2S]2[Mols SO2] ) * ( π / Total Mols )3/x – 1</t>
  </si>
  <si>
    <r>
      <t>K</t>
    </r>
    <r>
      <rPr>
        <vertAlign val="subscript"/>
        <sz val="11"/>
        <color indexed="8"/>
        <rFont val="Times New Roman"/>
        <family val="1"/>
      </rPr>
      <t>p</t>
    </r>
    <r>
      <rPr>
        <sz val="11"/>
        <color indexed="8"/>
        <rFont val="Times New Roman"/>
        <family val="1"/>
      </rPr>
      <t xml:space="preserve"> = ( (P</t>
    </r>
    <r>
      <rPr>
        <vertAlign val="subscript"/>
        <sz val="11"/>
        <color indexed="8"/>
        <rFont val="Times New Roman"/>
        <family val="1"/>
      </rPr>
      <t>H2O</t>
    </r>
    <r>
      <rPr>
        <sz val="11"/>
        <color indexed="8"/>
        <rFont val="Times New Roman"/>
        <family val="1"/>
      </rPr>
      <t>)</t>
    </r>
    <r>
      <rPr>
        <vertAlign val="superscript"/>
        <sz val="11"/>
        <color indexed="8"/>
        <rFont val="Times New Roman"/>
        <family val="1"/>
      </rPr>
      <t>2</t>
    </r>
    <r>
      <rPr>
        <sz val="11"/>
        <color indexed="8"/>
        <rFont val="Times New Roman"/>
        <family val="1"/>
      </rPr>
      <t>(P</t>
    </r>
    <r>
      <rPr>
        <vertAlign val="subscript"/>
        <sz val="11"/>
        <color indexed="8"/>
        <rFont val="Times New Roman"/>
        <family val="1"/>
      </rPr>
      <t>Sx</t>
    </r>
    <r>
      <rPr>
        <sz val="11"/>
        <color indexed="8"/>
        <rFont val="Times New Roman"/>
        <family val="1"/>
      </rPr>
      <t>)</t>
    </r>
    <r>
      <rPr>
        <vertAlign val="superscript"/>
        <sz val="11"/>
        <color indexed="8"/>
        <rFont val="Times New Roman"/>
        <family val="1"/>
      </rPr>
      <t>3/x</t>
    </r>
    <r>
      <rPr>
        <sz val="11"/>
        <color indexed="8"/>
        <rFont val="Times New Roman"/>
        <family val="1"/>
      </rPr>
      <t xml:space="preserve"> ) / ( (P</t>
    </r>
    <r>
      <rPr>
        <vertAlign val="subscript"/>
        <sz val="11"/>
        <color indexed="8"/>
        <rFont val="Times New Roman"/>
        <family val="1"/>
      </rPr>
      <t>H2S</t>
    </r>
    <r>
      <rPr>
        <sz val="11"/>
        <color indexed="8"/>
        <rFont val="Times New Roman"/>
        <family val="1"/>
      </rPr>
      <t>)</t>
    </r>
    <r>
      <rPr>
        <vertAlign val="superscript"/>
        <sz val="11"/>
        <color indexed="8"/>
        <rFont val="Times New Roman"/>
        <family val="1"/>
      </rPr>
      <t>2</t>
    </r>
    <r>
      <rPr>
        <sz val="11"/>
        <color indexed="8"/>
        <rFont val="Times New Roman"/>
        <family val="1"/>
      </rPr>
      <t>(P</t>
    </r>
    <r>
      <rPr>
        <vertAlign val="subscript"/>
        <sz val="11"/>
        <color indexed="8"/>
        <rFont val="Times New Roman"/>
        <family val="1"/>
      </rPr>
      <t>SO2</t>
    </r>
    <r>
      <rPr>
        <sz val="11"/>
        <color indexed="8"/>
        <rFont val="Times New Roman"/>
        <family val="1"/>
      </rPr>
      <t>) ) = ( [Mols H</t>
    </r>
    <r>
      <rPr>
        <vertAlign val="subscript"/>
        <sz val="11"/>
        <color indexed="8"/>
        <rFont val="Times New Roman"/>
        <family val="1"/>
      </rPr>
      <t>2</t>
    </r>
    <r>
      <rPr>
        <sz val="11"/>
        <color indexed="8"/>
        <rFont val="Times New Roman"/>
        <family val="1"/>
      </rPr>
      <t>O]</t>
    </r>
    <r>
      <rPr>
        <vertAlign val="superscript"/>
        <sz val="11"/>
        <color indexed="8"/>
        <rFont val="Times New Roman"/>
        <family val="1"/>
      </rPr>
      <t>2</t>
    </r>
    <r>
      <rPr>
        <sz val="11"/>
        <color indexed="8"/>
        <rFont val="Times New Roman"/>
        <family val="1"/>
      </rPr>
      <t>[Mols S</t>
    </r>
    <r>
      <rPr>
        <vertAlign val="subscript"/>
        <sz val="11"/>
        <color indexed="8"/>
        <rFont val="Times New Roman"/>
        <family val="1"/>
      </rPr>
      <t>2</t>
    </r>
    <r>
      <rPr>
        <sz val="11"/>
        <color indexed="8"/>
        <rFont val="Times New Roman"/>
        <family val="1"/>
      </rPr>
      <t>]</t>
    </r>
    <r>
      <rPr>
        <vertAlign val="superscript"/>
        <sz val="11"/>
        <color indexed="8"/>
        <rFont val="Times New Roman"/>
        <family val="1"/>
      </rPr>
      <t>3/2</t>
    </r>
    <r>
      <rPr>
        <sz val="11"/>
        <color indexed="8"/>
        <rFont val="Times New Roman"/>
        <family val="1"/>
      </rPr>
      <t xml:space="preserve"> ) / ( [Mols H</t>
    </r>
    <r>
      <rPr>
        <vertAlign val="subscript"/>
        <sz val="11"/>
        <color indexed="8"/>
        <rFont val="Times New Roman"/>
        <family val="1"/>
      </rPr>
      <t>2</t>
    </r>
    <r>
      <rPr>
        <sz val="11"/>
        <color indexed="8"/>
        <rFont val="Times New Roman"/>
        <family val="1"/>
      </rPr>
      <t>S]</t>
    </r>
    <r>
      <rPr>
        <vertAlign val="superscript"/>
        <sz val="11"/>
        <color indexed="8"/>
        <rFont val="Times New Roman"/>
        <family val="1"/>
      </rPr>
      <t>2</t>
    </r>
    <r>
      <rPr>
        <sz val="11"/>
        <color indexed="8"/>
        <rFont val="Times New Roman"/>
        <family val="1"/>
      </rPr>
      <t>[Mols SO</t>
    </r>
    <r>
      <rPr>
        <vertAlign val="subscript"/>
        <sz val="11"/>
        <color indexed="8"/>
        <rFont val="Times New Roman"/>
        <family val="1"/>
      </rPr>
      <t>2</t>
    </r>
    <r>
      <rPr>
        <sz val="11"/>
        <color indexed="8"/>
        <rFont val="Times New Roman"/>
        <family val="1"/>
      </rPr>
      <t>] ) * ( π / Total Mols )</t>
    </r>
    <r>
      <rPr>
        <vertAlign val="superscript"/>
        <sz val="11"/>
        <color indexed="8"/>
        <rFont val="Times New Roman"/>
        <family val="1"/>
      </rPr>
      <t xml:space="preserve">3/x </t>
    </r>
    <r>
      <rPr>
        <vertAlign val="superscript"/>
        <sz val="11"/>
        <color indexed="8"/>
        <rFont val="Calibri"/>
        <family val="2"/>
      </rPr>
      <t>– 1</t>
    </r>
  </si>
  <si>
    <t>Total</t>
  </si>
  <si>
    <t>Equilibrium temperature can determined by reading Fig. 22-27 or can be approximated by the following</t>
  </si>
  <si>
    <r>
      <t xml:space="preserve">Equilibrium Temperature (°F) = -963.3 + 2131 </t>
    </r>
    <r>
      <rPr>
        <sz val="11"/>
        <rFont val="Calibri"/>
        <family val="2"/>
      </rPr>
      <t>·</t>
    </r>
    <r>
      <rPr>
        <sz val="11"/>
        <rFont val="Times New Roman"/>
        <family val="1"/>
      </rPr>
      <t xml:space="preserve"> ln(K</t>
    </r>
    <r>
      <rPr>
        <vertAlign val="subscript"/>
        <sz val="11"/>
        <rFont val="Times New Roman"/>
        <family val="1"/>
      </rPr>
      <t>p</t>
    </r>
    <r>
      <rPr>
        <sz val="11"/>
        <rFont val="Times New Roman"/>
        <family val="1"/>
      </rPr>
      <t>) - 660.4 · ln(K</t>
    </r>
    <r>
      <rPr>
        <vertAlign val="subscript"/>
        <sz val="11"/>
        <rFont val="Times New Roman"/>
        <family val="1"/>
      </rPr>
      <t>p</t>
    </r>
    <r>
      <rPr>
        <sz val="11"/>
        <rFont val="Times New Roman"/>
        <family val="1"/>
      </rPr>
      <t>)</t>
    </r>
    <r>
      <rPr>
        <vertAlign val="superscript"/>
        <sz val="11"/>
        <rFont val="Times New Roman"/>
        <family val="1"/>
      </rPr>
      <t>2</t>
    </r>
    <r>
      <rPr>
        <sz val="11"/>
        <rFont val="Times New Roman"/>
        <family val="1"/>
      </rPr>
      <t xml:space="preserve"> + 89.68 · ln(K</t>
    </r>
    <r>
      <rPr>
        <vertAlign val="subscript"/>
        <sz val="11"/>
        <rFont val="Times New Roman"/>
        <family val="1"/>
      </rPr>
      <t>p</t>
    </r>
    <r>
      <rPr>
        <sz val="11"/>
        <rFont val="Times New Roman"/>
        <family val="1"/>
      </rPr>
      <t>)</t>
    </r>
    <r>
      <rPr>
        <vertAlign val="superscript"/>
        <sz val="11"/>
        <rFont val="Times New Roman"/>
        <family val="1"/>
      </rPr>
      <t>3</t>
    </r>
  </si>
  <si>
    <r>
      <t>Equilibrium Temperature (°F) = -963.3 + 2131 · ln(K</t>
    </r>
    <r>
      <rPr>
        <vertAlign val="subscript"/>
        <sz val="11"/>
        <rFont val="Times New Roman"/>
        <family val="1"/>
      </rPr>
      <t>p</t>
    </r>
    <r>
      <rPr>
        <sz val="11"/>
        <rFont val="Times New Roman"/>
        <family val="1"/>
      </rPr>
      <t>) - 660.4 · ln(K</t>
    </r>
    <r>
      <rPr>
        <vertAlign val="subscript"/>
        <sz val="11"/>
        <rFont val="Times New Roman"/>
        <family val="1"/>
      </rPr>
      <t>p</t>
    </r>
    <r>
      <rPr>
        <sz val="11"/>
        <rFont val="Times New Roman"/>
        <family val="1"/>
      </rPr>
      <t>)</t>
    </r>
    <r>
      <rPr>
        <vertAlign val="superscript"/>
        <sz val="11"/>
        <rFont val="Times New Roman"/>
        <family val="1"/>
      </rPr>
      <t>2</t>
    </r>
    <r>
      <rPr>
        <sz val="11"/>
        <rFont val="Times New Roman"/>
        <family val="1"/>
      </rPr>
      <t xml:space="preserve"> + 89.68 · ln(K</t>
    </r>
    <r>
      <rPr>
        <vertAlign val="subscript"/>
        <sz val="11"/>
        <rFont val="Times New Roman"/>
        <family val="1"/>
      </rPr>
      <t>p</t>
    </r>
    <r>
      <rPr>
        <sz val="11"/>
        <rFont val="Times New Roman"/>
        <family val="1"/>
      </rPr>
      <t>)</t>
    </r>
    <r>
      <rPr>
        <vertAlign val="superscript"/>
        <sz val="11"/>
        <rFont val="Times New Roman"/>
        <family val="1"/>
      </rPr>
      <t>3</t>
    </r>
  </si>
  <si>
    <t>A</t>
  </si>
  <si>
    <t>B</t>
  </si>
  <si>
    <t>C</t>
  </si>
  <si>
    <t>H2S</t>
  </si>
  <si>
    <t>CO2</t>
  </si>
  <si>
    <t>H2O</t>
  </si>
  <si>
    <t>O2</t>
  </si>
  <si>
    <t>N2</t>
  </si>
  <si>
    <t>SO2</t>
  </si>
  <si>
    <t>S2</t>
  </si>
  <si>
    <t>°F   By Equations page 22-28</t>
  </si>
  <si>
    <t>°F     By Equations page 22-28</t>
  </si>
  <si>
    <t>Note: Page 22-27 assumes x = 135.16 mol/hr without any explanation.</t>
  </si>
  <si>
    <r>
      <t xml:space="preserve">Note: Page 22-28 assumes temperature of 2127 </t>
    </r>
    <r>
      <rPr>
        <i/>
        <sz val="11"/>
        <rFont val="Calibri"/>
        <family val="2"/>
      </rPr>
      <t>°</t>
    </r>
    <r>
      <rPr>
        <i/>
        <sz val="11"/>
        <rFont val="Times New Roman"/>
        <family val="1"/>
      </rPr>
      <t>F without any explanation.</t>
    </r>
  </si>
  <si>
    <t>Note: Page 22-29 calculates Claus Reaction with 135.16 moles/hr but shows 135 moles/hr  in the example.</t>
  </si>
  <si>
    <t>H2S Combustion</t>
  </si>
  <si>
    <t>Hydrocarbons (as C1)</t>
  </si>
  <si>
    <t>As an alternative to reading Fig. 22-27, the following approximation can be used?</t>
  </si>
  <si>
    <r>
      <t xml:space="preserve">Equil Temp (°F) calculated = 1143 - 90.19 </t>
    </r>
    <r>
      <rPr>
        <sz val="11"/>
        <rFont val="Calibri"/>
        <family val="2"/>
      </rPr>
      <t xml:space="preserve">· </t>
    </r>
    <r>
      <rPr>
        <sz val="11"/>
        <rFont val="Times New Roman"/>
        <family val="1"/>
      </rPr>
      <t>ln(K</t>
    </r>
    <r>
      <rPr>
        <vertAlign val="subscript"/>
        <sz val="11"/>
        <rFont val="Times New Roman"/>
        <family val="1"/>
      </rPr>
      <t>p</t>
    </r>
    <r>
      <rPr>
        <sz val="11"/>
        <rFont val="Times New Roman"/>
        <family val="1"/>
      </rPr>
      <t>) + 3.108 · ln(K</t>
    </r>
    <r>
      <rPr>
        <vertAlign val="subscript"/>
        <sz val="11"/>
        <rFont val="Times New Roman"/>
        <family val="1"/>
      </rPr>
      <t>p</t>
    </r>
    <r>
      <rPr>
        <sz val="11"/>
        <rFont val="Times New Roman"/>
        <family val="1"/>
      </rPr>
      <t>)</t>
    </r>
    <r>
      <rPr>
        <vertAlign val="superscript"/>
        <sz val="11"/>
        <rFont val="Times New Roman"/>
        <family val="1"/>
      </rPr>
      <t>2</t>
    </r>
    <r>
      <rPr>
        <sz val="11"/>
        <rFont val="Times New Roman"/>
        <family val="1"/>
      </rPr>
      <t xml:space="preserve"> - 0.04539 · ln(K</t>
    </r>
    <r>
      <rPr>
        <vertAlign val="subscript"/>
        <sz val="11"/>
        <rFont val="Times New Roman"/>
        <family val="1"/>
      </rPr>
      <t>p</t>
    </r>
    <r>
      <rPr>
        <sz val="11"/>
        <rFont val="Times New Roman"/>
        <family val="1"/>
      </rPr>
      <t>)</t>
    </r>
    <r>
      <rPr>
        <vertAlign val="superscript"/>
        <sz val="11"/>
        <rFont val="Times New Roman"/>
        <family val="1"/>
      </rPr>
      <t>3</t>
    </r>
  </si>
  <si>
    <r>
      <t>Note: Page 22-29 shows the Reaction Products enthalpy of S</t>
    </r>
    <r>
      <rPr>
        <i/>
        <vertAlign val="subscript"/>
        <sz val="11"/>
        <rFont val="Times New Roman"/>
        <family val="1"/>
      </rPr>
      <t>2</t>
    </r>
    <r>
      <rPr>
        <i/>
        <sz val="11"/>
        <rFont val="Times New Roman"/>
        <family val="1"/>
      </rPr>
      <t xml:space="preserve"> at 25,623 Btu/lb-mol while Page 22-28 shows 18,278 Btu/lb-mol for the same stream.</t>
    </r>
  </si>
  <si>
    <t>Page 22-30 uses 38.48 mole/hr without explaination.</t>
  </si>
  <si>
    <t>Enthalpy from equations on Page 22-28</t>
  </si>
  <si>
    <t>Page 22-31 uses methane fuel rate of 22.90 moles/hr without explaination. At 50% excess, this increases the oxygen demand by 68.7 mole/hr.</t>
  </si>
  <si>
    <t>Based on equations on Page 22-28.</t>
  </si>
  <si>
    <t>The preheater outlet temperature is typically set</t>
  </si>
  <si>
    <t>(from psychometric charts)</t>
  </si>
  <si>
    <t>Step 1</t>
  </si>
  <si>
    <t>Step 2</t>
  </si>
  <si>
    <t>Step 5</t>
  </si>
  <si>
    <t>Note</t>
  </si>
  <si>
    <t>A data base which is often utilized for these Claus plant calculations is the JANAF (Joint Army Navy Air Force) tables.</t>
  </si>
  <si>
    <t>Sheet</t>
  </si>
  <si>
    <t>Conditions</t>
  </si>
  <si>
    <r>
      <t>Process calculations for a Claus sulfur recovery unit are complicated by the existence of various species of gaseous sulfur(S</t>
    </r>
    <r>
      <rPr>
        <vertAlign val="subscript"/>
        <sz val="11"/>
        <color theme="1"/>
        <rFont val="Calibri"/>
        <family val="2"/>
        <scheme val="minor"/>
      </rPr>
      <t>2</t>
    </r>
    <r>
      <rPr>
        <sz val="11"/>
        <color theme="1"/>
        <rFont val="Calibri"/>
        <family val="2"/>
        <scheme val="minor"/>
      </rPr>
      <t>, S</t>
    </r>
    <r>
      <rPr>
        <vertAlign val="subscript"/>
        <sz val="11"/>
        <color theme="1"/>
        <rFont val="Calibri"/>
        <family val="2"/>
        <scheme val="minor"/>
      </rPr>
      <t>3</t>
    </r>
    <r>
      <rPr>
        <sz val="11"/>
        <color theme="1"/>
        <rFont val="Calibri"/>
        <family val="2"/>
        <scheme val="minor"/>
      </rPr>
      <t>, S</t>
    </r>
    <r>
      <rPr>
        <vertAlign val="subscript"/>
        <sz val="11"/>
        <color theme="1"/>
        <rFont val="Calibri"/>
        <family val="2"/>
        <scheme val="minor"/>
      </rPr>
      <t>4</t>
    </r>
    <r>
      <rPr>
        <sz val="11"/>
        <color theme="1"/>
        <rFont val="Calibri"/>
        <family val="2"/>
        <scheme val="minor"/>
      </rPr>
      <t>, S</t>
    </r>
    <r>
      <rPr>
        <vertAlign val="subscript"/>
        <sz val="11"/>
        <color theme="1"/>
        <rFont val="Calibri"/>
        <family val="2"/>
        <scheme val="minor"/>
      </rPr>
      <t>5</t>
    </r>
    <r>
      <rPr>
        <sz val="11"/>
        <color theme="1"/>
        <rFont val="Calibri"/>
        <family val="2"/>
        <scheme val="minor"/>
      </rPr>
      <t>, S</t>
    </r>
    <r>
      <rPr>
        <vertAlign val="subscript"/>
        <sz val="11"/>
        <color theme="1"/>
        <rFont val="Calibri"/>
        <family val="2"/>
        <scheme val="minor"/>
      </rPr>
      <t>6</t>
    </r>
    <r>
      <rPr>
        <sz val="11"/>
        <color theme="1"/>
        <rFont val="Calibri"/>
        <family val="2"/>
        <scheme val="minor"/>
      </rPr>
      <t>, S</t>
    </r>
    <r>
      <rPr>
        <vertAlign val="subscript"/>
        <sz val="11"/>
        <color theme="1"/>
        <rFont val="Calibri"/>
        <family val="2"/>
        <scheme val="minor"/>
      </rPr>
      <t>7</t>
    </r>
    <r>
      <rPr>
        <sz val="11"/>
        <color theme="1"/>
        <rFont val="Calibri"/>
        <family val="2"/>
        <scheme val="minor"/>
      </rPr>
      <t>, and S</t>
    </r>
    <r>
      <rPr>
        <vertAlign val="subscript"/>
        <sz val="11"/>
        <color theme="1"/>
        <rFont val="Calibri"/>
        <family val="2"/>
        <scheme val="minor"/>
      </rPr>
      <t>8</t>
    </r>
    <r>
      <rPr>
        <sz val="11"/>
        <color theme="1"/>
        <rFont val="Calibri"/>
        <family val="2"/>
        <scheme val="minor"/>
      </rPr>
      <t>) whose equilibrium concentrations in relation to each other are often not precisely known, and by the number of side reactions involving other feed gas components such as CO</t>
    </r>
    <r>
      <rPr>
        <vertAlign val="subscript"/>
        <sz val="11"/>
        <color theme="1"/>
        <rFont val="Calibri"/>
        <family val="2"/>
        <scheme val="minor"/>
      </rPr>
      <t>2</t>
    </r>
    <r>
      <rPr>
        <sz val="11"/>
        <color theme="1"/>
        <rFont val="Calibri"/>
        <family val="2"/>
        <scheme val="minor"/>
      </rPr>
      <t>, hydrocarbons, ammonia, etc., which take place simultaneously. These calculations are usually carried out by computer with equilibrium conditions and compositions.</t>
    </r>
  </si>
  <si>
    <t>Reasonably accurate process calculations can be carried out manually, however, if side reactions are ignored. The following example illustrates a simplified method of calculating the significant process parameters for a 100 LT/D (feed) Claus plant.</t>
  </si>
  <si>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</si>
  <si>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</si>
  <si>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</si>
  <si>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 reference to or reliance on the information in thes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</si>
  <si>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</si>
  <si>
    <r>
      <t>feed stream to sulfur recovery plant consisting of H</t>
    </r>
    <r>
      <rPr>
        <vertAlign val="subscript"/>
        <sz val="11"/>
        <rFont val="Times New Roman"/>
        <family val="1"/>
      </rPr>
      <t>2</t>
    </r>
    <r>
      <rPr>
        <sz val="11"/>
        <rFont val="Times New Roman"/>
        <family val="1"/>
      </rPr>
      <t>S, CO</t>
    </r>
    <r>
      <rPr>
        <vertAlign val="subscript"/>
        <sz val="11"/>
        <rFont val="Times New Roman"/>
        <family val="1"/>
      </rPr>
      <t>2</t>
    </r>
    <r>
      <rPr>
        <sz val="11"/>
        <rFont val="Times New Roman"/>
        <family val="1"/>
      </rPr>
      <t>, H</t>
    </r>
    <r>
      <rPr>
        <vertAlign val="subscript"/>
        <sz val="11"/>
        <rFont val="Times New Roman"/>
        <family val="1"/>
      </rPr>
      <t>2</t>
    </r>
    <r>
      <rPr>
        <sz val="11"/>
        <rFont val="Times New Roman"/>
        <family val="1"/>
      </rPr>
      <t>O, and usually less than 2 mol % hydrocarbons</t>
    </r>
  </si>
  <si>
    <r>
      <t>a process in which 1/3 of the H</t>
    </r>
    <r>
      <rPr>
        <vertAlign val="subscript"/>
        <sz val="11"/>
        <rFont val="Times New Roman"/>
        <family val="1"/>
      </rPr>
      <t>2</t>
    </r>
    <r>
      <rPr>
        <sz val="11"/>
        <rFont val="Times New Roman"/>
        <family val="1"/>
      </rPr>
      <t>S in the acid gas feed is burned to SO</t>
    </r>
    <r>
      <rPr>
        <vertAlign val="subscript"/>
        <sz val="11"/>
        <rFont val="Times New Roman"/>
        <family val="1"/>
      </rPr>
      <t>2</t>
    </r>
    <r>
      <rPr>
        <sz val="11"/>
        <rFont val="Times New Roman"/>
        <family val="1"/>
      </rPr>
      <t xml:space="preserve"> which is then reacted with the remaining H</t>
    </r>
    <r>
      <rPr>
        <vertAlign val="subscript"/>
        <sz val="11"/>
        <rFont val="Times New Roman"/>
        <family val="1"/>
      </rPr>
      <t>2</t>
    </r>
    <r>
      <rPr>
        <sz val="11"/>
        <rFont val="Times New Roman"/>
        <family val="1"/>
      </rPr>
      <t>S to produce sulfur.  This is also referred to as the modified Claus process</t>
    </r>
  </si>
  <si>
    <r>
      <t>2H</t>
    </r>
    <r>
      <rPr>
        <vertAlign val="subscript"/>
        <sz val="11"/>
        <rFont val="Times New Roman"/>
        <family val="1"/>
      </rPr>
      <t>2</t>
    </r>
    <r>
      <rPr>
        <sz val="11"/>
        <rFont val="Times New Roman"/>
        <family val="1"/>
      </rPr>
      <t>S + SO</t>
    </r>
    <r>
      <rPr>
        <vertAlign val="subscript"/>
        <sz val="11"/>
        <rFont val="Times New Roman"/>
        <family val="1"/>
      </rPr>
      <t>2</t>
    </r>
    <r>
      <rPr>
        <sz val="11"/>
        <rFont val="Times New Roman"/>
        <family val="1"/>
      </rPr>
      <t xml:space="preserve"> → 2H</t>
    </r>
    <r>
      <rPr>
        <vertAlign val="subscript"/>
        <sz val="11"/>
        <rFont val="Times New Roman"/>
        <family val="1"/>
      </rPr>
      <t>2</t>
    </r>
    <r>
      <rPr>
        <sz val="11"/>
        <rFont val="Times New Roman"/>
        <family val="1"/>
      </rPr>
      <t>O + 3/x S</t>
    </r>
    <r>
      <rPr>
        <vertAlign val="subscript"/>
        <sz val="11"/>
        <rFont val="Times New Roman"/>
        <family val="1"/>
      </rPr>
      <t>x</t>
    </r>
  </si>
  <si>
    <r>
      <t>K</t>
    </r>
    <r>
      <rPr>
        <vertAlign val="subscript"/>
        <sz val="11"/>
        <rFont val="Times New Roman"/>
        <family val="1"/>
      </rPr>
      <t>p</t>
    </r>
    <r>
      <rPr>
        <sz val="11"/>
        <rFont val="Times New Roman"/>
        <family val="1"/>
      </rPr>
      <t xml:space="preserve"> = ( (P</t>
    </r>
    <r>
      <rPr>
        <vertAlign val="subscript"/>
        <sz val="11"/>
        <rFont val="Times New Roman"/>
        <family val="1"/>
      </rPr>
      <t>H2O</t>
    </r>
    <r>
      <rPr>
        <sz val="11"/>
        <rFont val="Times New Roman"/>
        <family val="1"/>
      </rPr>
      <t>)</t>
    </r>
    <r>
      <rPr>
        <vertAlign val="superscript"/>
        <sz val="11"/>
        <rFont val="Times New Roman"/>
        <family val="1"/>
      </rPr>
      <t>2</t>
    </r>
    <r>
      <rPr>
        <sz val="11"/>
        <rFont val="Times New Roman"/>
        <family val="1"/>
      </rPr>
      <t>(P</t>
    </r>
    <r>
      <rPr>
        <vertAlign val="subscript"/>
        <sz val="11"/>
        <rFont val="Times New Roman"/>
        <family val="1"/>
      </rPr>
      <t>Sx</t>
    </r>
    <r>
      <rPr>
        <sz val="11"/>
        <rFont val="Times New Roman"/>
        <family val="1"/>
      </rPr>
      <t>)</t>
    </r>
    <r>
      <rPr>
        <vertAlign val="superscript"/>
        <sz val="11"/>
        <rFont val="Times New Roman"/>
        <family val="1"/>
      </rPr>
      <t>3/x</t>
    </r>
    <r>
      <rPr>
        <sz val="11"/>
        <rFont val="Times New Roman"/>
        <family val="1"/>
      </rPr>
      <t xml:space="preserve"> ) / ( (P</t>
    </r>
    <r>
      <rPr>
        <vertAlign val="subscript"/>
        <sz val="11"/>
        <rFont val="Times New Roman"/>
        <family val="1"/>
      </rPr>
      <t>H2S</t>
    </r>
    <r>
      <rPr>
        <sz val="11"/>
        <rFont val="Times New Roman"/>
        <family val="1"/>
      </rPr>
      <t>)</t>
    </r>
    <r>
      <rPr>
        <vertAlign val="superscript"/>
        <sz val="11"/>
        <rFont val="Times New Roman"/>
        <family val="1"/>
      </rPr>
      <t>2</t>
    </r>
    <r>
      <rPr>
        <sz val="11"/>
        <rFont val="Times New Roman"/>
        <family val="1"/>
      </rPr>
      <t>(P</t>
    </r>
    <r>
      <rPr>
        <vertAlign val="subscript"/>
        <sz val="11"/>
        <rFont val="Times New Roman"/>
        <family val="1"/>
      </rPr>
      <t>SO2</t>
    </r>
    <r>
      <rPr>
        <sz val="11"/>
        <rFont val="Times New Roman"/>
        <family val="1"/>
      </rPr>
      <t xml:space="preserve">) ) </t>
    </r>
  </si>
  <si>
    <r>
      <t>K</t>
    </r>
    <r>
      <rPr>
        <vertAlign val="subscript"/>
        <sz val="11"/>
        <color theme="1"/>
        <rFont val="Calibri"/>
        <family val="2"/>
        <scheme val="minor"/>
      </rPr>
      <t>p</t>
    </r>
    <r>
      <rPr>
        <sz val="11"/>
        <color theme="1"/>
        <rFont val="Calibri"/>
        <family val="2"/>
        <scheme val="minor"/>
      </rPr>
      <t xml:space="preserve"> = ( [Mols H</t>
    </r>
    <r>
      <rPr>
        <vertAlign val="subscript"/>
        <sz val="11"/>
        <color theme="1"/>
        <rFont val="Calibri"/>
        <family val="2"/>
        <scheme val="minor"/>
      </rPr>
      <t>2</t>
    </r>
    <r>
      <rPr>
        <sz val="11"/>
        <color theme="1"/>
        <rFont val="Calibri"/>
        <family val="2"/>
        <scheme val="minor"/>
      </rPr>
      <t>O]</t>
    </r>
    <r>
      <rPr>
        <vertAlign val="superscript"/>
        <sz val="11"/>
        <color theme="1"/>
        <rFont val="Calibri"/>
        <family val="2"/>
        <scheme val="minor"/>
      </rPr>
      <t>2</t>
    </r>
    <r>
      <rPr>
        <sz val="11"/>
        <color theme="1"/>
        <rFont val="Calibri"/>
        <family val="2"/>
        <scheme val="minor"/>
      </rPr>
      <t>[Mols S</t>
    </r>
    <r>
      <rPr>
        <vertAlign val="subscript"/>
        <sz val="11"/>
        <color theme="1"/>
        <rFont val="Calibri"/>
        <family val="2"/>
        <scheme val="minor"/>
      </rPr>
      <t>x</t>
    </r>
    <r>
      <rPr>
        <sz val="11"/>
        <color theme="1"/>
        <rFont val="Calibri"/>
        <family val="2"/>
        <scheme val="minor"/>
      </rPr>
      <t>]</t>
    </r>
    <r>
      <rPr>
        <vertAlign val="superscript"/>
        <sz val="11"/>
        <color theme="1"/>
        <rFont val="Calibri"/>
        <family val="2"/>
        <scheme val="minor"/>
      </rPr>
      <t>3/x</t>
    </r>
    <r>
      <rPr>
        <sz val="11"/>
        <color theme="1"/>
        <rFont val="Calibri"/>
        <family val="2"/>
        <scheme val="minor"/>
      </rPr>
      <t xml:space="preserve"> ) / ( [Mols H</t>
    </r>
    <r>
      <rPr>
        <vertAlign val="subscript"/>
        <sz val="11"/>
        <color theme="1"/>
        <rFont val="Calibri"/>
        <family val="2"/>
        <scheme val="minor"/>
      </rPr>
      <t>2</t>
    </r>
    <r>
      <rPr>
        <sz val="11"/>
        <color theme="1"/>
        <rFont val="Calibri"/>
        <family val="2"/>
        <scheme val="minor"/>
      </rPr>
      <t>S]</t>
    </r>
    <r>
      <rPr>
        <vertAlign val="superscript"/>
        <sz val="11"/>
        <color theme="1"/>
        <rFont val="Calibri"/>
        <family val="2"/>
        <scheme val="minor"/>
      </rPr>
      <t>2</t>
    </r>
    <r>
      <rPr>
        <sz val="11"/>
        <color theme="1"/>
        <rFont val="Calibri"/>
        <family val="2"/>
        <scheme val="minor"/>
      </rPr>
      <t>[Mols SO</t>
    </r>
    <r>
      <rPr>
        <vertAlign val="subscript"/>
        <sz val="11"/>
        <color theme="1"/>
        <rFont val="Calibri"/>
        <family val="2"/>
        <scheme val="minor"/>
      </rPr>
      <t>2</t>
    </r>
    <r>
      <rPr>
        <sz val="11"/>
        <color theme="1"/>
        <rFont val="Calibri"/>
        <family val="2"/>
        <scheme val="minor"/>
      </rPr>
      <t>] ) * ( π / Total Mols )</t>
    </r>
    <r>
      <rPr>
        <vertAlign val="superscript"/>
        <sz val="11"/>
        <color theme="1"/>
        <rFont val="Calibri"/>
        <family val="2"/>
        <scheme val="minor"/>
      </rPr>
      <t>3/x – 1</t>
    </r>
  </si>
  <si>
    <t>Temperature Range (°F)</t>
  </si>
  <si>
    <r>
      <t>As an alternative to interpolating Fig. 22-28 for molar enthalpies in BTU/lbmole, the following equations can be used in the noted temperature ranges.  These equations are in the form Molar Enthalpy = A + B · T + C · T</t>
    </r>
    <r>
      <rPr>
        <vertAlign val="superscript"/>
        <sz val="11"/>
        <color theme="1"/>
        <rFont val="Times New Roman"/>
        <family val="1"/>
      </rPr>
      <t>2</t>
    </r>
    <r>
      <rPr>
        <sz val="11"/>
        <color theme="1"/>
        <rFont val="Times New Roman"/>
        <family val="1"/>
      </rPr>
      <t xml:space="preserve"> where T = temperature (°F)</t>
    </r>
  </si>
  <si>
    <r>
      <t>H</t>
    </r>
    <r>
      <rPr>
        <vertAlign val="subscript"/>
        <sz val="11"/>
        <color theme="1"/>
        <rFont val="Times New Roman"/>
        <family val="1"/>
      </rPr>
      <t>2</t>
    </r>
    <r>
      <rPr>
        <sz val="11"/>
        <color theme="1"/>
        <rFont val="Times New Roman"/>
        <family val="1"/>
      </rPr>
      <t>S</t>
    </r>
  </si>
  <si>
    <r>
      <t>CO</t>
    </r>
    <r>
      <rPr>
        <vertAlign val="subscript"/>
        <sz val="11"/>
        <color theme="1"/>
        <rFont val="Times New Roman"/>
        <family val="1"/>
      </rPr>
      <t>2</t>
    </r>
  </si>
  <si>
    <r>
      <t>H</t>
    </r>
    <r>
      <rPr>
        <vertAlign val="subscript"/>
        <sz val="11"/>
        <color theme="1"/>
        <rFont val="Times New Roman"/>
        <family val="1"/>
      </rPr>
      <t>2</t>
    </r>
    <r>
      <rPr>
        <sz val="11"/>
        <color theme="1"/>
        <rFont val="Times New Roman"/>
        <family val="1"/>
      </rPr>
      <t>O</t>
    </r>
  </si>
  <si>
    <r>
      <t>CH</t>
    </r>
    <r>
      <rPr>
        <vertAlign val="subscript"/>
        <sz val="11"/>
        <color theme="1"/>
        <rFont val="Times New Roman"/>
        <family val="1"/>
      </rPr>
      <t>4</t>
    </r>
  </si>
  <si>
    <r>
      <t>O</t>
    </r>
    <r>
      <rPr>
        <vertAlign val="subscript"/>
        <sz val="11"/>
        <color theme="1"/>
        <rFont val="Times New Roman"/>
        <family val="1"/>
      </rPr>
      <t>2</t>
    </r>
  </si>
  <si>
    <r>
      <t>N</t>
    </r>
    <r>
      <rPr>
        <vertAlign val="subscript"/>
        <sz val="11"/>
        <color theme="1"/>
        <rFont val="Times New Roman"/>
        <family val="1"/>
      </rPr>
      <t>2</t>
    </r>
  </si>
  <si>
    <r>
      <t>SO</t>
    </r>
    <r>
      <rPr>
        <vertAlign val="subscript"/>
        <sz val="11"/>
        <color theme="1"/>
        <rFont val="Times New Roman"/>
        <family val="1"/>
      </rPr>
      <t>2</t>
    </r>
  </si>
  <si>
    <r>
      <t>S</t>
    </r>
    <r>
      <rPr>
        <vertAlign val="subscript"/>
        <sz val="11"/>
        <color theme="1"/>
        <rFont val="Times New Roman"/>
        <family val="1"/>
      </rPr>
      <t>2</t>
    </r>
  </si>
  <si>
    <r>
      <t>S</t>
    </r>
    <r>
      <rPr>
        <vertAlign val="subscript"/>
        <sz val="11"/>
        <color theme="1"/>
        <rFont val="Times New Roman"/>
        <family val="1"/>
      </rPr>
      <t>6</t>
    </r>
  </si>
  <si>
    <r>
      <t>S</t>
    </r>
    <r>
      <rPr>
        <vertAlign val="subscript"/>
        <sz val="11"/>
        <color theme="1"/>
        <rFont val="Times New Roman"/>
        <family val="1"/>
      </rPr>
      <t>8</t>
    </r>
  </si>
  <si>
    <r>
      <t>S</t>
    </r>
    <r>
      <rPr>
        <vertAlign val="subscript"/>
        <sz val="11"/>
        <color theme="1"/>
        <rFont val="Times New Roman"/>
        <family val="1"/>
      </rPr>
      <t>liq</t>
    </r>
    <r>
      <rPr>
        <sz val="11"/>
        <color theme="1"/>
        <rFont val="Times New Roman"/>
        <family val="1"/>
      </rPr>
      <t xml:space="preserve"> (as S</t>
    </r>
    <r>
      <rPr>
        <vertAlign val="subscript"/>
        <sz val="11"/>
        <color theme="1"/>
        <rFont val="Times New Roman"/>
        <family val="1"/>
      </rPr>
      <t>1</t>
    </r>
    <r>
      <rPr>
        <sz val="11"/>
        <color theme="1"/>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</si>
</sst>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00"/>
    <numFmt numFmtId="165" formatCode="0.0"/>
    <numFmt numFmtId="166" formatCode="_(* #,##0_);_(* \(#,##0\);_(* &quot;-&quot;??_);_(@_)"/>
  </numFmts>
  <fonts count="37" x14ac:knownFonts="1">
    <font>
      <sz val="11"/>
      <color theme="1"/>
      <name val="Calibri"/>
      <family val="2"/>
      <scheme val="minor"/>
    </font>
    <font>
      <vertAlign val="subscript"/>
      <sz val="11"/>
      <color indexed="8"/>
      <name val="Calibri"/>
      <family val="2"/>
    </font>
    <font>
      <sz val="11"/>
      <color indexed="8"/>
      <name val="Times New Roman"/>
      <family val="1"/>
    </font>
    <font>
      <b/>
      <sz val="11"/>
      <name val="Times New Roman"/>
      <family val="1"/>
    </font>
    <font>
      <sz val="11"/>
      <name val="Times New Roman"/>
      <family val="1"/>
    </font>
    <font>
      <sz val="11"/>
      <name val="Arial"/>
      <family val="2"/>
    </font>
    <font>
      <vertAlign val="subscript"/>
      <sz val="11"/>
      <name val="Times New Roman"/>
      <family val="1"/>
    </font>
    <font>
      <sz val="10"/>
      <name val="Arial"/>
      <family val="2"/>
    </font>
    <font>
      <vertAlign val="subscript"/>
      <sz val="11"/>
      <color indexed="8"/>
      <name val="Times New Roman"/>
      <family val="1"/>
    </font>
    <font>
      <b/>
      <sz val="16"/>
      <name val="Times New Roman"/>
      <family val="1"/>
    </font>
    <font>
      <sz val="16"/>
      <name val="Times New Roman"/>
      <family val="1"/>
    </font>
    <font>
      <sz val="11"/>
      <name val="Calibri"/>
      <family val="2"/>
    </font>
    <font>
      <b/>
      <u/>
      <sz val="11"/>
      <name val="Times New Roman"/>
      <family val="1"/>
    </font>
    <font>
      <vertAlign val="superscript"/>
      <sz val="11"/>
      <color indexed="8"/>
      <name val="Times New Roman"/>
      <family val="1"/>
    </font>
    <font>
      <vertAlign val="superscript"/>
      <sz val="11"/>
      <color indexed="8"/>
      <name val="Calibri"/>
      <family val="2"/>
    </font>
    <font>
      <i/>
      <sz val="16"/>
      <name val="Times New Roman"/>
      <family val="1"/>
    </font>
    <font>
      <b/>
      <sz val="11"/>
      <color indexed="8"/>
      <name val="Calibri"/>
      <family val="2"/>
    </font>
    <font>
      <sz val="16"/>
      <color indexed="8"/>
      <name val="Times New Roman"/>
      <family val="1"/>
    </font>
    <font>
      <b/>
      <sz val="11"/>
      <color indexed="8"/>
      <name val="Times New Roman"/>
      <family val="1"/>
    </font>
    <font>
      <b/>
      <vertAlign val="subscript"/>
      <sz val="11"/>
      <color indexed="8"/>
      <name val="Times New Roman"/>
      <family val="1"/>
    </font>
    <font>
      <sz val="11"/>
      <color indexed="8"/>
      <name val="Calibri"/>
      <family val="2"/>
    </font>
    <font>
      <sz val="8"/>
      <name val="Calibri"/>
      <family val="2"/>
    </font>
    <font>
      <sz val="11"/>
      <name val="Calibri"/>
      <family val="2"/>
      <scheme val="minor"/>
    </font>
    <font>
      <vertAlign val="superscript"/>
      <sz val="11"/>
      <name val="Times New Roman"/>
      <family val="1"/>
    </font>
    <font>
      <sz val="11"/>
      <color theme="1"/>
      <name val="Calibri"/>
      <family val="2"/>
      <scheme val="minor"/>
    </font>
    <font>
      <u val="singleAccounting"/>
      <sz val="11"/>
      <name val="Times New Roman"/>
      <family val="1"/>
    </font>
    <font>
      <vertAlign val="subscript"/>
      <sz val="11"/>
      <color theme="1"/>
      <name val="Calibri"/>
      <family val="2"/>
      <scheme val="minor"/>
    </font>
    <font>
      <i/>
      <sz val="11"/>
      <name val="Times New Roman"/>
      <family val="1"/>
    </font>
    <font>
      <i/>
      <sz val="11"/>
      <name val="Calibri"/>
      <family val="2"/>
    </font>
    <font>
      <i/>
      <sz val="11"/>
      <color theme="1"/>
      <name val="Calibri"/>
      <family val="2"/>
      <scheme val="minor"/>
    </font>
    <font>
      <i/>
      <vertAlign val="subscript"/>
      <sz val="11"/>
      <name val="Times New Roman"/>
      <family val="1"/>
    </font>
    <font>
      <sz val="11"/>
      <color theme="5" tint="-0.249977111117893"/>
      <name val="Times New Roman"/>
      <family val="1"/>
    </font>
    <font>
      <b/>
      <sz val="11"/>
      <name val="Arial"/>
      <family val="2"/>
    </font>
    <font>
      <vertAlign val="superscript"/>
      <sz val="11"/>
      <color theme="1"/>
      <name val="Calibri"/>
      <family val="2"/>
      <scheme val="minor"/>
    </font>
    <font>
      <sz val="11"/>
      <color theme="1"/>
      <name val="Times New Roman"/>
      <family val="1"/>
    </font>
    <font>
      <vertAlign val="superscript"/>
      <sz val="11"/>
      <color theme="1"/>
      <name val="Times New Roman"/>
      <family val="1"/>
    </font>
    <font>
      <vertAlign val="subscript"/>
      <sz val="11"/>
      <color theme="1"/>
      <name val="Times New Roman"/>
      <family val="1"/>
    </font>
  </fonts>
  <fills count="8">
    <fill>
      <patternFill patternType="none"/>
    </fill>
    <fill>
      <patternFill patternType="gray125"/>
    </fill>
    <fill>
      <patternFill patternType="solid">
        <fgColor indexed="42"/>
        <bgColor indexed="64"/>
      </patternFill>
    </fill>
    <fill>
      <patternFill patternType="solid">
        <fgColor indexed="52"/>
        <bgColor indexed="64"/>
      </patternFill>
    </fill>
    <fill>
      <patternFill patternType="solid">
        <fgColor indexed="13"/>
        <bgColor indexed="64"/>
      </patternFill>
    </fill>
    <fill>
      <patternFill patternType="solid">
        <fgColor theme="4"/>
        <bgColor indexed="64"/>
      </patternFill>
    </fill>
    <fill>
      <patternFill patternType="solid">
        <fgColor theme="6" tint="0.59999389629810485"/>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s>
  <cellStyleXfs count="3">
    <xf numFmtId="0" fontId="0" fillId="0" borderId="0"/>
    <xf numFmtId="43" fontId="20" fillId="0" borderId="0" applyFont="0" applyFill="0" applyBorder="0" applyAlignment="0" applyProtection="0"/>
    <xf numFmtId="9" fontId="24" fillId="0" borderId="0" applyFont="0" applyFill="0" applyBorder="0" applyAlignment="0" applyProtection="0"/>
  </cellStyleXfs>
  <cellXfs count="300">
    <xf numFmtId="0" fontId="0" fillId="0" borderId="0" xfId="0"/>
    <xf numFmtId="0" fontId="2" fillId="0" borderId="0" xfId="0" applyFont="1"/>
    <xf numFmtId="0" fontId="4" fillId="2" borderId="0" xfId="0" applyFont="1" applyFill="1" applyBorder="1"/>
    <xf numFmtId="0" fontId="4" fillId="0" borderId="0" xfId="0" applyFont="1"/>
    <xf numFmtId="0" fontId="4" fillId="3" borderId="0" xfId="0" applyFont="1" applyFill="1" applyBorder="1"/>
    <xf numFmtId="0" fontId="4" fillId="4" borderId="0" xfId="0" applyFont="1" applyFill="1" applyBorder="1" applyAlignment="1">
      <alignment horizontal="center"/>
    </xf>
    <xf numFmtId="0" fontId="0" fillId="0" borderId="0" xfId="0" applyFont="1"/>
    <xf numFmtId="0" fontId="29" fillId="0" borderId="0" xfId="0" applyFont="1" applyAlignment="1">
      <alignment wrapText="1"/>
    </xf>
    <xf numFmtId="0" fontId="0" fillId="0" borderId="0" xfId="0" applyAlignment="1">
      <alignment vertical="center"/>
    </xf>
    <xf numFmtId="0" fontId="31" fillId="0" borderId="0" xfId="0" applyFont="1"/>
    <xf numFmtId="0" fontId="9" fillId="6" borderId="0" xfId="0" applyFont="1" applyFill="1" applyBorder="1"/>
    <xf numFmtId="0" fontId="4" fillId="6" borderId="0" xfId="0" applyFont="1" applyFill="1" applyBorder="1"/>
    <xf numFmtId="0" fontId="4" fillId="6" borderId="0" xfId="0" applyFont="1" applyFill="1" applyBorder="1" applyAlignment="1">
      <alignment horizontal="left"/>
    </xf>
    <xf numFmtId="2" fontId="4" fillId="6" borderId="0" xfId="0" applyNumberFormat="1" applyFont="1" applyFill="1" applyBorder="1" applyAlignment="1">
      <alignment horizontal="center"/>
    </xf>
    <xf numFmtId="0" fontId="4" fillId="6" borderId="0" xfId="0" applyFont="1" applyFill="1" applyBorder="1" applyAlignment="1">
      <alignment horizontal="right"/>
    </xf>
    <xf numFmtId="2" fontId="4" fillId="6" borderId="1" xfId="0" applyNumberFormat="1" applyFont="1" applyFill="1" applyBorder="1" applyAlignment="1">
      <alignment horizontal="center"/>
    </xf>
    <xf numFmtId="0" fontId="9" fillId="7" borderId="0" xfId="0" applyFont="1" applyFill="1" applyBorder="1"/>
    <xf numFmtId="0" fontId="4" fillId="7" borderId="0" xfId="0" applyFont="1" applyFill="1" applyBorder="1"/>
    <xf numFmtId="0" fontId="0" fillId="7" borderId="0" xfId="0" applyFill="1"/>
    <xf numFmtId="2" fontId="4" fillId="7" borderId="0" xfId="0" applyNumberFormat="1" applyFont="1" applyFill="1" applyBorder="1" applyAlignment="1">
      <alignment horizontal="center"/>
    </xf>
    <xf numFmtId="0" fontId="4" fillId="7" borderId="0" xfId="0" applyFont="1" applyFill="1" applyBorder="1" applyAlignment="1">
      <alignment horizontal="right"/>
    </xf>
    <xf numFmtId="0" fontId="4" fillId="6" borderId="0" xfId="0" applyFont="1" applyFill="1" applyBorder="1" applyAlignment="1">
      <alignment horizontal="center"/>
    </xf>
    <xf numFmtId="0" fontId="4" fillId="7" borderId="0" xfId="0" applyFont="1" applyFill="1" applyBorder="1" applyAlignment="1">
      <alignment horizontal="center"/>
    </xf>
    <xf numFmtId="0" fontId="4" fillId="6" borderId="1" xfId="0" applyFont="1" applyFill="1" applyBorder="1" applyAlignment="1">
      <alignment horizontal="center"/>
    </xf>
    <xf numFmtId="0" fontId="4" fillId="7" borderId="1" xfId="0" applyFont="1" applyFill="1" applyBorder="1" applyAlignment="1">
      <alignment horizontal="center"/>
    </xf>
    <xf numFmtId="0" fontId="0" fillId="0" borderId="0" xfId="0" applyAlignment="1">
      <alignment wrapText="1"/>
    </xf>
    <xf numFmtId="0" fontId="0" fillId="0" borderId="0" xfId="0" applyAlignment="1">
      <alignment horizontal="center" vertical="center"/>
    </xf>
    <xf numFmtId="0" fontId="0" fillId="0" borderId="0" xfId="0" applyAlignment="1">
      <alignment vertical="center"/>
    </xf>
    <xf numFmtId="0" fontId="27" fillId="0" borderId="0" xfId="0" applyFont="1" applyFill="1" applyBorder="1" applyAlignment="1">
      <alignment wrapText="1"/>
    </xf>
    <xf numFmtId="0" fontId="0" fillId="0" borderId="0" xfId="0" applyFill="1" applyAlignment="1">
      <alignment wrapText="1"/>
    </xf>
    <xf numFmtId="0" fontId="29" fillId="0" borderId="0" xfId="0" applyFont="1" applyFill="1" applyAlignment="1">
      <alignment wrapText="1"/>
    </xf>
    <xf numFmtId="3" fontId="27" fillId="0" borderId="0" xfId="0" applyNumberFormat="1" applyFont="1" applyFill="1" applyBorder="1" applyAlignment="1">
      <alignment horizontal="left" wrapText="1"/>
    </xf>
    <xf numFmtId="0" fontId="32" fillId="0" borderId="0" xfId="0" applyFont="1" applyAlignment="1">
      <alignment horizontal="center" vertical="top" wrapText="1"/>
    </xf>
    <xf numFmtId="0" fontId="0" fillId="0" borderId="0" xfId="0" applyFont="1" applyAlignment="1">
      <alignment horizontal="center"/>
    </xf>
    <xf numFmtId="0" fontId="32" fillId="0" borderId="10" xfId="0" applyFont="1" applyBorder="1" applyAlignment="1">
      <alignment horizontal="center" vertical="top" wrapText="1"/>
    </xf>
    <xf numFmtId="0" fontId="0" fillId="0" borderId="10" xfId="0" applyFont="1" applyBorder="1" applyAlignment="1">
      <alignment horizont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top" wrapText="1"/>
    </xf>
    <xf numFmtId="0" fontId="0" fillId="0" borderId="0" xfId="0" applyFont="1" applyAlignment="1">
      <alignment wrapText="1"/>
    </xf>
    <xf numFmtId="0" fontId="18" fillId="0" borderId="0" xfId="0" applyFont="1"/>
    <xf numFmtId="0" fontId="2" fillId="0" borderId="0" xfId="0" applyFont="1" applyAlignment="1">
      <alignment horizontal="center"/>
    </xf>
    <xf numFmtId="0" fontId="4" fillId="5" borderId="0" xfId="0" applyFont="1" applyFill="1" applyAlignment="1">
      <alignment horizontal="center" vertical="top"/>
    </xf>
    <xf numFmtId="0" fontId="5" fillId="0" borderId="0" xfId="0" applyFont="1" applyAlignment="1">
      <alignment horizontal="center" vertical="top"/>
    </xf>
    <xf numFmtId="0" fontId="4" fillId="0" borderId="0" xfId="0" applyFont="1" applyAlignment="1">
      <alignment vertical="top"/>
    </xf>
    <xf numFmtId="0" fontId="17" fillId="0" borderId="0" xfId="0" applyFont="1" applyProtection="1"/>
    <xf numFmtId="0" fontId="2" fillId="0" borderId="0" xfId="0" applyFont="1" applyProtection="1"/>
    <xf numFmtId="0" fontId="0" fillId="0" borderId="0" xfId="0" applyProtection="1"/>
    <xf numFmtId="3" fontId="2" fillId="0" borderId="0" xfId="0" applyNumberFormat="1" applyFont="1" applyAlignment="1" applyProtection="1">
      <alignment horizontal="center"/>
    </xf>
    <xf numFmtId="3" fontId="18" fillId="0" borderId="8" xfId="0" applyNumberFormat="1" applyFont="1" applyBorder="1" applyAlignment="1" applyProtection="1">
      <alignment horizontal="center"/>
    </xf>
    <xf numFmtId="3" fontId="18" fillId="0" borderId="7" xfId="0" applyNumberFormat="1" applyFont="1" applyBorder="1" applyAlignment="1" applyProtection="1">
      <alignment horizontal="center"/>
    </xf>
    <xf numFmtId="3" fontId="18" fillId="0" borderId="6" xfId="0" applyNumberFormat="1" applyFont="1" applyBorder="1" applyAlignment="1" applyProtection="1">
      <alignment horizontal="center"/>
    </xf>
    <xf numFmtId="0" fontId="16" fillId="0" borderId="0" xfId="0" applyFont="1" applyProtection="1"/>
    <xf numFmtId="3" fontId="2" fillId="0" borderId="8" xfId="0" applyNumberFormat="1" applyFont="1" applyBorder="1" applyAlignment="1" applyProtection="1">
      <alignment horizontal="center"/>
    </xf>
    <xf numFmtId="3" fontId="2" fillId="0" borderId="7" xfId="0" applyNumberFormat="1" applyFont="1" applyBorder="1" applyAlignment="1" applyProtection="1">
      <alignment horizontal="center"/>
    </xf>
    <xf numFmtId="3" fontId="22" fillId="0" borderId="6" xfId="0" applyNumberFormat="1" applyFont="1" applyFill="1" applyBorder="1" applyAlignment="1" applyProtection="1">
      <alignment horizontal="center"/>
    </xf>
    <xf numFmtId="3" fontId="2" fillId="0" borderId="6" xfId="0" applyNumberFormat="1" applyFont="1" applyBorder="1" applyAlignment="1" applyProtection="1">
      <alignment horizontal="center"/>
    </xf>
    <xf numFmtId="0" fontId="31" fillId="0" borderId="0" xfId="0" applyFont="1" applyProtection="1"/>
    <xf numFmtId="0" fontId="0" fillId="0" borderId="0" xfId="0" applyProtection="1">
      <protection locked="0"/>
    </xf>
    <xf numFmtId="0" fontId="34" fillId="0" borderId="0" xfId="0" applyFont="1" applyAlignment="1" applyProtection="1">
      <alignment wrapText="1"/>
    </xf>
    <xf numFmtId="0" fontId="34" fillId="0" borderId="0" xfId="0" applyFont="1" applyAlignment="1" applyProtection="1">
      <alignment horizontal="center"/>
    </xf>
    <xf numFmtId="0" fontId="34" fillId="0" borderId="0" xfId="0" applyFont="1" applyAlignment="1" applyProtection="1">
      <alignment horizontal="center"/>
    </xf>
    <xf numFmtId="1" fontId="34" fillId="0" borderId="0" xfId="0" applyNumberFormat="1" applyFont="1" applyAlignment="1" applyProtection="1">
      <alignment horizontal="center"/>
    </xf>
    <xf numFmtId="2" fontId="34" fillId="0" borderId="0" xfId="0" applyNumberFormat="1" applyFont="1" applyAlignment="1" applyProtection="1">
      <alignment horizontal="center"/>
    </xf>
    <xf numFmtId="0" fontId="15" fillId="6" borderId="0" xfId="0" applyFont="1" applyFill="1" applyBorder="1" applyProtection="1"/>
    <xf numFmtId="0" fontId="4" fillId="6" borderId="0" xfId="0" applyFont="1" applyFill="1" applyBorder="1" applyAlignment="1" applyProtection="1">
      <alignment horizontal="center"/>
    </xf>
    <xf numFmtId="0" fontId="4" fillId="6" borderId="0" xfId="0" applyFont="1" applyFill="1" applyBorder="1" applyProtection="1"/>
    <xf numFmtId="0" fontId="4" fillId="0" borderId="0" xfId="0" applyFont="1" applyProtection="1"/>
    <xf numFmtId="0" fontId="15" fillId="7" borderId="0" xfId="0" applyFont="1" applyFill="1" applyBorder="1" applyProtection="1"/>
    <xf numFmtId="0" fontId="4" fillId="7" borderId="0" xfId="0" applyFont="1" applyFill="1" applyBorder="1" applyAlignment="1" applyProtection="1">
      <alignment horizontal="center"/>
    </xf>
    <xf numFmtId="0" fontId="4" fillId="7" borderId="0" xfId="0" applyFont="1" applyFill="1" applyBorder="1" applyProtection="1"/>
    <xf numFmtId="0" fontId="11" fillId="0" borderId="0" xfId="0" applyFont="1" applyProtection="1"/>
    <xf numFmtId="3" fontId="4" fillId="6" borderId="0" xfId="0" applyNumberFormat="1" applyFont="1" applyFill="1" applyBorder="1" applyAlignment="1" applyProtection="1">
      <alignment horizontal="right"/>
    </xf>
    <xf numFmtId="3" fontId="4" fillId="7" borderId="0" xfId="0" applyNumberFormat="1" applyFont="1" applyFill="1" applyBorder="1" applyAlignment="1" applyProtection="1">
      <alignment horizontal="right"/>
    </xf>
    <xf numFmtId="0" fontId="4" fillId="6" borderId="0" xfId="0" applyFont="1" applyFill="1" applyBorder="1" applyAlignment="1" applyProtection="1">
      <alignment horizontal="right"/>
    </xf>
    <xf numFmtId="2" fontId="4" fillId="6" borderId="0" xfId="0" applyNumberFormat="1" applyFont="1" applyFill="1" applyBorder="1" applyAlignment="1" applyProtection="1">
      <alignment horizontal="right"/>
    </xf>
    <xf numFmtId="0" fontId="4" fillId="7" borderId="0" xfId="0" applyFont="1" applyFill="1" applyBorder="1" applyAlignment="1" applyProtection="1">
      <alignment horizontal="right"/>
    </xf>
    <xf numFmtId="2" fontId="4" fillId="7" borderId="0" xfId="0" applyNumberFormat="1" applyFont="1" applyFill="1" applyBorder="1" applyAlignment="1" applyProtection="1">
      <alignment horizontal="right"/>
    </xf>
    <xf numFmtId="2" fontId="4" fillId="6" borderId="1" xfId="0" applyNumberFormat="1" applyFont="1" applyFill="1" applyBorder="1" applyAlignment="1" applyProtection="1">
      <alignment horizontal="right"/>
    </xf>
    <xf numFmtId="0" fontId="4" fillId="6" borderId="1" xfId="0" applyFont="1" applyFill="1" applyBorder="1" applyProtection="1"/>
    <xf numFmtId="2" fontId="4" fillId="7" borderId="1" xfId="0" applyNumberFormat="1" applyFont="1" applyFill="1" applyBorder="1" applyAlignment="1" applyProtection="1">
      <alignment horizontal="right"/>
    </xf>
    <xf numFmtId="0" fontId="4" fillId="7" borderId="1" xfId="0" applyFont="1" applyFill="1" applyBorder="1" applyProtection="1"/>
    <xf numFmtId="166" fontId="4" fillId="6" borderId="0" xfId="1" applyNumberFormat="1" applyFont="1" applyFill="1" applyBorder="1" applyProtection="1"/>
    <xf numFmtId="0" fontId="4" fillId="6" borderId="1" xfId="0" applyFont="1" applyFill="1" applyBorder="1" applyAlignment="1" applyProtection="1">
      <alignment horizontal="center" wrapText="1"/>
    </xf>
    <xf numFmtId="0" fontId="4" fillId="6" borderId="1" xfId="0" applyFont="1" applyFill="1" applyBorder="1" applyAlignment="1" applyProtection="1">
      <alignment horizontal="center" wrapText="1"/>
    </xf>
    <xf numFmtId="0" fontId="4" fillId="7" borderId="1" xfId="0" applyFont="1" applyFill="1" applyBorder="1" applyAlignment="1" applyProtection="1">
      <alignment horizontal="center" wrapText="1"/>
    </xf>
    <xf numFmtId="0" fontId="4" fillId="7" borderId="1" xfId="0" applyFont="1" applyFill="1" applyBorder="1" applyAlignment="1" applyProtection="1">
      <alignment horizontal="center" wrapText="1"/>
    </xf>
    <xf numFmtId="2" fontId="4" fillId="6" borderId="0" xfId="0" applyNumberFormat="1" applyFont="1" applyFill="1" applyBorder="1" applyAlignment="1" applyProtection="1">
      <alignment horizontal="center"/>
    </xf>
    <xf numFmtId="2" fontId="4" fillId="6" borderId="0" xfId="0" applyNumberFormat="1" applyFont="1" applyFill="1" applyBorder="1" applyProtection="1"/>
    <xf numFmtId="0" fontId="4" fillId="6" borderId="0" xfId="0" quotePrefix="1" applyFont="1" applyFill="1" applyBorder="1" applyProtection="1"/>
    <xf numFmtId="2" fontId="4" fillId="7" borderId="0" xfId="0" applyNumberFormat="1" applyFont="1" applyFill="1" applyBorder="1" applyAlignment="1" applyProtection="1">
      <alignment horizontal="center"/>
    </xf>
    <xf numFmtId="2" fontId="4" fillId="7" borderId="0" xfId="0" applyNumberFormat="1" applyFont="1" applyFill="1" applyBorder="1" applyProtection="1"/>
    <xf numFmtId="0" fontId="4" fillId="7" borderId="0" xfId="0" quotePrefix="1" applyFont="1" applyFill="1" applyBorder="1" applyProtection="1"/>
    <xf numFmtId="2" fontId="4" fillId="6" borderId="1" xfId="0" applyNumberFormat="1" applyFont="1" applyFill="1" applyBorder="1" applyAlignment="1" applyProtection="1">
      <alignment horizontal="center"/>
    </xf>
    <xf numFmtId="2" fontId="4" fillId="6" borderId="1" xfId="0" applyNumberFormat="1" applyFont="1" applyFill="1" applyBorder="1" applyProtection="1"/>
    <xf numFmtId="2" fontId="4" fillId="7" borderId="1" xfId="0" applyNumberFormat="1" applyFont="1" applyFill="1" applyBorder="1" applyAlignment="1" applyProtection="1">
      <alignment horizontal="center"/>
    </xf>
    <xf numFmtId="0" fontId="4" fillId="7" borderId="1" xfId="0" applyFont="1" applyFill="1" applyBorder="1" applyAlignment="1" applyProtection="1">
      <alignment horizontal="center"/>
    </xf>
    <xf numFmtId="0" fontId="4" fillId="6" borderId="0" xfId="0" quotePrefix="1" applyFont="1" applyFill="1" applyBorder="1" applyAlignment="1" applyProtection="1">
      <alignment horizontal="right"/>
    </xf>
    <xf numFmtId="165" fontId="4" fillId="6" borderId="0" xfId="0" applyNumberFormat="1" applyFont="1" applyFill="1" applyBorder="1" applyProtection="1"/>
    <xf numFmtId="165" fontId="4" fillId="7" borderId="0" xfId="0" applyNumberFormat="1" applyFont="1" applyFill="1" applyBorder="1" applyProtection="1"/>
    <xf numFmtId="0" fontId="4" fillId="6" borderId="0" xfId="0" applyFont="1" applyFill="1" applyBorder="1" applyAlignment="1" applyProtection="1">
      <alignment horizontal="left"/>
    </xf>
    <xf numFmtId="0" fontId="4" fillId="7" borderId="0" xfId="0" applyFont="1" applyFill="1" applyBorder="1" applyAlignment="1" applyProtection="1">
      <alignment horizontal="left"/>
    </xf>
    <xf numFmtId="0" fontId="4" fillId="6" borderId="0" xfId="0" applyFont="1" applyFill="1" applyBorder="1" applyAlignment="1" applyProtection="1">
      <alignment wrapText="1"/>
    </xf>
    <xf numFmtId="0" fontId="0" fillId="6" borderId="0" xfId="0" applyFill="1" applyAlignment="1" applyProtection="1">
      <alignment wrapText="1"/>
    </xf>
    <xf numFmtId="0" fontId="27" fillId="6" borderId="0" xfId="0" applyFont="1" applyFill="1" applyBorder="1" applyAlignment="1" applyProtection="1">
      <alignment horizontal="center" wrapText="1"/>
    </xf>
    <xf numFmtId="0" fontId="0" fillId="6" borderId="0" xfId="0" applyFill="1" applyAlignment="1" applyProtection="1">
      <alignment horizontal="center" wrapText="1"/>
    </xf>
    <xf numFmtId="0" fontId="4" fillId="6" borderId="0" xfId="0" applyFont="1" applyFill="1" applyBorder="1" applyAlignment="1" applyProtection="1">
      <alignment horizontal="center" wrapText="1"/>
    </xf>
    <xf numFmtId="0" fontId="27" fillId="7" borderId="0" xfId="0" applyFont="1" applyFill="1" applyBorder="1" applyAlignment="1" applyProtection="1">
      <alignment wrapText="1"/>
    </xf>
    <xf numFmtId="0" fontId="29" fillId="7" borderId="0" xfId="0" applyFont="1" applyFill="1" applyAlignment="1" applyProtection="1">
      <alignment wrapText="1"/>
    </xf>
    <xf numFmtId="2" fontId="2" fillId="6" borderId="0" xfId="0" applyNumberFormat="1" applyFont="1" applyFill="1" applyBorder="1" applyAlignment="1" applyProtection="1">
      <alignment horizontal="center"/>
    </xf>
    <xf numFmtId="1" fontId="4" fillId="6" borderId="0" xfId="0" applyNumberFormat="1" applyFont="1" applyFill="1" applyBorder="1" applyAlignment="1" applyProtection="1">
      <alignment horizontal="center" wrapText="1"/>
    </xf>
    <xf numFmtId="2" fontId="2" fillId="7" borderId="0" xfId="0" applyNumberFormat="1" applyFont="1" applyFill="1" applyBorder="1" applyAlignment="1" applyProtection="1">
      <alignment horizontal="center"/>
    </xf>
    <xf numFmtId="1" fontId="4" fillId="7" borderId="0" xfId="0" applyNumberFormat="1" applyFont="1" applyFill="1" applyBorder="1" applyAlignment="1" applyProtection="1">
      <alignment horizontal="center"/>
    </xf>
    <xf numFmtId="0" fontId="4" fillId="6" borderId="0" xfId="0" applyFont="1" applyFill="1" applyBorder="1" applyAlignment="1" applyProtection="1">
      <alignment horizontal="center"/>
    </xf>
    <xf numFmtId="0" fontId="4" fillId="7" borderId="0" xfId="0" applyFont="1" applyFill="1" applyBorder="1" applyAlignment="1" applyProtection="1">
      <alignment horizontal="center"/>
    </xf>
    <xf numFmtId="0" fontId="4" fillId="6" borderId="1" xfId="0" applyFont="1" applyFill="1" applyBorder="1" applyAlignment="1" applyProtection="1">
      <alignment horizontal="right"/>
    </xf>
    <xf numFmtId="0" fontId="4" fillId="6" borderId="1" xfId="0" applyFont="1" applyFill="1" applyBorder="1" applyAlignment="1" applyProtection="1">
      <alignment horizontal="center"/>
    </xf>
    <xf numFmtId="0" fontId="4" fillId="7" borderId="1" xfId="0" applyFont="1" applyFill="1" applyBorder="1" applyAlignment="1" applyProtection="1">
      <alignment horizontal="right"/>
    </xf>
    <xf numFmtId="165" fontId="4" fillId="6" borderId="0" xfId="0" applyNumberFormat="1" applyFont="1" applyFill="1" applyBorder="1" applyAlignment="1" applyProtection="1">
      <alignment horizontal="center"/>
    </xf>
    <xf numFmtId="166" fontId="4" fillId="6" borderId="0" xfId="1" applyNumberFormat="1" applyFont="1" applyFill="1" applyBorder="1" applyAlignment="1" applyProtection="1">
      <alignment horizontal="right"/>
    </xf>
    <xf numFmtId="166" fontId="4" fillId="6" borderId="0" xfId="1" applyNumberFormat="1" applyFont="1" applyFill="1" applyBorder="1" applyAlignment="1" applyProtection="1">
      <alignment wrapText="1"/>
    </xf>
    <xf numFmtId="165" fontId="4" fillId="7" borderId="0" xfId="0" applyNumberFormat="1" applyFont="1" applyFill="1" applyBorder="1" applyAlignment="1" applyProtection="1">
      <alignment horizontal="center"/>
    </xf>
    <xf numFmtId="166" fontId="4" fillId="7" borderId="0" xfId="1" applyNumberFormat="1" applyFont="1" applyFill="1" applyBorder="1" applyAlignment="1" applyProtection="1">
      <alignment horizontal="right"/>
    </xf>
    <xf numFmtId="166" fontId="4" fillId="7" borderId="0" xfId="1" applyNumberFormat="1" applyFont="1" applyFill="1" applyBorder="1" applyProtection="1"/>
    <xf numFmtId="166" fontId="4" fillId="6" borderId="1" xfId="1" applyNumberFormat="1" applyFont="1" applyFill="1" applyBorder="1" applyAlignment="1" applyProtection="1">
      <alignment horizontal="right"/>
    </xf>
    <xf numFmtId="166" fontId="4" fillId="6" borderId="1" xfId="1" applyNumberFormat="1" applyFont="1" applyFill="1" applyBorder="1" applyAlignment="1" applyProtection="1">
      <alignment wrapText="1"/>
    </xf>
    <xf numFmtId="166" fontId="4" fillId="7" borderId="1" xfId="1" applyNumberFormat="1" applyFont="1" applyFill="1" applyBorder="1" applyAlignment="1" applyProtection="1">
      <alignment horizontal="right"/>
    </xf>
    <xf numFmtId="166" fontId="4" fillId="7" borderId="1" xfId="1" applyNumberFormat="1" applyFont="1" applyFill="1" applyBorder="1" applyProtection="1"/>
    <xf numFmtId="166" fontId="4" fillId="6" borderId="0" xfId="0" applyNumberFormat="1" applyFont="1" applyFill="1" applyBorder="1" applyAlignment="1" applyProtection="1">
      <alignment wrapText="1"/>
    </xf>
    <xf numFmtId="1" fontId="4" fillId="6" borderId="0" xfId="0" applyNumberFormat="1" applyFont="1" applyFill="1" applyBorder="1" applyAlignment="1" applyProtection="1">
      <alignment horizontal="center"/>
    </xf>
    <xf numFmtId="0" fontId="4" fillId="6" borderId="0" xfId="0" applyFont="1" applyFill="1" applyBorder="1" applyAlignment="1" applyProtection="1">
      <alignment wrapText="1"/>
    </xf>
    <xf numFmtId="1" fontId="4" fillId="6" borderId="1" xfId="0" applyNumberFormat="1" applyFont="1" applyFill="1" applyBorder="1" applyAlignment="1" applyProtection="1">
      <alignment horizontal="center"/>
    </xf>
    <xf numFmtId="1" fontId="4" fillId="7" borderId="1" xfId="0" applyNumberFormat="1" applyFont="1" applyFill="1" applyBorder="1" applyAlignment="1" applyProtection="1">
      <alignment horizontal="center"/>
    </xf>
    <xf numFmtId="166" fontId="4" fillId="6" borderId="0" xfId="0" applyNumberFormat="1" applyFont="1" applyFill="1" applyBorder="1" applyProtection="1"/>
    <xf numFmtId="0" fontId="4" fillId="6" borderId="4" xfId="0" applyFont="1" applyFill="1" applyBorder="1" applyAlignment="1" applyProtection="1">
      <alignment horizontal="left"/>
    </xf>
    <xf numFmtId="0" fontId="4" fillId="6" borderId="3" xfId="0" applyFont="1" applyFill="1" applyBorder="1" applyProtection="1"/>
    <xf numFmtId="0" fontId="4" fillId="6" borderId="4" xfId="0" applyFont="1" applyFill="1" applyBorder="1" applyProtection="1"/>
    <xf numFmtId="0" fontId="4" fillId="6" borderId="3" xfId="0" applyFont="1" applyFill="1" applyBorder="1" applyAlignment="1" applyProtection="1">
      <alignment horizontal="right"/>
    </xf>
    <xf numFmtId="0" fontId="4" fillId="6" borderId="1" xfId="0" applyFont="1" applyFill="1" applyBorder="1" applyAlignment="1" applyProtection="1">
      <alignment horizontal="left"/>
    </xf>
    <xf numFmtId="0" fontId="4" fillId="7" borderId="4" xfId="0" applyFont="1" applyFill="1" applyBorder="1" applyAlignment="1" applyProtection="1">
      <alignment horizontal="left"/>
    </xf>
    <xf numFmtId="0" fontId="4" fillId="7" borderId="4" xfId="0" applyFont="1" applyFill="1" applyBorder="1" applyProtection="1"/>
    <xf numFmtId="0" fontId="4" fillId="7" borderId="1" xfId="0" applyFont="1" applyFill="1" applyBorder="1" applyAlignment="1" applyProtection="1">
      <alignment horizontal="left"/>
    </xf>
    <xf numFmtId="0" fontId="4" fillId="6" borderId="5" xfId="0" applyFont="1" applyFill="1" applyBorder="1" applyAlignment="1" applyProtection="1">
      <alignment horizontal="right"/>
    </xf>
    <xf numFmtId="0" fontId="4" fillId="6" borderId="2" xfId="0" applyFont="1" applyFill="1" applyBorder="1" applyAlignment="1" applyProtection="1">
      <alignment horizontal="center"/>
    </xf>
    <xf numFmtId="0" fontId="4" fillId="7" borderId="2" xfId="0" applyFont="1" applyFill="1" applyBorder="1" applyAlignment="1" applyProtection="1">
      <alignment horizontal="center"/>
    </xf>
    <xf numFmtId="0" fontId="4" fillId="7" borderId="4" xfId="0" applyFont="1" applyFill="1" applyBorder="1" applyAlignment="1" applyProtection="1">
      <alignment horizontal="center"/>
    </xf>
    <xf numFmtId="0" fontId="4" fillId="7" borderId="5" xfId="0" applyFont="1" applyFill="1" applyBorder="1" applyProtection="1"/>
    <xf numFmtId="1" fontId="4" fillId="6" borderId="0" xfId="0" applyNumberFormat="1" applyFont="1" applyFill="1" applyBorder="1" applyProtection="1"/>
    <xf numFmtId="3" fontId="4" fillId="6" borderId="16" xfId="0" applyNumberFormat="1" applyFont="1" applyFill="1" applyBorder="1" applyProtection="1"/>
    <xf numFmtId="3" fontId="4" fillId="6" borderId="0" xfId="0" applyNumberFormat="1" applyFont="1" applyFill="1" applyBorder="1" applyProtection="1"/>
    <xf numFmtId="3" fontId="4" fillId="7" borderId="14" xfId="1" applyNumberFormat="1" applyFont="1" applyFill="1" applyBorder="1" applyAlignment="1" applyProtection="1">
      <alignment horizontal="right"/>
    </xf>
    <xf numFmtId="166" fontId="4" fillId="7" borderId="0" xfId="0" applyNumberFormat="1" applyFont="1" applyFill="1" applyBorder="1" applyProtection="1"/>
    <xf numFmtId="1" fontId="4" fillId="7" borderId="0" xfId="0" applyNumberFormat="1" applyFont="1" applyFill="1" applyBorder="1" applyProtection="1"/>
    <xf numFmtId="3" fontId="4" fillId="7" borderId="0" xfId="0" applyNumberFormat="1" applyFont="1" applyFill="1" applyBorder="1" applyProtection="1"/>
    <xf numFmtId="3" fontId="4" fillId="6" borderId="14" xfId="0" applyNumberFormat="1" applyFont="1" applyFill="1" applyBorder="1" applyProtection="1"/>
    <xf numFmtId="3" fontId="4" fillId="6" borderId="4" xfId="0" applyNumberFormat="1" applyFont="1" applyFill="1" applyBorder="1" applyProtection="1"/>
    <xf numFmtId="166" fontId="25" fillId="6" borderId="0" xfId="1" applyNumberFormat="1" applyFont="1" applyFill="1" applyBorder="1" applyAlignment="1" applyProtection="1">
      <alignment horizontal="right"/>
    </xf>
    <xf numFmtId="3" fontId="4" fillId="6" borderId="1" xfId="0" applyNumberFormat="1" applyFont="1" applyFill="1" applyBorder="1" applyProtection="1"/>
    <xf numFmtId="3" fontId="4" fillId="7" borderId="4" xfId="1" applyNumberFormat="1" applyFont="1" applyFill="1" applyBorder="1" applyAlignment="1" applyProtection="1">
      <alignment horizontal="right"/>
    </xf>
    <xf numFmtId="166" fontId="4" fillId="7" borderId="1" xfId="0" applyNumberFormat="1" applyFont="1" applyFill="1" applyBorder="1" applyProtection="1"/>
    <xf numFmtId="3" fontId="4" fillId="7" borderId="1" xfId="0" applyNumberFormat="1" applyFont="1" applyFill="1" applyBorder="1" applyProtection="1"/>
    <xf numFmtId="0" fontId="3" fillId="6" borderId="0" xfId="0" applyFont="1" applyFill="1" applyBorder="1" applyAlignment="1" applyProtection="1">
      <alignment horizontal="left"/>
    </xf>
    <xf numFmtId="0" fontId="3" fillId="7" borderId="0" xfId="0" applyFont="1" applyFill="1" applyBorder="1" applyAlignment="1" applyProtection="1">
      <alignment horizontal="left"/>
    </xf>
    <xf numFmtId="0" fontId="27" fillId="6" borderId="0" xfId="0" applyFont="1" applyFill="1" applyBorder="1" applyAlignment="1" applyProtection="1">
      <alignment wrapText="1"/>
    </xf>
    <xf numFmtId="166" fontId="4" fillId="7" borderId="0" xfId="0" applyNumberFormat="1" applyFont="1" applyFill="1" applyBorder="1" applyAlignment="1" applyProtection="1">
      <alignment horizontal="right"/>
    </xf>
    <xf numFmtId="166" fontId="4" fillId="7" borderId="1" xfId="0" applyNumberFormat="1" applyFont="1" applyFill="1" applyBorder="1" applyAlignment="1" applyProtection="1">
      <alignment horizontal="right"/>
    </xf>
    <xf numFmtId="0" fontId="4" fillId="7" borderId="3" xfId="0" applyFont="1" applyFill="1" applyBorder="1" applyAlignment="1" applyProtection="1">
      <alignment horizontal="left"/>
    </xf>
    <xf numFmtId="0" fontId="4" fillId="7" borderId="3" xfId="0" applyFont="1" applyFill="1" applyBorder="1" applyProtection="1"/>
    <xf numFmtId="0" fontId="4" fillId="7" borderId="2" xfId="0" applyFont="1" applyFill="1" applyBorder="1" applyProtection="1"/>
    <xf numFmtId="3" fontId="4" fillId="7" borderId="14" xfId="0" applyNumberFormat="1" applyFont="1" applyFill="1" applyBorder="1" applyAlignment="1" applyProtection="1">
      <alignment horizontal="right"/>
    </xf>
    <xf numFmtId="3" fontId="4" fillId="6" borderId="1" xfId="0" applyNumberFormat="1" applyFont="1" applyFill="1" applyBorder="1" applyAlignment="1" applyProtection="1">
      <alignment horizontal="right"/>
    </xf>
    <xf numFmtId="3" fontId="4" fillId="7" borderId="4" xfId="0" applyNumberFormat="1" applyFont="1" applyFill="1" applyBorder="1" applyAlignment="1" applyProtection="1">
      <alignment horizontal="right"/>
    </xf>
    <xf numFmtId="3" fontId="4" fillId="7" borderId="1" xfId="0" applyNumberFormat="1" applyFont="1" applyFill="1" applyBorder="1" applyAlignment="1" applyProtection="1">
      <alignment horizontal="right"/>
    </xf>
    <xf numFmtId="166" fontId="4" fillId="7" borderId="0" xfId="0" applyNumberFormat="1" applyFont="1" applyFill="1" applyBorder="1" applyAlignment="1" applyProtection="1">
      <alignment wrapText="1"/>
    </xf>
    <xf numFmtId="166" fontId="4" fillId="7" borderId="1" xfId="0" applyNumberFormat="1" applyFont="1" applyFill="1" applyBorder="1" applyAlignment="1" applyProtection="1">
      <alignment wrapText="1"/>
    </xf>
    <xf numFmtId="0" fontId="4" fillId="7" borderId="0" xfId="0" applyFont="1" applyFill="1" applyBorder="1" applyAlignment="1" applyProtection="1">
      <alignment wrapText="1"/>
    </xf>
    <xf numFmtId="0" fontId="4" fillId="7" borderId="3" xfId="0" applyFont="1" applyFill="1" applyBorder="1" applyAlignment="1" applyProtection="1">
      <alignment horizontal="right"/>
    </xf>
    <xf numFmtId="0" fontId="4" fillId="0" borderId="0" xfId="0" applyFont="1" applyBorder="1" applyProtection="1"/>
    <xf numFmtId="0" fontId="5" fillId="6" borderId="0" xfId="0" applyFont="1" applyFill="1" applyBorder="1" applyAlignment="1" applyProtection="1"/>
    <xf numFmtId="0" fontId="4" fillId="7" borderId="0" xfId="0" applyFont="1" applyFill="1" applyBorder="1" applyAlignment="1" applyProtection="1">
      <alignment wrapText="1"/>
    </xf>
    <xf numFmtId="0" fontId="5" fillId="7" borderId="0" xfId="0" applyFont="1" applyFill="1" applyBorder="1" applyAlignment="1" applyProtection="1"/>
    <xf numFmtId="0" fontId="4" fillId="6" borderId="0" xfId="0" applyFont="1" applyFill="1" applyBorder="1" applyAlignment="1" applyProtection="1">
      <alignment horizontal="left" wrapText="1"/>
    </xf>
    <xf numFmtId="0" fontId="4" fillId="6" borderId="0" xfId="0" applyFont="1" applyFill="1" applyBorder="1" applyAlignment="1" applyProtection="1">
      <alignment horizontal="left" wrapText="1"/>
    </xf>
    <xf numFmtId="0" fontId="4" fillId="7" borderId="0" xfId="0" applyFont="1" applyFill="1" applyBorder="1" applyAlignment="1" applyProtection="1">
      <alignment horizontal="left" wrapText="1"/>
    </xf>
    <xf numFmtId="0" fontId="4" fillId="7" borderId="0" xfId="0" applyFont="1" applyFill="1" applyBorder="1" applyAlignment="1" applyProtection="1">
      <alignment horizontal="left" wrapText="1"/>
    </xf>
    <xf numFmtId="164" fontId="4" fillId="6" borderId="0" xfId="0" applyNumberFormat="1" applyFont="1" applyFill="1" applyBorder="1" applyAlignment="1" applyProtection="1">
      <alignment horizontal="center"/>
    </xf>
    <xf numFmtId="164" fontId="4" fillId="7" borderId="0" xfId="0" applyNumberFormat="1" applyFont="1" applyFill="1" applyBorder="1" applyAlignment="1" applyProtection="1">
      <alignment horizontal="center"/>
    </xf>
    <xf numFmtId="0" fontId="12" fillId="6" borderId="0" xfId="0" applyFont="1" applyFill="1" applyBorder="1" applyProtection="1"/>
    <xf numFmtId="0" fontId="12" fillId="7" borderId="0" xfId="0" applyFont="1" applyFill="1" applyBorder="1" applyProtection="1"/>
    <xf numFmtId="164" fontId="3" fillId="6" borderId="0" xfId="0" applyNumberFormat="1" applyFont="1" applyFill="1" applyBorder="1" applyAlignment="1" applyProtection="1">
      <alignment horizontal="center"/>
    </xf>
    <xf numFmtId="164" fontId="3" fillId="7" borderId="0" xfId="0" applyNumberFormat="1" applyFont="1" applyFill="1" applyBorder="1" applyAlignment="1" applyProtection="1">
      <alignment horizontal="center"/>
    </xf>
    <xf numFmtId="3" fontId="4" fillId="6" borderId="0" xfId="0" applyNumberFormat="1" applyFont="1" applyFill="1" applyBorder="1" applyAlignment="1" applyProtection="1"/>
    <xf numFmtId="0" fontId="7" fillId="6" borderId="0" xfId="0" applyFont="1" applyFill="1" applyBorder="1" applyAlignment="1" applyProtection="1"/>
    <xf numFmtId="3" fontId="4" fillId="7" borderId="0" xfId="0" applyNumberFormat="1" applyFont="1" applyFill="1" applyBorder="1" applyAlignment="1" applyProtection="1"/>
    <xf numFmtId="0" fontId="7" fillId="7" borderId="0" xfId="0" applyFont="1" applyFill="1" applyBorder="1" applyAlignment="1" applyProtection="1"/>
    <xf numFmtId="0" fontId="4" fillId="6" borderId="0" xfId="0" applyFont="1" applyFill="1" applyBorder="1" applyAlignment="1" applyProtection="1"/>
    <xf numFmtId="0" fontId="4" fillId="7" borderId="0" xfId="0" applyFont="1" applyFill="1" applyBorder="1" applyAlignment="1" applyProtection="1"/>
    <xf numFmtId="0" fontId="4" fillId="6" borderId="1" xfId="0" applyFont="1" applyFill="1" applyBorder="1" applyAlignment="1" applyProtection="1">
      <alignment horizontal="left" wrapText="1"/>
    </xf>
    <xf numFmtId="0" fontId="0" fillId="6" borderId="1" xfId="0" applyFill="1" applyBorder="1" applyAlignment="1" applyProtection="1">
      <alignment horizontal="left" wrapText="1"/>
    </xf>
    <xf numFmtId="0" fontId="29" fillId="6" borderId="0" xfId="0" applyFont="1" applyFill="1" applyAlignment="1" applyProtection="1">
      <alignment wrapText="1"/>
    </xf>
    <xf numFmtId="0" fontId="4" fillId="7" borderId="0" xfId="0" applyFont="1" applyFill="1" applyBorder="1" applyAlignment="1" applyProtection="1">
      <alignment horizontal="center" wrapText="1"/>
    </xf>
    <xf numFmtId="0" fontId="0" fillId="7" borderId="0" xfId="0" applyFill="1" applyAlignment="1" applyProtection="1">
      <alignment wrapText="1"/>
    </xf>
    <xf numFmtId="165" fontId="4" fillId="6" borderId="15" xfId="0" applyNumberFormat="1" applyFont="1" applyFill="1" applyBorder="1" applyAlignment="1" applyProtection="1">
      <alignment horizontal="center"/>
    </xf>
    <xf numFmtId="165" fontId="4" fillId="7" borderId="9" xfId="0" applyNumberFormat="1" applyFont="1" applyFill="1" applyBorder="1" applyAlignment="1" applyProtection="1">
      <alignment horizontal="center"/>
    </xf>
    <xf numFmtId="164" fontId="4" fillId="7" borderId="0" xfId="0" applyNumberFormat="1" applyFont="1" applyFill="1" applyBorder="1" applyProtection="1"/>
    <xf numFmtId="3" fontId="4" fillId="7" borderId="0" xfId="0" applyNumberFormat="1" applyFont="1" applyFill="1" applyBorder="1" applyAlignment="1" applyProtection="1">
      <alignment horizontal="center"/>
    </xf>
    <xf numFmtId="0" fontId="0" fillId="6" borderId="1" xfId="0" applyFill="1" applyBorder="1" applyAlignment="1" applyProtection="1">
      <alignment wrapText="1"/>
    </xf>
    <xf numFmtId="0" fontId="27" fillId="7" borderId="0" xfId="0" applyFont="1" applyFill="1" applyAlignment="1" applyProtection="1">
      <alignment wrapText="1"/>
    </xf>
    <xf numFmtId="165" fontId="4" fillId="7" borderId="6" xfId="0" applyNumberFormat="1" applyFont="1" applyFill="1" applyBorder="1" applyAlignment="1" applyProtection="1">
      <alignment horizontal="center"/>
    </xf>
    <xf numFmtId="1" fontId="4" fillId="6" borderId="1" xfId="0" applyNumberFormat="1" applyFont="1" applyFill="1" applyBorder="1" applyAlignment="1" applyProtection="1">
      <alignment horizontal="left"/>
    </xf>
    <xf numFmtId="1" fontId="4" fillId="7" borderId="1" xfId="0" applyNumberFormat="1" applyFont="1" applyFill="1" applyBorder="1" applyAlignment="1" applyProtection="1">
      <alignment horizontal="left"/>
    </xf>
    <xf numFmtId="3" fontId="27" fillId="6" borderId="0" xfId="0" applyNumberFormat="1" applyFont="1" applyFill="1" applyBorder="1" applyAlignment="1" applyProtection="1">
      <alignment horizontal="left" wrapText="1"/>
    </xf>
    <xf numFmtId="0" fontId="27" fillId="6" borderId="0" xfId="0" applyFont="1" applyFill="1" applyAlignment="1" applyProtection="1">
      <alignment horizontal="left" wrapText="1"/>
    </xf>
    <xf numFmtId="166" fontId="4" fillId="6" borderId="0" xfId="1" applyNumberFormat="1" applyFont="1" applyFill="1" applyBorder="1" applyAlignment="1" applyProtection="1">
      <alignment horizontal="center"/>
    </xf>
    <xf numFmtId="1" fontId="4" fillId="6" borderId="0" xfId="0" applyNumberFormat="1" applyFont="1" applyFill="1" applyBorder="1" applyAlignment="1" applyProtection="1">
      <alignment horizontal="left"/>
    </xf>
    <xf numFmtId="166" fontId="4" fillId="7" borderId="0" xfId="1" applyNumberFormat="1" applyFont="1" applyFill="1" applyBorder="1" applyAlignment="1" applyProtection="1">
      <alignment horizontal="center"/>
    </xf>
    <xf numFmtId="1" fontId="4" fillId="7" borderId="0" xfId="0" applyNumberFormat="1" applyFont="1" applyFill="1" applyBorder="1" applyAlignment="1" applyProtection="1">
      <alignment horizontal="left"/>
    </xf>
    <xf numFmtId="3" fontId="4" fillId="6" borderId="0" xfId="0" applyNumberFormat="1" applyFont="1" applyFill="1" applyBorder="1" applyAlignment="1" applyProtection="1">
      <alignment horizontal="center"/>
    </xf>
    <xf numFmtId="3" fontId="4" fillId="6" borderId="9" xfId="0" applyNumberFormat="1" applyFont="1" applyFill="1" applyBorder="1" applyAlignment="1" applyProtection="1">
      <alignment horizontal="center"/>
    </xf>
    <xf numFmtId="3" fontId="4" fillId="7" borderId="9" xfId="0" applyNumberFormat="1" applyFont="1" applyFill="1" applyBorder="1" applyAlignment="1" applyProtection="1">
      <alignment horizontal="center"/>
    </xf>
    <xf numFmtId="0" fontId="4" fillId="6" borderId="11" xfId="0" applyFont="1" applyFill="1" applyBorder="1" applyProtection="1"/>
    <xf numFmtId="0" fontId="4" fillId="6" borderId="12" xfId="0" applyFont="1" applyFill="1" applyBorder="1" applyAlignment="1" applyProtection="1">
      <alignment horizontal="center"/>
    </xf>
    <xf numFmtId="0" fontId="4" fillId="6" borderId="12" xfId="0" applyFont="1" applyFill="1" applyBorder="1" applyProtection="1"/>
    <xf numFmtId="0" fontId="4" fillId="6" borderId="13" xfId="0" applyFont="1" applyFill="1" applyBorder="1" applyProtection="1"/>
    <xf numFmtId="0" fontId="4" fillId="7" borderId="11" xfId="0" applyFont="1" applyFill="1" applyBorder="1" applyProtection="1"/>
    <xf numFmtId="0" fontId="4" fillId="7" borderId="12" xfId="0" applyFont="1" applyFill="1" applyBorder="1" applyAlignment="1" applyProtection="1">
      <alignment horizontal="center"/>
    </xf>
    <xf numFmtId="0" fontId="4" fillId="7" borderId="12" xfId="0" applyFont="1" applyFill="1" applyBorder="1" applyProtection="1"/>
    <xf numFmtId="0" fontId="4" fillId="7" borderId="13" xfId="0" applyFont="1" applyFill="1" applyBorder="1" applyProtection="1"/>
    <xf numFmtId="0" fontId="2" fillId="6" borderId="0" xfId="0" applyFont="1" applyFill="1" applyProtection="1"/>
    <xf numFmtId="0" fontId="2" fillId="7" borderId="0" xfId="0" applyFont="1" applyFill="1" applyProtection="1"/>
    <xf numFmtId="0" fontId="2" fillId="6" borderId="0" xfId="0" applyFont="1" applyFill="1" applyAlignment="1" applyProtection="1">
      <alignment horizontal="right"/>
    </xf>
    <xf numFmtId="0" fontId="2" fillId="7" borderId="0" xfId="0" applyFont="1" applyFill="1" applyAlignment="1" applyProtection="1">
      <alignment horizontal="right"/>
    </xf>
    <xf numFmtId="3" fontId="4" fillId="6" borderId="9" xfId="0" applyNumberFormat="1" applyFont="1" applyFill="1" applyBorder="1" applyAlignment="1" applyProtection="1">
      <alignment horizontal="right"/>
    </xf>
    <xf numFmtId="3" fontId="4" fillId="7" borderId="9" xfId="0" applyNumberFormat="1" applyFont="1" applyFill="1" applyBorder="1" applyAlignment="1" applyProtection="1">
      <alignment horizontal="right"/>
    </xf>
    <xf numFmtId="0" fontId="4" fillId="6" borderId="0" xfId="0" applyFont="1" applyFill="1" applyBorder="1" applyAlignment="1" applyProtection="1">
      <alignment horizontal="left" vertical="top" wrapText="1"/>
    </xf>
    <xf numFmtId="0" fontId="0" fillId="6" borderId="0" xfId="0" applyFill="1" applyAlignment="1" applyProtection="1">
      <alignment horizontal="left" vertical="top" wrapText="1"/>
    </xf>
    <xf numFmtId="0" fontId="4" fillId="7" borderId="0" xfId="0" applyNumberFormat="1" applyFont="1" applyFill="1" applyBorder="1" applyAlignment="1" applyProtection="1">
      <alignment vertical="top" wrapText="1"/>
    </xf>
    <xf numFmtId="0" fontId="0" fillId="7" borderId="0" xfId="0" applyFill="1" applyAlignment="1" applyProtection="1">
      <alignment vertical="top" wrapText="1"/>
    </xf>
    <xf numFmtId="2" fontId="4" fillId="6" borderId="0" xfId="0" quotePrefix="1" applyNumberFormat="1" applyFont="1" applyFill="1" applyBorder="1" applyAlignment="1" applyProtection="1">
      <alignment horizontal="center"/>
    </xf>
    <xf numFmtId="2" fontId="4" fillId="7" borderId="0" xfId="0" quotePrefix="1" applyNumberFormat="1" applyFont="1" applyFill="1" applyBorder="1" applyAlignment="1" applyProtection="1">
      <alignment horizontal="center"/>
    </xf>
    <xf numFmtId="0" fontId="10" fillId="7" borderId="0" xfId="0" applyFont="1" applyFill="1" applyBorder="1" applyProtection="1"/>
    <xf numFmtId="0" fontId="0" fillId="0" borderId="0" xfId="0" applyFont="1" applyProtection="1"/>
    <xf numFmtId="0" fontId="0" fillId="7" borderId="0" xfId="0" applyFill="1" applyAlignment="1" applyProtection="1">
      <alignment horizontal="center"/>
    </xf>
    <xf numFmtId="0" fontId="4" fillId="6" borderId="1" xfId="0" applyFont="1" applyFill="1" applyBorder="1" applyAlignment="1" applyProtection="1">
      <alignment horizontal="center"/>
    </xf>
    <xf numFmtId="0" fontId="4" fillId="7" borderId="1" xfId="0" applyFont="1" applyFill="1" applyBorder="1" applyAlignment="1" applyProtection="1">
      <alignment horizontal="center"/>
    </xf>
    <xf numFmtId="0" fontId="4" fillId="6" borderId="1" xfId="0" quotePrefix="1" applyFont="1" applyFill="1" applyBorder="1" applyProtection="1"/>
    <xf numFmtId="2" fontId="4" fillId="7" borderId="1" xfId="0" applyNumberFormat="1" applyFont="1" applyFill="1" applyBorder="1" applyProtection="1"/>
    <xf numFmtId="0" fontId="4" fillId="7" borderId="1" xfId="0" quotePrefix="1" applyFont="1" applyFill="1" applyBorder="1" applyProtection="1"/>
    <xf numFmtId="0" fontId="0" fillId="6" borderId="0" xfId="0" applyFill="1" applyAlignment="1" applyProtection="1">
      <alignment horizontal="left" wrapText="1"/>
    </xf>
    <xf numFmtId="1" fontId="4" fillId="6" borderId="0" xfId="0" applyNumberFormat="1" applyFont="1" applyFill="1" applyBorder="1" applyAlignment="1" applyProtection="1">
      <alignment horizontal="right"/>
    </xf>
    <xf numFmtId="1" fontId="4" fillId="7" borderId="0" xfId="0" applyNumberFormat="1" applyFont="1" applyFill="1" applyBorder="1" applyAlignment="1" applyProtection="1">
      <alignment horizontal="right"/>
    </xf>
    <xf numFmtId="0" fontId="4" fillId="6" borderId="1" xfId="0" applyFont="1" applyFill="1" applyBorder="1" applyAlignment="1" applyProtection="1"/>
    <xf numFmtId="0" fontId="4" fillId="7" borderId="1" xfId="0" applyFont="1" applyFill="1" applyBorder="1" applyAlignment="1" applyProtection="1"/>
    <xf numFmtId="0" fontId="4" fillId="6" borderId="0" xfId="0" quotePrefix="1" applyFont="1" applyFill="1" applyBorder="1" applyAlignment="1" applyProtection="1">
      <alignment horizontal="center"/>
    </xf>
    <xf numFmtId="10" fontId="4" fillId="6" borderId="0" xfId="2" applyNumberFormat="1" applyFont="1" applyFill="1" applyBorder="1" applyProtection="1"/>
    <xf numFmtId="0" fontId="3" fillId="6" borderId="0" xfId="0" applyFont="1" applyFill="1" applyBorder="1" applyAlignment="1" applyProtection="1">
      <alignment horizontal="right"/>
    </xf>
    <xf numFmtId="9" fontId="4" fillId="6" borderId="0" xfId="0" applyNumberFormat="1" applyFont="1" applyFill="1" applyBorder="1" applyAlignment="1" applyProtection="1">
      <alignment horizontal="right"/>
    </xf>
    <xf numFmtId="9" fontId="4" fillId="6" borderId="0" xfId="0" applyNumberFormat="1" applyFont="1" applyFill="1" applyBorder="1" applyProtection="1"/>
    <xf numFmtId="0" fontId="4" fillId="6" borderId="0" xfId="0" applyFont="1" applyFill="1" applyBorder="1" applyAlignment="1" applyProtection="1">
      <alignment horizontal="center" wrapText="1"/>
    </xf>
    <xf numFmtId="0" fontId="4" fillId="7" borderId="0" xfId="0" applyFont="1" applyFill="1" applyBorder="1" applyAlignment="1" applyProtection="1">
      <alignment horizontal="center" wrapText="1"/>
    </xf>
    <xf numFmtId="9" fontId="4" fillId="6" borderId="0" xfId="0" applyNumberFormat="1" applyFont="1" applyFill="1" applyBorder="1" applyAlignment="1" applyProtection="1">
      <alignment horizontal="center"/>
    </xf>
    <xf numFmtId="9" fontId="4" fillId="6" borderId="0" xfId="0" quotePrefix="1" applyNumberFormat="1" applyFont="1" applyFill="1" applyBorder="1" applyAlignment="1" applyProtection="1">
      <alignment horizontal="right"/>
    </xf>
    <xf numFmtId="0" fontId="4" fillId="6" borderId="9" xfId="0" applyFont="1" applyFill="1" applyBorder="1" applyAlignment="1" applyProtection="1">
      <alignment horizontal="right"/>
    </xf>
    <xf numFmtId="9" fontId="4" fillId="7" borderId="0" xfId="0" quotePrefix="1" applyNumberFormat="1" applyFont="1" applyFill="1" applyBorder="1" applyAlignment="1" applyProtection="1">
      <alignment horizontal="right"/>
    </xf>
    <xf numFmtId="0" fontId="4" fillId="7" borderId="9" xfId="0" applyFont="1" applyFill="1" applyBorder="1" applyAlignment="1" applyProtection="1">
      <alignment horizontal="right"/>
    </xf>
    <xf numFmtId="0" fontId="4" fillId="7" borderId="0" xfId="0" quotePrefix="1" applyFont="1" applyFill="1" applyBorder="1" applyAlignment="1" applyProtection="1">
      <alignment horizontal="right"/>
    </xf>
    <xf numFmtId="0" fontId="4" fillId="6" borderId="4" xfId="0" applyFont="1" applyFill="1" applyBorder="1" applyAlignment="1" applyProtection="1">
      <alignment horizontal="center"/>
    </xf>
    <xf numFmtId="0" fontId="4" fillId="6" borderId="14" xfId="0" applyFont="1" applyFill="1" applyBorder="1" applyAlignment="1" applyProtection="1">
      <alignment horizontal="center"/>
    </xf>
    <xf numFmtId="0" fontId="4" fillId="6" borderId="5" xfId="0" applyFont="1" applyFill="1" applyBorder="1" applyAlignment="1" applyProtection="1">
      <alignment horizontal="center"/>
    </xf>
    <xf numFmtId="0" fontId="4" fillId="7" borderId="14" xfId="0" applyFont="1" applyFill="1" applyBorder="1" applyAlignment="1" applyProtection="1">
      <alignment horizontal="center"/>
    </xf>
    <xf numFmtId="0" fontId="4" fillId="7" borderId="5" xfId="0" applyFont="1" applyFill="1" applyBorder="1" applyAlignment="1" applyProtection="1">
      <alignment horizontal="right"/>
    </xf>
    <xf numFmtId="0" fontId="4" fillId="7" borderId="5" xfId="0" applyFont="1" applyFill="1" applyBorder="1" applyAlignment="1" applyProtection="1">
      <alignment horizontal="center"/>
    </xf>
    <xf numFmtId="2" fontId="4" fillId="6" borderId="14" xfId="0" applyNumberFormat="1" applyFont="1" applyFill="1" applyBorder="1" applyAlignment="1" applyProtection="1">
      <alignment horizontal="center"/>
    </xf>
    <xf numFmtId="2" fontId="4" fillId="7" borderId="14" xfId="0" applyNumberFormat="1" applyFont="1" applyFill="1" applyBorder="1" applyAlignment="1" applyProtection="1">
      <alignment horizontal="center"/>
    </xf>
    <xf numFmtId="0" fontId="3" fillId="6" borderId="0" xfId="0" applyFont="1" applyFill="1" applyBorder="1" applyProtection="1"/>
    <xf numFmtId="0" fontId="3" fillId="7" borderId="0" xfId="0" applyFont="1" applyFill="1" applyBorder="1" applyProtection="1"/>
    <xf numFmtId="0" fontId="3" fillId="7" borderId="0" xfId="0" applyFont="1" applyFill="1" applyBorder="1" applyAlignment="1" applyProtection="1">
      <alignment horizontal="right"/>
    </xf>
    <xf numFmtId="0" fontId="2" fillId="6" borderId="0" xfId="0" applyFont="1" applyFill="1" applyBorder="1" applyAlignment="1" applyProtection="1">
      <alignment horizontal="right"/>
    </xf>
    <xf numFmtId="0" fontId="2" fillId="7" borderId="0" xfId="0" applyFont="1" applyFill="1" applyBorder="1" applyAlignment="1" applyProtection="1">
      <alignment horizontal="right"/>
    </xf>
    <xf numFmtId="3" fontId="4" fillId="6" borderId="0" xfId="0" quotePrefix="1" applyNumberFormat="1" applyFont="1" applyFill="1" applyBorder="1" applyProtection="1"/>
    <xf numFmtId="10" fontId="4" fillId="7" borderId="0" xfId="2" applyNumberFormat="1" applyFont="1" applyFill="1" applyBorder="1" applyProtection="1"/>
    <xf numFmtId="0" fontId="4" fillId="7" borderId="0" xfId="0" applyFont="1" applyFill="1" applyBorder="1" applyAlignment="1" applyProtection="1">
      <alignment vertical="top" wrapText="1"/>
    </xf>
    <xf numFmtId="0" fontId="4" fillId="7" borderId="0" xfId="0" applyFont="1" applyFill="1" applyBorder="1" applyAlignment="1" applyProtection="1">
      <alignment horizontal="center"/>
      <protection locked="0"/>
    </xf>
    <xf numFmtId="0" fontId="4" fillId="7" borderId="0" xfId="0" applyFont="1" applyFill="1" applyBorder="1" applyAlignment="1" applyProtection="1">
      <alignment horizontal="left"/>
      <protection locked="0"/>
    </xf>
    <xf numFmtId="0" fontId="4" fillId="7" borderId="1" xfId="0" applyFont="1" applyFill="1" applyBorder="1" applyAlignment="1" applyProtection="1">
      <alignment horizontal="center"/>
      <protection locked="0"/>
    </xf>
    <xf numFmtId="2" fontId="4" fillId="7" borderId="0" xfId="0" applyNumberFormat="1" applyFont="1" applyFill="1" applyBorder="1" applyAlignment="1" applyProtection="1">
      <alignment horizontal="center"/>
      <protection locked="0"/>
    </xf>
    <xf numFmtId="2" fontId="4" fillId="7" borderId="1" xfId="0" applyNumberFormat="1" applyFont="1" applyFill="1" applyBorder="1" applyAlignment="1" applyProtection="1">
      <alignment horizontal="center"/>
      <protection locked="0"/>
    </xf>
    <xf numFmtId="3" fontId="4" fillId="7" borderId="0" xfId="0" applyNumberFormat="1" applyFont="1" applyFill="1" applyBorder="1" applyAlignment="1" applyProtection="1">
      <alignment horizontal="right"/>
      <protection locked="0"/>
    </xf>
    <xf numFmtId="0" fontId="4" fillId="7" borderId="0" xfId="0" applyFont="1" applyFill="1" applyBorder="1" applyProtection="1">
      <protection locked="0"/>
    </xf>
    <xf numFmtId="0" fontId="4" fillId="7" borderId="0" xfId="0" applyFont="1" applyFill="1" applyBorder="1" applyAlignment="1" applyProtection="1">
      <alignment horizontal="right"/>
      <protection locked="0"/>
    </xf>
    <xf numFmtId="3" fontId="4" fillId="7" borderId="0" xfId="0" applyNumberFormat="1" applyFont="1" applyFill="1" applyBorder="1" applyAlignment="1" applyProtection="1">
      <alignment horizontal="center"/>
      <protection locked="0"/>
    </xf>
    <xf numFmtId="0" fontId="4" fillId="7" borderId="0" xfId="0" quotePrefix="1" applyFont="1" applyFill="1" applyBorder="1" applyProtection="1">
      <protection locked="0"/>
    </xf>
    <xf numFmtId="1" fontId="4" fillId="7" borderId="0" xfId="0" applyNumberFormat="1" applyFont="1" applyFill="1" applyBorder="1" applyAlignment="1" applyProtection="1">
      <alignment horizontal="center"/>
      <protection locked="0"/>
    </xf>
    <xf numFmtId="9" fontId="4" fillId="7" borderId="0" xfId="0" applyNumberFormat="1" applyFont="1" applyFill="1" applyBorder="1" applyProtection="1">
      <protection locked="0"/>
    </xf>
    <xf numFmtId="9" fontId="4" fillId="7" borderId="0" xfId="0" applyNumberFormat="1" applyFont="1" applyFill="1" applyBorder="1" applyAlignment="1" applyProtection="1">
      <alignment horizontal="right"/>
      <protection locked="0"/>
    </xf>
    <xf numFmtId="9" fontId="4" fillId="7" borderId="0" xfId="0" applyNumberFormat="1" applyFont="1" applyFill="1" applyBorder="1" applyAlignment="1" applyProtection="1">
      <alignment horizontal="center"/>
      <protection locked="0"/>
    </xf>
    <xf numFmtId="3" fontId="4" fillId="7" borderId="0" xfId="0" quotePrefix="1" applyNumberFormat="1" applyFont="1" applyFill="1" applyBorder="1" applyProtection="1">
      <protection locked="0"/>
    </xf>
    <xf numFmtId="3" fontId="4" fillId="7" borderId="0" xfId="0" applyNumberFormat="1" applyFont="1" applyFill="1" applyBorder="1" applyProtection="1">
      <protection locked="0"/>
    </xf>
    <xf numFmtId="10" fontId="4" fillId="7" borderId="0" xfId="2" applyNumberFormat="1" applyFont="1" applyFill="1" applyBorder="1" applyProtection="1">
      <protection locked="0"/>
    </xf>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FF9900"/>
      <color rgb="FF99FF99"/>
      <color rgb="FFCCFFCC"/>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Calculation of Reaction Furnace Temperature</a:t>
            </a:r>
          </a:p>
        </c:rich>
      </c:tx>
      <c:layout/>
      <c:overlay val="0"/>
    </c:title>
    <c:autoTitleDeleted val="0"/>
    <c:plotArea>
      <c:layout/>
      <c:scatterChart>
        <c:scatterStyle val="lineMarker"/>
        <c:varyColors val="0"/>
        <c:ser>
          <c:idx val="0"/>
          <c:order val="0"/>
          <c:tx>
            <c:v>Equil Temp</c:v>
          </c:tx>
          <c:trendline>
            <c:trendlineType val="linear"/>
            <c:dispRSqr val="0"/>
            <c:dispEq val="1"/>
            <c:trendlineLbl>
              <c:layout>
                <c:manualLayout>
                  <c:x val="8.4046369203850724E-2"/>
                  <c:y val="-6.7699506199550452E-2"/>
                </c:manualLayout>
              </c:layout>
              <c:numFmt formatCode="General" sourceLinked="0"/>
              <c:spPr>
                <a:noFill/>
                <a:ln w="25400">
                  <a:noFill/>
                </a:ln>
              </c:spPr>
            </c:trendlineLbl>
          </c:trendline>
          <c:xVal>
            <c:numRef>
              <c:f>'Step 1'!$B$172:$B$174</c:f>
              <c:numCache>
                <c:formatCode>General</c:formatCode>
                <c:ptCount val="3"/>
                <c:pt idx="0">
                  <c:v>130</c:v>
                </c:pt>
                <c:pt idx="1">
                  <c:v>135</c:v>
                </c:pt>
                <c:pt idx="2">
                  <c:v>140</c:v>
                </c:pt>
              </c:numCache>
            </c:numRef>
          </c:xVal>
          <c:yVal>
            <c:numRef>
              <c:f>'Step 1'!$C$172:$C$174</c:f>
              <c:numCache>
                <c:formatCode>General</c:formatCode>
                <c:ptCount val="3"/>
                <c:pt idx="0">
                  <c:v>1880</c:v>
                </c:pt>
                <c:pt idx="1">
                  <c:v>2090</c:v>
                </c:pt>
                <c:pt idx="2">
                  <c:v>2390</c:v>
                </c:pt>
              </c:numCache>
            </c:numRef>
          </c:yVal>
          <c:smooth val="0"/>
        </c:ser>
        <c:ser>
          <c:idx val="1"/>
          <c:order val="1"/>
          <c:tx>
            <c:v>Flame Temp</c:v>
          </c:tx>
          <c:trendline>
            <c:trendlineType val="linear"/>
            <c:dispRSqr val="0"/>
            <c:dispEq val="1"/>
            <c:trendlineLbl>
              <c:layout>
                <c:manualLayout>
                  <c:x val="0.11917147856518033"/>
                  <c:y val="5.0009816273596852E-2"/>
                </c:manualLayout>
              </c:layout>
              <c:numFmt formatCode="General" sourceLinked="0"/>
              <c:spPr>
                <a:noFill/>
                <a:ln w="25400">
                  <a:noFill/>
                </a:ln>
              </c:spPr>
            </c:trendlineLbl>
          </c:trendline>
          <c:xVal>
            <c:numRef>
              <c:f>'Step 1'!$B$172:$B$174</c:f>
              <c:numCache>
                <c:formatCode>General</c:formatCode>
                <c:ptCount val="3"/>
                <c:pt idx="0">
                  <c:v>130</c:v>
                </c:pt>
                <c:pt idx="1">
                  <c:v>135</c:v>
                </c:pt>
                <c:pt idx="2">
                  <c:v>140</c:v>
                </c:pt>
              </c:numCache>
            </c:numRef>
          </c:xVal>
          <c:yVal>
            <c:numRef>
              <c:f>'Step 1'!$D$172:$D$174</c:f>
              <c:numCache>
                <c:formatCode>0</c:formatCode>
                <c:ptCount val="3"/>
                <c:pt idx="0">
                  <c:v>2165.271054639788</c:v>
                </c:pt>
                <c:pt idx="1">
                  <c:v>2163.4980257226453</c:v>
                </c:pt>
                <c:pt idx="2">
                  <c:v>2161.7227207132232</c:v>
                </c:pt>
              </c:numCache>
            </c:numRef>
          </c:yVal>
          <c:smooth val="0"/>
        </c:ser>
        <c:dLbls>
          <c:showLegendKey val="0"/>
          <c:showVal val="0"/>
          <c:showCatName val="0"/>
          <c:showSerName val="0"/>
          <c:showPercent val="0"/>
          <c:showBubbleSize val="0"/>
        </c:dLbls>
        <c:axId val="177760512"/>
        <c:axId val="177766784"/>
      </c:scatterChart>
      <c:valAx>
        <c:axId val="177760512"/>
        <c:scaling>
          <c:orientation val="minMax"/>
        </c:scaling>
        <c:delete val="0"/>
        <c:axPos val="b"/>
        <c:title>
          <c:tx>
            <c:rich>
              <a:bodyPr/>
              <a:lstStyle/>
              <a:p>
                <a:pPr>
                  <a:defRPr/>
                </a:pPr>
                <a:r>
                  <a:rPr lang="en-US"/>
                  <a:t>x, moles H2S reacting</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77766784"/>
        <c:crosses val="autoZero"/>
        <c:crossBetween val="midCat"/>
      </c:valAx>
      <c:valAx>
        <c:axId val="177766784"/>
        <c:scaling>
          <c:orientation val="minMax"/>
        </c:scaling>
        <c:delete val="0"/>
        <c:axPos val="l"/>
        <c:majorGridlines/>
        <c:title>
          <c:tx>
            <c:rich>
              <a:bodyPr rot="-5400000" vert="horz"/>
              <a:lstStyle/>
              <a:p>
                <a:pPr>
                  <a:defRPr/>
                </a:pPr>
                <a:r>
                  <a:rPr lang="en-US"/>
                  <a:t>Temperature, °F</a:t>
                </a:r>
              </a:p>
            </c:rich>
          </c:tx>
          <c:layout/>
          <c:overlay val="0"/>
        </c:title>
        <c:numFmt formatCode="General" sourceLinked="1"/>
        <c:majorTickMark val="out"/>
        <c:minorTickMark val="none"/>
        <c:tickLblPos val="nextTo"/>
        <c:crossAx val="177760512"/>
        <c:crosses val="autoZero"/>
        <c:crossBetween val="midCat"/>
      </c:valAx>
    </c:plotArea>
    <c:legend>
      <c:legendPos val="r"/>
      <c:layout>
        <c:manualLayout>
          <c:xMode val="edge"/>
          <c:yMode val="edge"/>
          <c:x val="0.66388308977035448"/>
          <c:y val="0.32986222962181994"/>
          <c:w val="0.31524008350730687"/>
          <c:h val="0.33333446361783958"/>
        </c:manualLayout>
      </c:layout>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Calculation of Reaction Furnace Temperature</a:t>
            </a:r>
          </a:p>
        </c:rich>
      </c:tx>
      <c:layout/>
      <c:overlay val="0"/>
    </c:title>
    <c:autoTitleDeleted val="0"/>
    <c:plotArea>
      <c:layout/>
      <c:scatterChart>
        <c:scatterStyle val="lineMarker"/>
        <c:varyColors val="0"/>
        <c:ser>
          <c:idx val="0"/>
          <c:order val="0"/>
          <c:tx>
            <c:strRef>
              <c:f>'Step 1'!$N$171</c:f>
              <c:strCache>
                <c:ptCount val="1"/>
                <c:pt idx="0">
                  <c:v>Equilibrium Temperature (°F)</c:v>
                </c:pt>
              </c:strCache>
            </c:strRef>
          </c:tx>
          <c:trendline>
            <c:trendlineType val="linear"/>
            <c:dispRSqr val="0"/>
            <c:dispEq val="1"/>
            <c:trendlineLbl>
              <c:layout>
                <c:manualLayout>
                  <c:x val="8.4046369203850751E-2"/>
                  <c:y val="-6.7699506199550452E-2"/>
                </c:manualLayout>
              </c:layout>
              <c:numFmt formatCode="General" sourceLinked="0"/>
              <c:spPr>
                <a:noFill/>
                <a:ln w="25400">
                  <a:noFill/>
                </a:ln>
              </c:spPr>
            </c:trendlineLbl>
          </c:trendline>
          <c:xVal>
            <c:numRef>
              <c:f>'Step 1'!$M$172:$M$174</c:f>
              <c:numCache>
                <c:formatCode>General</c:formatCode>
                <c:ptCount val="3"/>
                <c:pt idx="0">
                  <c:v>130</c:v>
                </c:pt>
                <c:pt idx="1">
                  <c:v>135</c:v>
                </c:pt>
                <c:pt idx="2">
                  <c:v>140</c:v>
                </c:pt>
              </c:numCache>
            </c:numRef>
          </c:xVal>
          <c:yVal>
            <c:numRef>
              <c:f>'Step 1'!$N$172:$N$174</c:f>
              <c:numCache>
                <c:formatCode>General</c:formatCode>
                <c:ptCount val="3"/>
                <c:pt idx="0">
                  <c:v>1880</c:v>
                </c:pt>
                <c:pt idx="1">
                  <c:v>2090</c:v>
                </c:pt>
                <c:pt idx="2">
                  <c:v>2390</c:v>
                </c:pt>
              </c:numCache>
            </c:numRef>
          </c:yVal>
          <c:smooth val="0"/>
        </c:ser>
        <c:ser>
          <c:idx val="1"/>
          <c:order val="1"/>
          <c:tx>
            <c:strRef>
              <c:f>'Step 1'!$O$171</c:f>
              <c:strCache>
                <c:ptCount val="1"/>
                <c:pt idx="0">
                  <c:v>Flame Temperature (°F)</c:v>
                </c:pt>
              </c:strCache>
            </c:strRef>
          </c:tx>
          <c:trendline>
            <c:trendlineType val="linear"/>
            <c:dispRSqr val="0"/>
            <c:dispEq val="1"/>
            <c:trendlineLbl>
              <c:layout>
                <c:manualLayout>
                  <c:x val="0.11917147856518039"/>
                  <c:y val="5.0009816273596852E-2"/>
                </c:manualLayout>
              </c:layout>
              <c:numFmt formatCode="General" sourceLinked="0"/>
              <c:spPr>
                <a:noFill/>
                <a:ln w="25400">
                  <a:noFill/>
                </a:ln>
              </c:spPr>
            </c:trendlineLbl>
          </c:trendline>
          <c:xVal>
            <c:numRef>
              <c:f>'Step 1'!$M$172:$M$174</c:f>
              <c:numCache>
                <c:formatCode>General</c:formatCode>
                <c:ptCount val="3"/>
                <c:pt idx="0">
                  <c:v>130</c:v>
                </c:pt>
                <c:pt idx="1">
                  <c:v>135</c:v>
                </c:pt>
                <c:pt idx="2">
                  <c:v>140</c:v>
                </c:pt>
              </c:numCache>
            </c:numRef>
          </c:xVal>
          <c:yVal>
            <c:numRef>
              <c:f>'Step 1'!$O$172:$O$174</c:f>
              <c:numCache>
                <c:formatCode>0</c:formatCode>
                <c:ptCount val="3"/>
                <c:pt idx="0">
                  <c:v>2165.2714605740211</c:v>
                </c:pt>
                <c:pt idx="1">
                  <c:v>2163.4980257226453</c:v>
                </c:pt>
                <c:pt idx="2">
                  <c:v>2161.7227207132232</c:v>
                </c:pt>
              </c:numCache>
            </c:numRef>
          </c:yVal>
          <c:smooth val="0"/>
        </c:ser>
        <c:dLbls>
          <c:showLegendKey val="0"/>
          <c:showVal val="0"/>
          <c:showCatName val="0"/>
          <c:showSerName val="0"/>
          <c:showPercent val="0"/>
          <c:showBubbleSize val="0"/>
        </c:dLbls>
        <c:axId val="44047360"/>
        <c:axId val="44053632"/>
      </c:scatterChart>
      <c:valAx>
        <c:axId val="44047360"/>
        <c:scaling>
          <c:orientation val="minMax"/>
        </c:scaling>
        <c:delete val="0"/>
        <c:axPos val="b"/>
        <c:title>
          <c:tx>
            <c:rich>
              <a:bodyPr/>
              <a:lstStyle/>
              <a:p>
                <a:pPr>
                  <a:defRPr/>
                </a:pPr>
                <a:r>
                  <a:rPr lang="en-US"/>
                  <a:t>x, moles H2S reacting</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053632"/>
        <c:crosses val="autoZero"/>
        <c:crossBetween val="midCat"/>
      </c:valAx>
      <c:valAx>
        <c:axId val="44053632"/>
        <c:scaling>
          <c:orientation val="minMax"/>
        </c:scaling>
        <c:delete val="0"/>
        <c:axPos val="l"/>
        <c:majorGridlines/>
        <c:title>
          <c:tx>
            <c:rich>
              <a:bodyPr rot="-5400000" vert="horz"/>
              <a:lstStyle/>
              <a:p>
                <a:pPr>
                  <a:defRPr/>
                </a:pPr>
                <a:r>
                  <a:rPr lang="en-US"/>
                  <a:t>Temperature, °F</a:t>
                </a:r>
              </a:p>
            </c:rich>
          </c:tx>
          <c:layout/>
          <c:overlay val="0"/>
        </c:title>
        <c:numFmt formatCode="General" sourceLinked="1"/>
        <c:majorTickMark val="out"/>
        <c:minorTickMark val="none"/>
        <c:tickLblPos val="nextTo"/>
        <c:crossAx val="44047360"/>
        <c:crosses val="autoZero"/>
        <c:crossBetween val="midCat"/>
      </c:valAx>
    </c:plotArea>
    <c:legend>
      <c:legendPos val="r"/>
      <c:layout>
        <c:manualLayout>
          <c:xMode val="edge"/>
          <c:yMode val="edge"/>
          <c:x val="0.66388308977035448"/>
          <c:y val="0.32986222962182016"/>
          <c:w val="0.31524008350730687"/>
          <c:h val="0.33333446361783986"/>
        </c:manualLayout>
      </c:layout>
      <c:overlay val="0"/>
    </c:legend>
    <c:plotVisOnly val="1"/>
    <c:dispBlanksAs val="gap"/>
    <c:showDLblsOverMax val="0"/>
  </c:chart>
  <c:printSettings>
    <c:headerFooter/>
    <c:pageMargins b="0.75000000000000455" l="0.70000000000000062" r="0.70000000000000062" t="0.750000000000004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Calculation of Reaction Furnace Temperature</a:t>
            </a:r>
          </a:p>
        </c:rich>
      </c:tx>
      <c:layout/>
      <c:overlay val="0"/>
    </c:title>
    <c:autoTitleDeleted val="0"/>
    <c:plotArea>
      <c:layout/>
      <c:scatterChart>
        <c:scatterStyle val="lineMarker"/>
        <c:varyColors val="0"/>
        <c:ser>
          <c:idx val="0"/>
          <c:order val="0"/>
          <c:tx>
            <c:strRef>
              <c:f>'Step 1'!$C$202</c:f>
              <c:strCache>
                <c:ptCount val="1"/>
                <c:pt idx="0">
                  <c:v>Equilibrium Temperature (°F)</c:v>
                </c:pt>
              </c:strCache>
            </c:strRef>
          </c:tx>
          <c:trendline>
            <c:trendlineType val="linear"/>
            <c:dispRSqr val="0"/>
            <c:dispEq val="1"/>
            <c:trendlineLbl>
              <c:layout>
                <c:manualLayout>
                  <c:x val="8.4046369203850724E-2"/>
                  <c:y val="-6.7699506199550452E-2"/>
                </c:manualLayout>
              </c:layout>
              <c:numFmt formatCode="General" sourceLinked="0"/>
              <c:spPr>
                <a:noFill/>
                <a:ln w="25400">
                  <a:noFill/>
                </a:ln>
              </c:spPr>
            </c:trendlineLbl>
          </c:trendline>
          <c:xVal>
            <c:numRef>
              <c:f>'Step 1'!$B$203:$B$205</c:f>
              <c:numCache>
                <c:formatCode>General</c:formatCode>
                <c:ptCount val="3"/>
                <c:pt idx="0">
                  <c:v>130</c:v>
                </c:pt>
                <c:pt idx="1">
                  <c:v>135</c:v>
                </c:pt>
                <c:pt idx="2">
                  <c:v>140</c:v>
                </c:pt>
              </c:numCache>
            </c:numRef>
          </c:xVal>
          <c:yVal>
            <c:numRef>
              <c:f>'Step 1'!$C$203:$C$205</c:f>
              <c:numCache>
                <c:formatCode>0</c:formatCode>
                <c:ptCount val="3"/>
                <c:pt idx="0">
                  <c:v>1902.5185459736012</c:v>
                </c:pt>
                <c:pt idx="1">
                  <c:v>2118.148139237825</c:v>
                </c:pt>
                <c:pt idx="2">
                  <c:v>2403.025899065673</c:v>
                </c:pt>
              </c:numCache>
            </c:numRef>
          </c:yVal>
          <c:smooth val="0"/>
        </c:ser>
        <c:ser>
          <c:idx val="1"/>
          <c:order val="1"/>
          <c:tx>
            <c:strRef>
              <c:f>'Step 1'!$D$202</c:f>
              <c:strCache>
                <c:ptCount val="1"/>
                <c:pt idx="0">
                  <c:v>Flame Temperature (°F)</c:v>
                </c:pt>
              </c:strCache>
            </c:strRef>
          </c:tx>
          <c:trendline>
            <c:trendlineType val="linear"/>
            <c:dispRSqr val="0"/>
            <c:dispEq val="1"/>
            <c:trendlineLbl>
              <c:layout>
                <c:manualLayout>
                  <c:x val="0.11917147856518033"/>
                  <c:y val="5.0009816273596852E-2"/>
                </c:manualLayout>
              </c:layout>
              <c:numFmt formatCode="General" sourceLinked="0"/>
              <c:spPr>
                <a:noFill/>
                <a:ln w="25400">
                  <a:noFill/>
                </a:ln>
              </c:spPr>
            </c:trendlineLbl>
          </c:trendline>
          <c:xVal>
            <c:numRef>
              <c:f>'Step 1'!$B$203:$B$205</c:f>
              <c:numCache>
                <c:formatCode>General</c:formatCode>
                <c:ptCount val="3"/>
                <c:pt idx="0">
                  <c:v>130</c:v>
                </c:pt>
                <c:pt idx="1">
                  <c:v>135</c:v>
                </c:pt>
                <c:pt idx="2">
                  <c:v>140</c:v>
                </c:pt>
              </c:numCache>
            </c:numRef>
          </c:xVal>
          <c:yVal>
            <c:numRef>
              <c:f>'Step 1'!$D$203:$D$205</c:f>
              <c:numCache>
                <c:formatCode>0</c:formatCode>
                <c:ptCount val="3"/>
                <c:pt idx="0">
                  <c:v>2120.5841781406575</c:v>
                </c:pt>
                <c:pt idx="1">
                  <c:v>2173.3986999024032</c:v>
                </c:pt>
                <c:pt idx="2">
                  <c:v>2176.950204198622</c:v>
                </c:pt>
              </c:numCache>
            </c:numRef>
          </c:yVal>
          <c:smooth val="0"/>
        </c:ser>
        <c:dLbls>
          <c:showLegendKey val="0"/>
          <c:showVal val="0"/>
          <c:showCatName val="0"/>
          <c:showSerName val="0"/>
          <c:showPercent val="0"/>
          <c:showBubbleSize val="0"/>
        </c:dLbls>
        <c:axId val="44093440"/>
        <c:axId val="44095360"/>
      </c:scatterChart>
      <c:valAx>
        <c:axId val="44093440"/>
        <c:scaling>
          <c:orientation val="minMax"/>
        </c:scaling>
        <c:delete val="0"/>
        <c:axPos val="b"/>
        <c:title>
          <c:tx>
            <c:rich>
              <a:bodyPr/>
              <a:lstStyle/>
              <a:p>
                <a:pPr>
                  <a:defRPr/>
                </a:pPr>
                <a:r>
                  <a:rPr lang="en-US"/>
                  <a:t>x, moles H2S reacting</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4095360"/>
        <c:crosses val="autoZero"/>
        <c:crossBetween val="midCat"/>
      </c:valAx>
      <c:valAx>
        <c:axId val="44095360"/>
        <c:scaling>
          <c:orientation val="minMax"/>
        </c:scaling>
        <c:delete val="0"/>
        <c:axPos val="l"/>
        <c:majorGridlines/>
        <c:title>
          <c:tx>
            <c:rich>
              <a:bodyPr rot="-5400000" vert="horz"/>
              <a:lstStyle/>
              <a:p>
                <a:pPr>
                  <a:defRPr/>
                </a:pPr>
                <a:r>
                  <a:rPr lang="en-US"/>
                  <a:t>Temperature, °F</a:t>
                </a:r>
              </a:p>
            </c:rich>
          </c:tx>
          <c:layout/>
          <c:overlay val="0"/>
        </c:title>
        <c:numFmt formatCode="0" sourceLinked="1"/>
        <c:majorTickMark val="out"/>
        <c:minorTickMark val="none"/>
        <c:tickLblPos val="nextTo"/>
        <c:crossAx val="44093440"/>
        <c:crosses val="autoZero"/>
        <c:crossBetween val="midCat"/>
      </c:valAx>
    </c:plotArea>
    <c:legend>
      <c:legendPos val="r"/>
      <c:layout>
        <c:manualLayout>
          <c:xMode val="edge"/>
          <c:yMode val="edge"/>
          <c:x val="0.66388308977035448"/>
          <c:y val="0.32986222962181994"/>
          <c:w val="0.31524008350730687"/>
          <c:h val="0.33333446361783958"/>
        </c:manualLayout>
      </c:layout>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Calculation of Reaction Furnace Temperature</a:t>
            </a:r>
          </a:p>
        </c:rich>
      </c:tx>
      <c:layout/>
      <c:overlay val="0"/>
    </c:title>
    <c:autoTitleDeleted val="0"/>
    <c:plotArea>
      <c:layout/>
      <c:scatterChart>
        <c:scatterStyle val="lineMarker"/>
        <c:varyColors val="0"/>
        <c:ser>
          <c:idx val="0"/>
          <c:order val="0"/>
          <c:tx>
            <c:strRef>
              <c:f>'Step 1'!$N$202</c:f>
              <c:strCache>
                <c:ptCount val="1"/>
                <c:pt idx="0">
                  <c:v>Equilibrium Temperature (°F)</c:v>
                </c:pt>
              </c:strCache>
            </c:strRef>
          </c:tx>
          <c:trendline>
            <c:trendlineType val="linear"/>
            <c:dispRSqr val="0"/>
            <c:dispEq val="1"/>
            <c:trendlineLbl>
              <c:layout>
                <c:manualLayout>
                  <c:x val="8.4046369203850724E-2"/>
                  <c:y val="-6.7699506199550452E-2"/>
                </c:manualLayout>
              </c:layout>
              <c:numFmt formatCode="General" sourceLinked="0"/>
              <c:spPr>
                <a:noFill/>
                <a:ln w="25400">
                  <a:noFill/>
                </a:ln>
              </c:spPr>
            </c:trendlineLbl>
          </c:trendline>
          <c:xVal>
            <c:numRef>
              <c:f>'Step 1'!$M$203:$M$205</c:f>
              <c:numCache>
                <c:formatCode>General</c:formatCode>
                <c:ptCount val="3"/>
                <c:pt idx="0">
                  <c:v>130</c:v>
                </c:pt>
                <c:pt idx="1">
                  <c:v>135</c:v>
                </c:pt>
                <c:pt idx="2">
                  <c:v>140</c:v>
                </c:pt>
              </c:numCache>
            </c:numRef>
          </c:xVal>
          <c:yVal>
            <c:numRef>
              <c:f>'Step 1'!$N$203:$N$205</c:f>
              <c:numCache>
                <c:formatCode>0</c:formatCode>
                <c:ptCount val="3"/>
                <c:pt idx="0">
                  <c:v>1902.5185459736012</c:v>
                </c:pt>
                <c:pt idx="1">
                  <c:v>2118.148139237825</c:v>
                </c:pt>
                <c:pt idx="2">
                  <c:v>2403.025899065673</c:v>
                </c:pt>
              </c:numCache>
            </c:numRef>
          </c:yVal>
          <c:smooth val="0"/>
        </c:ser>
        <c:ser>
          <c:idx val="1"/>
          <c:order val="1"/>
          <c:tx>
            <c:strRef>
              <c:f>'Step 1'!$O$202</c:f>
              <c:strCache>
                <c:ptCount val="1"/>
                <c:pt idx="0">
                  <c:v>Flame Temperature (°F)</c:v>
                </c:pt>
              </c:strCache>
            </c:strRef>
          </c:tx>
          <c:trendline>
            <c:trendlineType val="linear"/>
            <c:dispRSqr val="0"/>
            <c:dispEq val="1"/>
            <c:trendlineLbl>
              <c:layout>
                <c:manualLayout>
                  <c:x val="0.11917147856518033"/>
                  <c:y val="5.0009816273596852E-2"/>
                </c:manualLayout>
              </c:layout>
              <c:numFmt formatCode="General" sourceLinked="0"/>
              <c:spPr>
                <a:noFill/>
                <a:ln w="25400">
                  <a:noFill/>
                </a:ln>
              </c:spPr>
            </c:trendlineLbl>
          </c:trendline>
          <c:xVal>
            <c:numRef>
              <c:f>'Step 1'!$M$203:$M$205</c:f>
              <c:numCache>
                <c:formatCode>General</c:formatCode>
                <c:ptCount val="3"/>
                <c:pt idx="0">
                  <c:v>130</c:v>
                </c:pt>
                <c:pt idx="1">
                  <c:v>135</c:v>
                </c:pt>
                <c:pt idx="2">
                  <c:v>140</c:v>
                </c:pt>
              </c:numCache>
            </c:numRef>
          </c:xVal>
          <c:yVal>
            <c:numRef>
              <c:f>'Step 1'!$O$203:$O$205</c:f>
              <c:numCache>
                <c:formatCode>0</c:formatCode>
                <c:ptCount val="3"/>
                <c:pt idx="0">
                  <c:v>2120.5841781406575</c:v>
                </c:pt>
                <c:pt idx="1">
                  <c:v>2173.3986999024032</c:v>
                </c:pt>
                <c:pt idx="2">
                  <c:v>2176.950204198622</c:v>
                </c:pt>
              </c:numCache>
            </c:numRef>
          </c:yVal>
          <c:smooth val="0"/>
        </c:ser>
        <c:dLbls>
          <c:showLegendKey val="0"/>
          <c:showVal val="0"/>
          <c:showCatName val="0"/>
          <c:showSerName val="0"/>
          <c:showPercent val="0"/>
          <c:showBubbleSize val="0"/>
        </c:dLbls>
        <c:axId val="91085056"/>
        <c:axId val="91091328"/>
      </c:scatterChart>
      <c:valAx>
        <c:axId val="91085056"/>
        <c:scaling>
          <c:orientation val="minMax"/>
        </c:scaling>
        <c:delete val="0"/>
        <c:axPos val="b"/>
        <c:title>
          <c:tx>
            <c:rich>
              <a:bodyPr/>
              <a:lstStyle/>
              <a:p>
                <a:pPr>
                  <a:defRPr/>
                </a:pPr>
                <a:r>
                  <a:rPr lang="en-US"/>
                  <a:t>x, moles H2S reacting</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91091328"/>
        <c:crosses val="autoZero"/>
        <c:crossBetween val="midCat"/>
      </c:valAx>
      <c:valAx>
        <c:axId val="91091328"/>
        <c:scaling>
          <c:orientation val="minMax"/>
        </c:scaling>
        <c:delete val="0"/>
        <c:axPos val="l"/>
        <c:majorGridlines/>
        <c:title>
          <c:tx>
            <c:rich>
              <a:bodyPr rot="-5400000" vert="horz"/>
              <a:lstStyle/>
              <a:p>
                <a:pPr>
                  <a:defRPr/>
                </a:pPr>
                <a:r>
                  <a:rPr lang="en-US"/>
                  <a:t>Temperature, °F</a:t>
                </a:r>
              </a:p>
            </c:rich>
          </c:tx>
          <c:layout/>
          <c:overlay val="0"/>
        </c:title>
        <c:numFmt formatCode="0" sourceLinked="1"/>
        <c:majorTickMark val="out"/>
        <c:minorTickMark val="none"/>
        <c:tickLblPos val="nextTo"/>
        <c:crossAx val="91085056"/>
        <c:crosses val="autoZero"/>
        <c:crossBetween val="midCat"/>
      </c:valAx>
    </c:plotArea>
    <c:legend>
      <c:legendPos val="r"/>
      <c:layout>
        <c:manualLayout>
          <c:xMode val="edge"/>
          <c:yMode val="edge"/>
          <c:x val="0.66388308977035448"/>
          <c:y val="0.32986222962181994"/>
          <c:w val="0.31524008350730687"/>
          <c:h val="0.33333446361783958"/>
        </c:manualLayout>
      </c:layout>
      <c:overlay val="0"/>
    </c:legend>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Calculation of Converter Outlet Temperature</a:t>
            </a:r>
          </a:p>
        </c:rich>
      </c:tx>
      <c:layout/>
      <c:overlay val="0"/>
    </c:title>
    <c:autoTitleDeleted val="0"/>
    <c:plotArea>
      <c:layout/>
      <c:scatterChart>
        <c:scatterStyle val="lineMarker"/>
        <c:varyColors val="0"/>
        <c:ser>
          <c:idx val="0"/>
          <c:order val="0"/>
          <c:tx>
            <c:strRef>
              <c:f>'Step 5'!$C$97</c:f>
              <c:strCache>
                <c:ptCount val="1"/>
                <c:pt idx="0">
                  <c:v>H (indiv. species)</c:v>
                </c:pt>
              </c:strCache>
            </c:strRef>
          </c:tx>
          <c:xVal>
            <c:numRef>
              <c:f>'Step 5'!$B$98:$B$100</c:f>
              <c:numCache>
                <c:formatCode>General</c:formatCode>
                <c:ptCount val="3"/>
                <c:pt idx="0">
                  <c:v>36</c:v>
                </c:pt>
                <c:pt idx="1">
                  <c:v>38</c:v>
                </c:pt>
                <c:pt idx="2">
                  <c:v>40</c:v>
                </c:pt>
              </c:numCache>
            </c:numRef>
          </c:xVal>
          <c:yVal>
            <c:numRef>
              <c:f>'Step 5'!$C$98:$C$100</c:f>
              <c:numCache>
                <c:formatCode>#,##0</c:formatCode>
                <c:ptCount val="3"/>
                <c:pt idx="0">
                  <c:v>5143291.802120015</c:v>
                </c:pt>
                <c:pt idx="1">
                  <c:v>4985670.2403027238</c:v>
                </c:pt>
                <c:pt idx="2">
                  <c:v>4856179.2020377526</c:v>
                </c:pt>
              </c:numCache>
            </c:numRef>
          </c:yVal>
          <c:smooth val="0"/>
        </c:ser>
        <c:ser>
          <c:idx val="1"/>
          <c:order val="1"/>
          <c:tx>
            <c:strRef>
              <c:f>'Step 5'!$D$97</c:f>
              <c:strCache>
                <c:ptCount val="1"/>
                <c:pt idx="0">
                  <c:v>H (reaction enthalpies)</c:v>
                </c:pt>
              </c:strCache>
            </c:strRef>
          </c:tx>
          <c:xVal>
            <c:numRef>
              <c:f>'Step 5'!$B$98:$B$100</c:f>
              <c:numCache>
                <c:formatCode>General</c:formatCode>
                <c:ptCount val="3"/>
                <c:pt idx="0">
                  <c:v>36</c:v>
                </c:pt>
                <c:pt idx="1">
                  <c:v>38</c:v>
                </c:pt>
                <c:pt idx="2">
                  <c:v>40</c:v>
                </c:pt>
              </c:numCache>
            </c:numRef>
          </c:xVal>
          <c:yVal>
            <c:numRef>
              <c:f>'Step 5'!$D$98:$D$100</c:f>
              <c:numCache>
                <c:formatCode>#,##0</c:formatCode>
                <c:ptCount val="3"/>
                <c:pt idx="0">
                  <c:v>4943655.7382994909</c:v>
                </c:pt>
                <c:pt idx="1">
                  <c:v>4997985.7382994909</c:v>
                </c:pt>
                <c:pt idx="2">
                  <c:v>5052315.7382994909</c:v>
                </c:pt>
              </c:numCache>
            </c:numRef>
          </c:yVal>
          <c:smooth val="0"/>
        </c:ser>
        <c:dLbls>
          <c:showLegendKey val="0"/>
          <c:showVal val="0"/>
          <c:showCatName val="0"/>
          <c:showSerName val="0"/>
          <c:showPercent val="0"/>
          <c:showBubbleSize val="0"/>
        </c:dLbls>
        <c:axId val="103860096"/>
        <c:axId val="103022592"/>
      </c:scatterChart>
      <c:valAx>
        <c:axId val="103860096"/>
        <c:scaling>
          <c:orientation val="minMax"/>
        </c:scaling>
        <c:delete val="0"/>
        <c:axPos val="b"/>
        <c:title>
          <c:tx>
            <c:rich>
              <a:bodyPr/>
              <a:lstStyle/>
              <a:p>
                <a:pPr>
                  <a:defRPr/>
                </a:pPr>
                <a:r>
                  <a:rPr lang="en-US"/>
                  <a:t>y, moles/hr</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3022592"/>
        <c:crosses val="autoZero"/>
        <c:crossBetween val="midCat"/>
      </c:valAx>
      <c:valAx>
        <c:axId val="103022592"/>
        <c:scaling>
          <c:orientation val="minMax"/>
        </c:scaling>
        <c:delete val="0"/>
        <c:axPos val="l"/>
        <c:majorGridlines/>
        <c:title>
          <c:tx>
            <c:rich>
              <a:bodyPr rot="-5400000" vert="horz"/>
              <a:lstStyle/>
              <a:p>
                <a:pPr>
                  <a:defRPr/>
                </a:pPr>
                <a:r>
                  <a:rPr lang="en-US"/>
                  <a:t>Total Stream Enthalpy,</a:t>
                </a:r>
                <a:r>
                  <a:rPr lang="en-US" baseline="0"/>
                  <a:t> MM BTU/hr</a:t>
                </a:r>
                <a:endParaRPr lang="en-US"/>
              </a:p>
            </c:rich>
          </c:tx>
          <c:layout>
            <c:manualLayout>
              <c:xMode val="edge"/>
              <c:yMode val="edge"/>
              <c:x val="3.0167371687716573E-2"/>
              <c:y val="0.13403699970029717"/>
            </c:manualLayout>
          </c:layout>
          <c:overlay val="0"/>
        </c:title>
        <c:numFmt formatCode="#,##0.00" sourceLinked="0"/>
        <c:majorTickMark val="out"/>
        <c:minorTickMark val="none"/>
        <c:tickLblPos val="nextTo"/>
        <c:crossAx val="103860096"/>
        <c:crosses val="autoZero"/>
        <c:crossBetween val="midCat"/>
        <c:dispUnits>
          <c:builtInUnit val="millions"/>
        </c:dispUnits>
      </c:valAx>
    </c:plotArea>
    <c:legend>
      <c:legendPos val="b"/>
      <c:layout/>
      <c:overlay val="0"/>
    </c:legend>
    <c:plotVisOnly val="1"/>
    <c:dispBlanksAs val="gap"/>
    <c:showDLblsOverMax val="0"/>
  </c:chart>
  <c:printSettings>
    <c:headerFooter/>
    <c:pageMargins b="0.750000000000004" l="0.70000000000000062" r="0.70000000000000062" t="0.75000000000000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Calculation of Converter Outlet Temperature</a:t>
            </a:r>
          </a:p>
        </c:rich>
      </c:tx>
      <c:layout/>
      <c:overlay val="0"/>
    </c:title>
    <c:autoTitleDeleted val="0"/>
    <c:plotArea>
      <c:layout/>
      <c:scatterChart>
        <c:scatterStyle val="lineMarker"/>
        <c:varyColors val="0"/>
        <c:ser>
          <c:idx val="0"/>
          <c:order val="0"/>
          <c:tx>
            <c:strRef>
              <c:f>'Step 5'!$N$97</c:f>
              <c:strCache>
                <c:ptCount val="1"/>
                <c:pt idx="0">
                  <c:v>H (indiv. species)</c:v>
                </c:pt>
              </c:strCache>
            </c:strRef>
          </c:tx>
          <c:xVal>
            <c:numRef>
              <c:f>'Step 5'!$M$98:$M$100</c:f>
              <c:numCache>
                <c:formatCode>General</c:formatCode>
                <c:ptCount val="3"/>
                <c:pt idx="0">
                  <c:v>36</c:v>
                </c:pt>
                <c:pt idx="1">
                  <c:v>38</c:v>
                </c:pt>
                <c:pt idx="2">
                  <c:v>40</c:v>
                </c:pt>
              </c:numCache>
            </c:numRef>
          </c:xVal>
          <c:yVal>
            <c:numRef>
              <c:f>'Step 5'!$N$98:$N$100</c:f>
              <c:numCache>
                <c:formatCode>#,##0</c:formatCode>
                <c:ptCount val="3"/>
                <c:pt idx="0">
                  <c:v>5143291.7912802901</c:v>
                </c:pt>
                <c:pt idx="1">
                  <c:v>4985670.2298402032</c:v>
                </c:pt>
                <c:pt idx="2">
                  <c:v>4856179.1918858727</c:v>
                </c:pt>
              </c:numCache>
            </c:numRef>
          </c:yVal>
          <c:smooth val="0"/>
        </c:ser>
        <c:ser>
          <c:idx val="1"/>
          <c:order val="1"/>
          <c:tx>
            <c:strRef>
              <c:f>'Step 5'!$O$97</c:f>
              <c:strCache>
                <c:ptCount val="1"/>
                <c:pt idx="0">
                  <c:v>H (reaction enthalpies)</c:v>
                </c:pt>
              </c:strCache>
            </c:strRef>
          </c:tx>
          <c:xVal>
            <c:numRef>
              <c:f>'Step 5'!$M$98:$M$100</c:f>
              <c:numCache>
                <c:formatCode>General</c:formatCode>
                <c:ptCount val="3"/>
                <c:pt idx="0">
                  <c:v>36</c:v>
                </c:pt>
                <c:pt idx="1">
                  <c:v>38</c:v>
                </c:pt>
                <c:pt idx="2">
                  <c:v>40</c:v>
                </c:pt>
              </c:numCache>
            </c:numRef>
          </c:xVal>
          <c:yVal>
            <c:numRef>
              <c:f>'Step 5'!$O$98:$O$100</c:f>
              <c:numCache>
                <c:formatCode>#,##0</c:formatCode>
                <c:ptCount val="3"/>
                <c:pt idx="0">
                  <c:v>4943655.7301351437</c:v>
                </c:pt>
                <c:pt idx="1">
                  <c:v>4997985.7301351437</c:v>
                </c:pt>
                <c:pt idx="2">
                  <c:v>5052315.7301351437</c:v>
                </c:pt>
              </c:numCache>
            </c:numRef>
          </c:yVal>
          <c:smooth val="0"/>
        </c:ser>
        <c:dLbls>
          <c:showLegendKey val="0"/>
          <c:showVal val="0"/>
          <c:showCatName val="0"/>
          <c:showSerName val="0"/>
          <c:showPercent val="0"/>
          <c:showBubbleSize val="0"/>
        </c:dLbls>
        <c:axId val="103061376"/>
        <c:axId val="103063552"/>
      </c:scatterChart>
      <c:valAx>
        <c:axId val="103061376"/>
        <c:scaling>
          <c:orientation val="minMax"/>
        </c:scaling>
        <c:delete val="0"/>
        <c:axPos val="b"/>
        <c:title>
          <c:tx>
            <c:rich>
              <a:bodyPr/>
              <a:lstStyle/>
              <a:p>
                <a:pPr>
                  <a:defRPr/>
                </a:pPr>
                <a:r>
                  <a:rPr lang="en-US"/>
                  <a:t>y, moles/hr</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3063552"/>
        <c:crosses val="autoZero"/>
        <c:crossBetween val="midCat"/>
      </c:valAx>
      <c:valAx>
        <c:axId val="103063552"/>
        <c:scaling>
          <c:orientation val="minMax"/>
        </c:scaling>
        <c:delete val="0"/>
        <c:axPos val="l"/>
        <c:majorGridlines/>
        <c:title>
          <c:tx>
            <c:rich>
              <a:bodyPr rot="-5400000" vert="horz"/>
              <a:lstStyle/>
              <a:p>
                <a:pPr>
                  <a:defRPr/>
                </a:pPr>
                <a:r>
                  <a:rPr lang="en-US"/>
                  <a:t>Total Stream Enthalpy,</a:t>
                </a:r>
                <a:r>
                  <a:rPr lang="en-US" baseline="0"/>
                  <a:t> MM BTU/hr</a:t>
                </a:r>
                <a:endParaRPr lang="en-US"/>
              </a:p>
            </c:rich>
          </c:tx>
          <c:layout>
            <c:manualLayout>
              <c:xMode val="edge"/>
              <c:yMode val="edge"/>
              <c:x val="3.016737168771659E-2"/>
              <c:y val="0.13403699970029725"/>
            </c:manualLayout>
          </c:layout>
          <c:overlay val="0"/>
        </c:title>
        <c:numFmt formatCode="#,##0.00" sourceLinked="0"/>
        <c:majorTickMark val="out"/>
        <c:minorTickMark val="none"/>
        <c:tickLblPos val="nextTo"/>
        <c:crossAx val="103061376"/>
        <c:crosses val="autoZero"/>
        <c:crossBetween val="midCat"/>
        <c:dispUnits>
          <c:builtInUnit val="millions"/>
        </c:dispUnits>
      </c:valAx>
    </c:plotArea>
    <c:legend>
      <c:legendPos val="b"/>
      <c:layout/>
      <c:overlay val="0"/>
    </c:legend>
    <c:plotVisOnly val="1"/>
    <c:dispBlanksAs val="gap"/>
    <c:showDLblsOverMax val="0"/>
  </c:chart>
  <c:printSettings>
    <c:headerFooter/>
    <c:pageMargins b="0.75000000000000422" l="0.70000000000000062" r="0.70000000000000062" t="0.750000000000004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514350</xdr:colOff>
      <xdr:row>174</xdr:row>
      <xdr:rowOff>66675</xdr:rowOff>
    </xdr:from>
    <xdr:to>
      <xdr:col>6</xdr:col>
      <xdr:colOff>520700</xdr:colOff>
      <xdr:row>194</xdr:row>
      <xdr:rowOff>142875</xdr:rowOff>
    </xdr:to>
    <xdr:graphicFrame macro="">
      <xdr:nvGraphicFramePr>
        <xdr:cNvPr id="204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609600</xdr:colOff>
      <xdr:row>174</xdr:row>
      <xdr:rowOff>165100</xdr:rowOff>
    </xdr:from>
    <xdr:to>
      <xdr:col>17</xdr:col>
      <xdr:colOff>1009650</xdr:colOff>
      <xdr:row>195</xdr:row>
      <xdr:rowOff>50800</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514350</xdr:colOff>
      <xdr:row>206</xdr:row>
      <xdr:rowOff>66675</xdr:rowOff>
    </xdr:from>
    <xdr:to>
      <xdr:col>6</xdr:col>
      <xdr:colOff>520700</xdr:colOff>
      <xdr:row>226</xdr:row>
      <xdr:rowOff>142875</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714375</xdr:colOff>
      <xdr:row>207</xdr:row>
      <xdr:rowOff>0</xdr:rowOff>
    </xdr:from>
    <xdr:to>
      <xdr:col>17</xdr:col>
      <xdr:colOff>704850</xdr:colOff>
      <xdr:row>227</xdr:row>
      <xdr:rowOff>76200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514350</xdr:colOff>
      <xdr:row>101</xdr:row>
      <xdr:rowOff>19050</xdr:rowOff>
    </xdr:from>
    <xdr:to>
      <xdr:col>5</xdr:col>
      <xdr:colOff>180975</xdr:colOff>
      <xdr:row>115</xdr:row>
      <xdr:rowOff>104775</xdr:rowOff>
    </xdr:to>
    <xdr:graphicFrame macro="">
      <xdr:nvGraphicFramePr>
        <xdr:cNvPr id="61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818028</xdr:colOff>
      <xdr:row>101</xdr:row>
      <xdr:rowOff>11206</xdr:rowOff>
    </xdr:from>
    <xdr:to>
      <xdr:col>16</xdr:col>
      <xdr:colOff>540683</xdr:colOff>
      <xdr:row>115</xdr:row>
      <xdr:rowOff>96931</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80" zoomScaleNormal="80" workbookViewId="0">
      <selection activeCell="J27" sqref="J27"/>
    </sheetView>
  </sheetViews>
  <sheetFormatPr defaultRowHeight="15" x14ac:dyDescent="0.25"/>
  <cols>
    <col min="1" max="1" width="6.7109375" style="6" customWidth="1"/>
    <col min="2" max="2" width="2" style="6" bestFit="1" customWidth="1"/>
    <col min="3" max="3" width="15.7109375" style="6" customWidth="1"/>
    <col min="4" max="4" width="9.140625" style="6"/>
    <col min="5" max="5" width="11.7109375" style="6" bestFit="1" customWidth="1"/>
    <col min="6" max="6" width="2" style="6" bestFit="1" customWidth="1"/>
    <col min="7" max="7" width="29.5703125" style="6" customWidth="1"/>
    <col min="8" max="10" width="9.140625" style="6"/>
  </cols>
  <sheetData>
    <row r="1" spans="1:8" x14ac:dyDescent="0.25">
      <c r="A1" s="32" t="s">
        <v>11</v>
      </c>
      <c r="B1" s="33"/>
      <c r="C1" s="33"/>
      <c r="D1" s="33"/>
      <c r="E1" s="33"/>
      <c r="F1" s="33"/>
      <c r="G1" s="33"/>
    </row>
    <row r="2" spans="1:8" ht="15.75" thickBot="1" x14ac:dyDescent="0.3">
      <c r="A2" s="34" t="s">
        <v>0</v>
      </c>
      <c r="B2" s="35"/>
      <c r="C2" s="35"/>
      <c r="D2" s="35"/>
      <c r="E2" s="35"/>
      <c r="F2" s="35"/>
      <c r="G2" s="35"/>
    </row>
    <row r="3" spans="1:8" ht="63" x14ac:dyDescent="0.25">
      <c r="A3" s="36" t="s">
        <v>2</v>
      </c>
      <c r="B3" s="36" t="s">
        <v>1</v>
      </c>
      <c r="C3" s="37" t="s">
        <v>3</v>
      </c>
      <c r="D3" s="3"/>
      <c r="E3" s="36" t="s">
        <v>12</v>
      </c>
      <c r="F3" s="36" t="s">
        <v>1</v>
      </c>
      <c r="G3" s="37" t="s">
        <v>332</v>
      </c>
      <c r="H3" s="1"/>
    </row>
    <row r="4" spans="1:8" ht="109.5" x14ac:dyDescent="0.25">
      <c r="A4" s="36" t="s">
        <v>8</v>
      </c>
      <c r="B4" s="36" t="s">
        <v>1</v>
      </c>
      <c r="C4" s="37" t="s">
        <v>283</v>
      </c>
      <c r="D4" s="3"/>
      <c r="E4" s="36" t="s">
        <v>13</v>
      </c>
      <c r="F4" s="36" t="s">
        <v>1</v>
      </c>
      <c r="G4" s="37" t="s">
        <v>333</v>
      </c>
    </row>
    <row r="5" spans="1:8" ht="60" x14ac:dyDescent="0.25">
      <c r="A5" s="36" t="s">
        <v>4</v>
      </c>
      <c r="B5" s="36" t="s">
        <v>1</v>
      </c>
      <c r="C5" s="37" t="s">
        <v>5</v>
      </c>
      <c r="D5" s="3"/>
      <c r="E5" s="38" t="s">
        <v>14</v>
      </c>
      <c r="F5" s="36"/>
      <c r="G5" s="37" t="s">
        <v>15</v>
      </c>
    </row>
    <row r="6" spans="1:8" ht="90" x14ac:dyDescent="0.25">
      <c r="A6" s="36" t="s">
        <v>6</v>
      </c>
      <c r="B6" s="36" t="s">
        <v>1</v>
      </c>
      <c r="C6" s="37" t="s">
        <v>7</v>
      </c>
      <c r="E6" s="38" t="s">
        <v>16</v>
      </c>
      <c r="F6" s="36" t="s">
        <v>1</v>
      </c>
      <c r="G6" s="37" t="s">
        <v>243</v>
      </c>
    </row>
    <row r="7" spans="1:8" ht="30" x14ac:dyDescent="0.25">
      <c r="A7" s="36" t="s">
        <v>9</v>
      </c>
      <c r="B7" s="36" t="s">
        <v>1</v>
      </c>
      <c r="C7" s="37" t="s">
        <v>10</v>
      </c>
    </row>
    <row r="8" spans="1:8" x14ac:dyDescent="0.25">
      <c r="A8" s="36"/>
      <c r="B8" s="36"/>
      <c r="C8" s="37"/>
    </row>
    <row r="9" spans="1:8" x14ac:dyDescent="0.25">
      <c r="A9" s="36" t="s">
        <v>284</v>
      </c>
      <c r="B9" s="36"/>
      <c r="C9" s="39" t="s">
        <v>285</v>
      </c>
      <c r="D9" s="40"/>
      <c r="E9" s="40"/>
      <c r="F9" s="40"/>
      <c r="G9" s="40"/>
    </row>
    <row r="10" spans="1:8" x14ac:dyDescent="0.25">
      <c r="A10" s="36"/>
      <c r="B10" s="36"/>
      <c r="C10" s="39" t="s">
        <v>334</v>
      </c>
      <c r="D10" s="40"/>
      <c r="E10" s="40"/>
      <c r="F10" s="40"/>
      <c r="G10" s="40"/>
    </row>
    <row r="11" spans="1:8" ht="20.25" customHeight="1" x14ac:dyDescent="0.25">
      <c r="A11" s="36"/>
      <c r="B11" s="36"/>
      <c r="C11" s="39" t="s">
        <v>335</v>
      </c>
      <c r="D11" s="40" t="s">
        <v>286</v>
      </c>
      <c r="E11" s="40" t="s">
        <v>286</v>
      </c>
      <c r="F11" s="40" t="s">
        <v>286</v>
      </c>
      <c r="G11" s="40" t="s">
        <v>286</v>
      </c>
    </row>
    <row r="12" spans="1:8" x14ac:dyDescent="0.25">
      <c r="C12" s="40" t="s">
        <v>336</v>
      </c>
      <c r="D12" s="40" t="s">
        <v>286</v>
      </c>
      <c r="E12" s="40" t="s">
        <v>286</v>
      </c>
      <c r="F12" s="40" t="s">
        <v>286</v>
      </c>
      <c r="G12" s="40" t="s">
        <v>286</v>
      </c>
    </row>
    <row r="14" spans="1:8" x14ac:dyDescent="0.25">
      <c r="A14" s="41" t="s">
        <v>132</v>
      </c>
      <c r="B14" s="1"/>
      <c r="C14" s="1"/>
    </row>
    <row r="15" spans="1:8" x14ac:dyDescent="0.25">
      <c r="A15" s="2"/>
      <c r="B15" s="42" t="s">
        <v>1</v>
      </c>
      <c r="C15" s="1" t="s">
        <v>130</v>
      </c>
    </row>
    <row r="16" spans="1:8" x14ac:dyDescent="0.25">
      <c r="A16" s="4"/>
      <c r="B16" s="42" t="s">
        <v>1</v>
      </c>
      <c r="C16" s="1" t="s">
        <v>131</v>
      </c>
    </row>
    <row r="17" spans="1:3" x14ac:dyDescent="0.25">
      <c r="A17" s="5"/>
      <c r="B17" s="42" t="s">
        <v>1</v>
      </c>
      <c r="C17" s="1" t="s">
        <v>235</v>
      </c>
    </row>
    <row r="18" spans="1:3" x14ac:dyDescent="0.25">
      <c r="A18" s="43"/>
      <c r="B18" s="44" t="s">
        <v>1</v>
      </c>
      <c r="C18" s="45" t="s">
        <v>234</v>
      </c>
    </row>
  </sheetData>
  <mergeCells count="6">
    <mergeCell ref="C12:G12"/>
    <mergeCell ref="A1:G1"/>
    <mergeCell ref="A2:G2"/>
    <mergeCell ref="C9:G9"/>
    <mergeCell ref="C10:G10"/>
    <mergeCell ref="C11:G11"/>
  </mergeCells>
  <phoneticPr fontId="21"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zoomScale="80" zoomScaleNormal="80" workbookViewId="0">
      <selection activeCell="B3" sqref="B3"/>
    </sheetView>
  </sheetViews>
  <sheetFormatPr defaultRowHeight="15" x14ac:dyDescent="0.25"/>
  <cols>
    <col min="1" max="2" width="12.7109375" style="48" customWidth="1"/>
    <col min="3" max="16384" width="9.140625" style="48"/>
  </cols>
  <sheetData>
    <row r="1" spans="1:14" ht="33" customHeight="1" x14ac:dyDescent="0.25">
      <c r="A1" s="60" t="s">
        <v>338</v>
      </c>
      <c r="B1" s="60"/>
      <c r="C1" s="60"/>
      <c r="D1" s="60"/>
      <c r="E1" s="60"/>
      <c r="F1" s="60"/>
      <c r="G1" s="60"/>
      <c r="H1" s="60"/>
      <c r="I1" s="60"/>
      <c r="J1" s="60"/>
      <c r="K1" s="60"/>
      <c r="L1" s="60"/>
      <c r="M1" s="60"/>
      <c r="N1" s="60"/>
    </row>
    <row r="2" spans="1:14" ht="16.5" x14ac:dyDescent="0.3">
      <c r="A2" s="61" t="s">
        <v>337</v>
      </c>
      <c r="B2" s="61"/>
      <c r="C2" s="62"/>
      <c r="D2" s="62" t="s">
        <v>339</v>
      </c>
      <c r="E2" s="62" t="s">
        <v>340</v>
      </c>
      <c r="F2" s="62" t="s">
        <v>341</v>
      </c>
      <c r="G2" s="62" t="s">
        <v>342</v>
      </c>
      <c r="H2" s="62" t="s">
        <v>343</v>
      </c>
      <c r="I2" s="62" t="s">
        <v>344</v>
      </c>
      <c r="J2" s="62" t="s">
        <v>345</v>
      </c>
      <c r="K2" s="62" t="s">
        <v>346</v>
      </c>
      <c r="L2" s="62" t="s">
        <v>347</v>
      </c>
      <c r="M2" s="62" t="s">
        <v>348</v>
      </c>
      <c r="N2" s="62" t="s">
        <v>349</v>
      </c>
    </row>
    <row r="3" spans="1:14" x14ac:dyDescent="0.25">
      <c r="A3" s="62">
        <v>32</v>
      </c>
      <c r="B3" s="62">
        <v>700</v>
      </c>
      <c r="C3" s="62" t="s">
        <v>292</v>
      </c>
      <c r="D3" s="63">
        <v>-241</v>
      </c>
      <c r="E3" s="63">
        <v>-295</v>
      </c>
      <c r="F3" s="63">
        <v>-264</v>
      </c>
      <c r="G3" s="63">
        <v>-233</v>
      </c>
      <c r="H3" s="63">
        <v>-238</v>
      </c>
      <c r="I3" s="63">
        <v>-220</v>
      </c>
      <c r="J3" s="63">
        <v>-322</v>
      </c>
      <c r="K3" s="63">
        <v>-254</v>
      </c>
      <c r="L3" s="63">
        <v>-905</v>
      </c>
      <c r="M3" s="63">
        <v>-1236</v>
      </c>
      <c r="N3" s="63">
        <v>-515</v>
      </c>
    </row>
    <row r="4" spans="1:14" x14ac:dyDescent="0.25">
      <c r="A4" s="62">
        <v>32</v>
      </c>
      <c r="B4" s="62">
        <v>700</v>
      </c>
      <c r="C4" s="62" t="s">
        <v>293</v>
      </c>
      <c r="D4" s="64">
        <v>7.71</v>
      </c>
      <c r="E4" s="64">
        <v>8.84</v>
      </c>
      <c r="F4" s="64">
        <v>8.19</v>
      </c>
      <c r="G4" s="64">
        <v>7.51</v>
      </c>
      <c r="H4" s="64">
        <v>7.29</v>
      </c>
      <c r="I4" s="64">
        <v>6.91</v>
      </c>
      <c r="J4" s="64">
        <v>9.6</v>
      </c>
      <c r="K4" s="64">
        <v>7.75</v>
      </c>
      <c r="L4" s="64">
        <v>27.21</v>
      </c>
      <c r="M4" s="64">
        <v>37.39</v>
      </c>
      <c r="N4" s="64">
        <v>16.350000000000001</v>
      </c>
    </row>
    <row r="5" spans="1:14" x14ac:dyDescent="0.25">
      <c r="A5" s="62">
        <v>32</v>
      </c>
      <c r="B5" s="62">
        <v>700</v>
      </c>
      <c r="C5" s="62" t="s">
        <v>294</v>
      </c>
      <c r="D5" s="62">
        <v>1.25E-3</v>
      </c>
      <c r="E5" s="62">
        <v>2E-3</v>
      </c>
      <c r="F5" s="62">
        <v>3.8700000000000002E-3</v>
      </c>
      <c r="G5" s="62">
        <v>4.1200000000000004E-3</v>
      </c>
      <c r="H5" s="62">
        <v>3.8699999999999997E-4</v>
      </c>
      <c r="I5" s="62">
        <v>2.03E-4</v>
      </c>
      <c r="J5" s="62">
        <v>1.89E-3</v>
      </c>
      <c r="K5" s="62">
        <v>6.8999999999999997E-4</v>
      </c>
      <c r="L5" s="62">
        <v>2.8400000000000001E-3</v>
      </c>
      <c r="M5" s="62">
        <v>4.3600000000000002E-3</v>
      </c>
      <c r="N5" s="62">
        <v>7.6400000000000001E-3</v>
      </c>
    </row>
    <row r="6" spans="1:14" x14ac:dyDescent="0.25">
      <c r="A6" s="62">
        <v>1600</v>
      </c>
      <c r="B6" s="62">
        <v>2600</v>
      </c>
      <c r="C6" s="62" t="s">
        <v>292</v>
      </c>
      <c r="D6" s="62">
        <v>-1523</v>
      </c>
      <c r="E6" s="62">
        <v>-2178</v>
      </c>
      <c r="F6" s="62">
        <v>-181</v>
      </c>
      <c r="G6" s="62"/>
      <c r="H6" s="62"/>
      <c r="I6" s="62">
        <v>-616</v>
      </c>
      <c r="J6" s="62">
        <v>-1652</v>
      </c>
      <c r="K6" s="62">
        <v>-479</v>
      </c>
      <c r="L6" s="62"/>
      <c r="M6" s="62"/>
      <c r="N6" s="62"/>
    </row>
    <row r="7" spans="1:14" x14ac:dyDescent="0.25">
      <c r="A7" s="62">
        <v>1600</v>
      </c>
      <c r="B7" s="62">
        <v>2600</v>
      </c>
      <c r="C7" s="62" t="s">
        <v>293</v>
      </c>
      <c r="D7" s="62">
        <v>9.49</v>
      </c>
      <c r="E7" s="62">
        <v>11.97</v>
      </c>
      <c r="F7" s="62">
        <v>7.62</v>
      </c>
      <c r="G7" s="62"/>
      <c r="H7" s="62"/>
      <c r="I7" s="62">
        <v>7.24</v>
      </c>
      <c r="J7" s="62">
        <v>12.07</v>
      </c>
      <c r="K7" s="62">
        <v>8.3800000000000008</v>
      </c>
      <c r="L7" s="62"/>
      <c r="M7" s="62"/>
      <c r="N7" s="62"/>
    </row>
    <row r="8" spans="1:14" x14ac:dyDescent="0.25">
      <c r="A8" s="62">
        <v>1600</v>
      </c>
      <c r="B8" s="62">
        <v>2600</v>
      </c>
      <c r="C8" s="62" t="s">
        <v>294</v>
      </c>
      <c r="D8" s="62">
        <v>6.9300000000000004E-4</v>
      </c>
      <c r="E8" s="62">
        <v>4.4900000000000002E-4</v>
      </c>
      <c r="F8" s="62">
        <v>8.2600000000000002E-4</v>
      </c>
      <c r="G8" s="62"/>
      <c r="H8" s="62"/>
      <c r="I8" s="62">
        <v>2.42E-4</v>
      </c>
      <c r="J8" s="62">
        <v>4.3399999999999998E-4</v>
      </c>
      <c r="K8" s="62">
        <v>2.0699999999999999E-4</v>
      </c>
      <c r="L8" s="62"/>
      <c r="M8" s="62"/>
      <c r="N8" s="62"/>
    </row>
    <row r="11" spans="1:14" x14ac:dyDescent="0.25">
      <c r="A11" s="58" t="s">
        <v>327</v>
      </c>
    </row>
    <row r="12" spans="1:14" x14ac:dyDescent="0.25">
      <c r="A12" s="58" t="s">
        <v>328</v>
      </c>
    </row>
    <row r="13" spans="1:14" x14ac:dyDescent="0.25">
      <c r="A13" s="58" t="s">
        <v>329</v>
      </c>
    </row>
    <row r="14" spans="1:14" x14ac:dyDescent="0.25">
      <c r="A14" s="58" t="s">
        <v>330</v>
      </c>
    </row>
    <row r="15" spans="1:14" x14ac:dyDescent="0.25">
      <c r="A15" s="58" t="s">
        <v>331</v>
      </c>
    </row>
  </sheetData>
  <sheetProtection password="F030" sheet="1" objects="1" scenarios="1"/>
  <mergeCells count="2">
    <mergeCell ref="A2:B2"/>
    <mergeCell ref="A1:N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J41" sqref="J41"/>
    </sheetView>
  </sheetViews>
  <sheetFormatPr defaultRowHeight="15" x14ac:dyDescent="0.25"/>
  <cols>
    <col min="1" max="1" width="10.7109375" bestFit="1" customWidth="1"/>
  </cols>
  <sheetData>
    <row r="1" spans="1:8" x14ac:dyDescent="0.25">
      <c r="A1" t="s">
        <v>323</v>
      </c>
      <c r="B1" s="25" t="s">
        <v>321</v>
      </c>
      <c r="C1" s="25"/>
      <c r="D1" s="25"/>
      <c r="E1" s="25"/>
      <c r="F1" s="25"/>
      <c r="G1" s="25"/>
      <c r="H1" s="25"/>
    </row>
    <row r="2" spans="1:8" ht="131.25" customHeight="1" x14ac:dyDescent="0.25">
      <c r="A2" s="27" t="s">
        <v>324</v>
      </c>
      <c r="B2" s="25" t="s">
        <v>325</v>
      </c>
      <c r="C2" s="25"/>
      <c r="D2" s="25"/>
      <c r="E2" s="25"/>
      <c r="F2" s="25"/>
      <c r="G2" s="25"/>
      <c r="H2" s="25"/>
    </row>
    <row r="3" spans="1:8" ht="34.5" customHeight="1" x14ac:dyDescent="0.25">
      <c r="A3" s="27"/>
      <c r="B3" s="25" t="s">
        <v>322</v>
      </c>
      <c r="C3" s="25"/>
      <c r="D3" s="25"/>
      <c r="E3" s="25"/>
      <c r="F3" s="25"/>
      <c r="G3" s="25"/>
      <c r="H3" s="25"/>
    </row>
    <row r="4" spans="1:8" ht="60.75" customHeight="1" x14ac:dyDescent="0.25">
      <c r="A4" s="27"/>
      <c r="B4" s="25" t="s">
        <v>326</v>
      </c>
      <c r="C4" s="25"/>
      <c r="D4" s="25"/>
      <c r="E4" s="25"/>
      <c r="F4" s="25"/>
      <c r="G4" s="25"/>
      <c r="H4" s="25"/>
    </row>
    <row r="5" spans="1:8" ht="32.25" customHeight="1" x14ac:dyDescent="0.25">
      <c r="A5" s="26" t="s">
        <v>318</v>
      </c>
      <c r="B5" s="28" t="s">
        <v>304</v>
      </c>
      <c r="C5" s="29"/>
      <c r="D5" s="29"/>
      <c r="E5" s="29"/>
      <c r="F5" s="29"/>
      <c r="G5" s="29"/>
      <c r="H5" s="29"/>
    </row>
    <row r="6" spans="1:8" ht="32.25" customHeight="1" x14ac:dyDescent="0.25">
      <c r="A6" s="26"/>
      <c r="B6" s="28" t="s">
        <v>306</v>
      </c>
      <c r="C6" s="29"/>
      <c r="D6" s="29"/>
      <c r="E6" s="29"/>
      <c r="F6" s="29"/>
      <c r="G6" s="29"/>
      <c r="H6" s="29"/>
    </row>
    <row r="7" spans="1:8" ht="30.75" customHeight="1" x14ac:dyDescent="0.25">
      <c r="A7" s="26"/>
      <c r="B7" s="28" t="s">
        <v>305</v>
      </c>
      <c r="C7" s="30"/>
      <c r="D7" s="30"/>
      <c r="E7" s="29"/>
      <c r="F7" s="29"/>
      <c r="G7" s="29"/>
      <c r="H7" s="29"/>
    </row>
    <row r="8" spans="1:8" ht="45" customHeight="1" x14ac:dyDescent="0.25">
      <c r="A8" s="8" t="s">
        <v>319</v>
      </c>
      <c r="B8" s="31" t="s">
        <v>311</v>
      </c>
      <c r="C8" s="29"/>
      <c r="D8" s="29"/>
      <c r="E8" s="29"/>
      <c r="F8" s="29"/>
      <c r="G8" s="29"/>
      <c r="H8" s="29"/>
    </row>
    <row r="9" spans="1:8" x14ac:dyDescent="0.25">
      <c r="A9" s="8" t="s">
        <v>320</v>
      </c>
      <c r="B9" s="28" t="s">
        <v>312</v>
      </c>
      <c r="C9" s="29"/>
      <c r="D9" s="29"/>
      <c r="E9" s="29"/>
      <c r="F9" s="29"/>
      <c r="G9" s="29"/>
      <c r="H9" s="29"/>
    </row>
    <row r="10" spans="1:8" ht="45" customHeight="1" x14ac:dyDescent="0.25">
      <c r="A10" s="8" t="s">
        <v>219</v>
      </c>
      <c r="B10" s="28" t="s">
        <v>314</v>
      </c>
      <c r="C10" s="29"/>
      <c r="D10" s="29"/>
      <c r="E10" s="29"/>
      <c r="F10" s="29"/>
      <c r="G10" s="29"/>
      <c r="H10" s="29"/>
    </row>
    <row r="11" spans="1:8" x14ac:dyDescent="0.25">
      <c r="B11" s="7"/>
      <c r="C11" s="7"/>
      <c r="D11" s="7"/>
      <c r="E11" s="7"/>
    </row>
    <row r="12" spans="1:8" x14ac:dyDescent="0.25">
      <c r="B12" s="7"/>
      <c r="C12" s="7"/>
      <c r="D12" s="7"/>
      <c r="E12" s="7"/>
    </row>
    <row r="13" spans="1:8" x14ac:dyDescent="0.25">
      <c r="B13" s="7"/>
      <c r="C13" s="7"/>
      <c r="D13" s="7"/>
      <c r="E13" s="7"/>
    </row>
  </sheetData>
  <mergeCells count="12">
    <mergeCell ref="A5:A7"/>
    <mergeCell ref="A2:A4"/>
    <mergeCell ref="B10:H10"/>
    <mergeCell ref="B1:H1"/>
    <mergeCell ref="B7:H7"/>
    <mergeCell ref="B2:H2"/>
    <mergeCell ref="B3:H3"/>
    <mergeCell ref="B4:H4"/>
    <mergeCell ref="B6:H6"/>
    <mergeCell ref="B5:H5"/>
    <mergeCell ref="B8:H8"/>
    <mergeCell ref="B9:H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tabSelected="1" topLeftCell="F1" zoomScale="80" zoomScaleNormal="80" workbookViewId="0">
      <selection activeCell="M9" sqref="M9"/>
    </sheetView>
  </sheetViews>
  <sheetFormatPr defaultRowHeight="15" x14ac:dyDescent="0.25"/>
  <cols>
    <col min="1" max="1" width="21.140625" customWidth="1"/>
    <col min="2" max="2" width="10.85546875" customWidth="1"/>
    <col min="3" max="3" width="10.7109375" customWidth="1"/>
    <col min="6" max="6" width="16" customWidth="1"/>
    <col min="7" max="7" width="22.28515625" customWidth="1"/>
    <col min="8" max="10" width="8.28515625" customWidth="1"/>
    <col min="12" max="12" width="20.5703125" customWidth="1"/>
    <col min="13" max="14" width="10.85546875" customWidth="1"/>
    <col min="17" max="17" width="15.7109375" customWidth="1"/>
    <col min="18" max="18" width="24.42578125" customWidth="1"/>
  </cols>
  <sheetData>
    <row r="1" spans="1:21" ht="20.25" x14ac:dyDescent="0.3">
      <c r="A1" s="10" t="s">
        <v>40</v>
      </c>
      <c r="B1" s="11"/>
      <c r="C1" s="11"/>
      <c r="D1" s="11"/>
      <c r="E1" s="11"/>
      <c r="F1" s="11"/>
      <c r="G1" s="11"/>
      <c r="H1" s="11"/>
      <c r="I1" s="11"/>
      <c r="J1" s="11"/>
      <c r="L1" s="16" t="s">
        <v>41</v>
      </c>
      <c r="M1" s="17"/>
      <c r="N1" s="17"/>
      <c r="O1" s="17"/>
      <c r="P1" s="17"/>
      <c r="Q1" s="17"/>
      <c r="R1" s="17"/>
      <c r="S1" s="18"/>
      <c r="T1" s="18"/>
      <c r="U1" s="18"/>
    </row>
    <row r="2" spans="1:21" x14ac:dyDescent="0.25">
      <c r="A2" s="11"/>
      <c r="B2" s="11"/>
      <c r="C2" s="11"/>
      <c r="D2" s="11"/>
      <c r="E2" s="11"/>
      <c r="F2" s="11"/>
      <c r="G2" s="11"/>
      <c r="H2" s="11"/>
      <c r="I2" s="11"/>
      <c r="J2" s="11"/>
      <c r="L2" s="17"/>
      <c r="M2" s="17"/>
      <c r="N2" s="17"/>
      <c r="O2" s="17"/>
      <c r="P2" s="17"/>
      <c r="Q2" s="17"/>
      <c r="R2" s="17"/>
      <c r="S2" s="18"/>
      <c r="T2" s="18"/>
      <c r="U2" s="18"/>
    </row>
    <row r="3" spans="1:21" x14ac:dyDescent="0.25">
      <c r="A3" s="11" t="s">
        <v>19</v>
      </c>
      <c r="B3" s="21">
        <v>110</v>
      </c>
      <c r="C3" s="11" t="s">
        <v>17</v>
      </c>
      <c r="D3" s="11"/>
      <c r="E3" s="11" t="s">
        <v>34</v>
      </c>
      <c r="F3" s="11"/>
      <c r="G3" s="12">
        <v>100</v>
      </c>
      <c r="H3" s="11" t="s">
        <v>17</v>
      </c>
      <c r="I3" s="11"/>
      <c r="J3" s="11"/>
      <c r="L3" s="17" t="s">
        <v>19</v>
      </c>
      <c r="M3" s="283">
        <v>110</v>
      </c>
      <c r="N3" s="17" t="s">
        <v>17</v>
      </c>
      <c r="O3" s="17"/>
      <c r="P3" s="17" t="s">
        <v>34</v>
      </c>
      <c r="Q3" s="17"/>
      <c r="R3" s="284">
        <v>100</v>
      </c>
      <c r="S3" s="17" t="s">
        <v>17</v>
      </c>
      <c r="T3" s="17"/>
      <c r="U3" s="17"/>
    </row>
    <row r="4" spans="1:21" x14ac:dyDescent="0.25">
      <c r="A4" s="11"/>
      <c r="B4" s="21">
        <v>20.7</v>
      </c>
      <c r="C4" s="11" t="s">
        <v>18</v>
      </c>
      <c r="D4" s="11"/>
      <c r="E4" s="11" t="s">
        <v>35</v>
      </c>
      <c r="F4" s="11"/>
      <c r="G4" s="12">
        <v>75</v>
      </c>
      <c r="H4" s="11" t="s">
        <v>17</v>
      </c>
      <c r="I4" s="11"/>
      <c r="J4" s="11"/>
      <c r="L4" s="17"/>
      <c r="M4" s="283">
        <v>20.7</v>
      </c>
      <c r="N4" s="17" t="s">
        <v>18</v>
      </c>
      <c r="O4" s="17"/>
      <c r="P4" s="17" t="s">
        <v>35</v>
      </c>
      <c r="Q4" s="17"/>
      <c r="R4" s="284">
        <v>75</v>
      </c>
      <c r="S4" s="17" t="s">
        <v>17</v>
      </c>
      <c r="T4" s="17"/>
      <c r="U4" s="17"/>
    </row>
    <row r="5" spans="1:21" x14ac:dyDescent="0.25">
      <c r="A5" s="11" t="s">
        <v>236</v>
      </c>
      <c r="B5" s="21">
        <v>100</v>
      </c>
      <c r="C5" s="21" t="s">
        <v>237</v>
      </c>
      <c r="D5" s="11"/>
      <c r="E5" s="11" t="s">
        <v>36</v>
      </c>
      <c r="F5" s="11"/>
      <c r="G5" s="12">
        <v>180</v>
      </c>
      <c r="H5" s="11" t="s">
        <v>17</v>
      </c>
      <c r="I5" s="11"/>
      <c r="J5" s="11"/>
      <c r="L5" s="17" t="s">
        <v>236</v>
      </c>
      <c r="M5" s="283">
        <v>100</v>
      </c>
      <c r="N5" s="22" t="s">
        <v>237</v>
      </c>
      <c r="O5" s="17"/>
      <c r="P5" s="17" t="s">
        <v>36</v>
      </c>
      <c r="Q5" s="17"/>
      <c r="R5" s="284">
        <v>180</v>
      </c>
      <c r="S5" s="17" t="s">
        <v>17</v>
      </c>
      <c r="T5" s="17"/>
      <c r="U5" s="17"/>
    </row>
    <row r="6" spans="1:21" x14ac:dyDescent="0.25">
      <c r="A6" s="11"/>
      <c r="B6" s="21"/>
      <c r="C6" s="21"/>
      <c r="D6" s="11"/>
      <c r="E6" s="11"/>
      <c r="F6" s="11"/>
      <c r="G6" s="11"/>
      <c r="H6" s="11"/>
      <c r="I6" s="11"/>
      <c r="J6" s="11"/>
      <c r="L6" s="17"/>
      <c r="M6" s="22"/>
      <c r="N6" s="22"/>
      <c r="O6" s="17"/>
      <c r="P6" s="17"/>
      <c r="Q6" s="17"/>
      <c r="R6" s="17"/>
      <c r="S6" s="18"/>
      <c r="T6" s="18"/>
      <c r="U6" s="18"/>
    </row>
    <row r="7" spans="1:21" x14ac:dyDescent="0.25">
      <c r="A7" s="11"/>
      <c r="B7" s="23" t="s">
        <v>20</v>
      </c>
      <c r="C7" s="23" t="s">
        <v>21</v>
      </c>
      <c r="D7" s="11"/>
      <c r="E7" s="11"/>
      <c r="F7" s="11"/>
      <c r="G7" s="11"/>
      <c r="H7" s="11"/>
      <c r="I7" s="11"/>
      <c r="J7" s="11"/>
      <c r="L7" s="17"/>
      <c r="M7" s="24" t="s">
        <v>20</v>
      </c>
      <c r="N7" s="24" t="s">
        <v>21</v>
      </c>
      <c r="O7" s="17"/>
      <c r="P7" s="17"/>
      <c r="Q7" s="17"/>
      <c r="R7" s="17"/>
      <c r="S7" s="18"/>
      <c r="T7" s="18"/>
      <c r="U7" s="18"/>
    </row>
    <row r="8" spans="1:21" ht="16.5" x14ac:dyDescent="0.3">
      <c r="A8" s="11" t="s">
        <v>42</v>
      </c>
      <c r="B8" s="21">
        <v>60.65</v>
      </c>
      <c r="C8" s="13">
        <f>B5*2240/24/32.065</f>
        <v>291.07541972035972</v>
      </c>
      <c r="D8" s="11"/>
      <c r="E8" s="11" t="s">
        <v>37</v>
      </c>
      <c r="F8" s="11"/>
      <c r="G8" s="12">
        <v>2.9700000000000001E-2</v>
      </c>
      <c r="H8" s="11" t="s">
        <v>244</v>
      </c>
      <c r="I8" s="11"/>
      <c r="J8" s="11"/>
      <c r="L8" s="17" t="s">
        <v>42</v>
      </c>
      <c r="M8" s="283">
        <v>60.65</v>
      </c>
      <c r="N8" s="286">
        <f>M5*2240/24/32.065</f>
        <v>291.07541972035972</v>
      </c>
      <c r="O8" s="17"/>
      <c r="P8" s="17" t="s">
        <v>37</v>
      </c>
      <c r="Q8" s="17"/>
      <c r="R8" s="284">
        <v>2.9700000000000001E-2</v>
      </c>
      <c r="S8" s="18" t="s">
        <v>244</v>
      </c>
      <c r="T8" s="18"/>
      <c r="U8" s="18"/>
    </row>
    <row r="9" spans="1:21" ht="16.5" x14ac:dyDescent="0.3">
      <c r="A9" s="11" t="s">
        <v>43</v>
      </c>
      <c r="B9" s="21">
        <v>32.17</v>
      </c>
      <c r="C9" s="13">
        <f>C12*B9/100</f>
        <v>154.39235370822706</v>
      </c>
      <c r="D9" s="11"/>
      <c r="E9" s="11" t="s">
        <v>317</v>
      </c>
      <c r="F9" s="11"/>
      <c r="G9" s="14" t="s">
        <v>39</v>
      </c>
      <c r="H9" s="11"/>
      <c r="I9" s="11"/>
      <c r="J9" s="11"/>
      <c r="L9" s="17" t="s">
        <v>43</v>
      </c>
      <c r="M9" s="283">
        <v>32.17</v>
      </c>
      <c r="N9" s="286">
        <f>N12*M9/100</f>
        <v>154.39235370822706</v>
      </c>
      <c r="O9" s="17"/>
      <c r="P9" s="17" t="s">
        <v>38</v>
      </c>
      <c r="Q9" s="17"/>
      <c r="R9" s="20" t="s">
        <v>39</v>
      </c>
      <c r="S9" s="18"/>
      <c r="T9" s="18"/>
      <c r="U9" s="18"/>
    </row>
    <row r="10" spans="1:21" ht="16.5" x14ac:dyDescent="0.3">
      <c r="A10" s="11" t="s">
        <v>44</v>
      </c>
      <c r="B10" s="21">
        <v>6.2</v>
      </c>
      <c r="C10" s="13">
        <f>C12*B10/100</f>
        <v>29.755442741405282</v>
      </c>
      <c r="D10" s="11"/>
      <c r="E10" s="11"/>
      <c r="F10" s="11"/>
      <c r="G10" s="11"/>
      <c r="H10" s="11"/>
      <c r="I10" s="11"/>
      <c r="J10" s="11"/>
      <c r="L10" s="17" t="s">
        <v>44</v>
      </c>
      <c r="M10" s="283">
        <v>6.2</v>
      </c>
      <c r="N10" s="286">
        <f>N12*M10/100</f>
        <v>29.755442741405282</v>
      </c>
      <c r="O10" s="17"/>
      <c r="P10" s="17"/>
      <c r="Q10" s="17"/>
      <c r="R10" s="17"/>
      <c r="S10" s="18"/>
      <c r="T10" s="18"/>
      <c r="U10" s="18"/>
    </row>
    <row r="11" spans="1:21" ht="16.5" x14ac:dyDescent="0.3">
      <c r="A11" s="11" t="s">
        <v>45</v>
      </c>
      <c r="B11" s="23">
        <v>0.98</v>
      </c>
      <c r="C11" s="15">
        <f>C12*B11/100</f>
        <v>4.7032796591253501</v>
      </c>
      <c r="D11" s="11"/>
      <c r="E11" s="11"/>
      <c r="F11" s="11"/>
      <c r="G11" s="11"/>
      <c r="H11" s="11"/>
      <c r="I11" s="11"/>
      <c r="J11" s="11"/>
      <c r="L11" s="17" t="s">
        <v>45</v>
      </c>
      <c r="M11" s="285">
        <v>0.98</v>
      </c>
      <c r="N11" s="287">
        <f>N12*M11/100</f>
        <v>4.7032796591253501</v>
      </c>
      <c r="O11" s="17"/>
      <c r="P11" s="17"/>
      <c r="Q11" s="17"/>
      <c r="R11" s="17"/>
      <c r="S11" s="18"/>
      <c r="T11" s="18"/>
      <c r="U11" s="18"/>
    </row>
    <row r="12" spans="1:21" x14ac:dyDescent="0.25">
      <c r="A12" s="11"/>
      <c r="B12" s="13">
        <f>SUM(B8:B11)</f>
        <v>100</v>
      </c>
      <c r="C12" s="13">
        <f>C8/B8*100</f>
        <v>479.92649582911741</v>
      </c>
      <c r="D12" s="11"/>
      <c r="E12" s="11"/>
      <c r="F12" s="11"/>
      <c r="G12" s="11"/>
      <c r="H12" s="11"/>
      <c r="I12" s="11"/>
      <c r="J12" s="11"/>
      <c r="L12" s="17"/>
      <c r="M12" s="19">
        <f>SUM(M8:M11)</f>
        <v>100</v>
      </c>
      <c r="N12" s="19">
        <f>N8/M8*100</f>
        <v>479.92649582911741</v>
      </c>
      <c r="O12" s="17"/>
      <c r="P12" s="17"/>
      <c r="Q12" s="17"/>
      <c r="R12" s="17"/>
      <c r="S12" s="18"/>
      <c r="T12" s="18"/>
      <c r="U12" s="18"/>
    </row>
    <row r="13" spans="1:21" x14ac:dyDescent="0.25">
      <c r="A13" s="11"/>
      <c r="B13" s="11"/>
      <c r="C13" s="11"/>
      <c r="D13" s="11"/>
      <c r="E13" s="11"/>
      <c r="F13" s="11"/>
      <c r="G13" s="11"/>
      <c r="H13" s="11"/>
      <c r="I13" s="11"/>
      <c r="J13" s="11"/>
      <c r="L13" s="17"/>
      <c r="M13" s="17"/>
      <c r="N13" s="17"/>
      <c r="O13" s="17"/>
      <c r="P13" s="17"/>
      <c r="Q13" s="17"/>
      <c r="R13" s="17"/>
      <c r="S13" s="18"/>
      <c r="T13" s="18"/>
      <c r="U13" s="18"/>
    </row>
    <row r="16" spans="1:21" x14ac:dyDescent="0.25">
      <c r="A16" s="9" t="s">
        <v>327</v>
      </c>
    </row>
    <row r="17" spans="1:18" x14ac:dyDescent="0.25">
      <c r="A17" s="9" t="s">
        <v>328</v>
      </c>
    </row>
    <row r="18" spans="1:18" x14ac:dyDescent="0.25">
      <c r="A18" s="9" t="s">
        <v>329</v>
      </c>
    </row>
    <row r="19" spans="1:18" x14ac:dyDescent="0.25">
      <c r="A19" s="9" t="s">
        <v>330</v>
      </c>
    </row>
    <row r="20" spans="1:18" x14ac:dyDescent="0.25">
      <c r="A20" s="9" t="s">
        <v>331</v>
      </c>
    </row>
    <row r="25" spans="1:18" x14ac:dyDescent="0.25">
      <c r="R25" s="59"/>
    </row>
  </sheetData>
  <sheetProtection password="F030" sheet="1" objects="1" scenarios="1"/>
  <phoneticPr fontId="21" type="noConversion"/>
  <pageMargins left="0.7" right="0.7" top="0.75" bottom="0.75" header="0.3" footer="0.3"/>
  <pageSetup orientation="portrait" r:id="rId1"/>
  <ignoredErrors>
    <ignoredError sqref="N8:N1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8"/>
  <sheetViews>
    <sheetView topLeftCell="H1" zoomScale="80" zoomScaleNormal="80" workbookViewId="0">
      <selection activeCell="O24" sqref="O24"/>
    </sheetView>
  </sheetViews>
  <sheetFormatPr defaultRowHeight="15" x14ac:dyDescent="0.25"/>
  <cols>
    <col min="1" max="1" width="22.85546875" style="72" customWidth="1"/>
    <col min="2" max="2" width="11.7109375" style="72" customWidth="1"/>
    <col min="3" max="3" width="15.42578125" style="72" customWidth="1"/>
    <col min="4" max="4" width="15.140625" style="72" customWidth="1"/>
    <col min="5" max="5" width="14.7109375" style="72" customWidth="1"/>
    <col min="6" max="6" width="16.140625" style="72" bestFit="1" customWidth="1"/>
    <col min="7" max="9" width="14.7109375" style="72" customWidth="1"/>
    <col min="10" max="10" width="16.28515625" style="72" customWidth="1"/>
    <col min="11" max="11" width="9.140625" style="72"/>
    <col min="12" max="12" width="22.85546875" style="72" customWidth="1"/>
    <col min="13" max="13" width="11.85546875" style="72" customWidth="1"/>
    <col min="14" max="14" width="15.42578125" style="72" customWidth="1"/>
    <col min="15" max="15" width="15.28515625" style="72" customWidth="1"/>
    <col min="16" max="16" width="14.7109375" style="72" customWidth="1"/>
    <col min="17" max="17" width="16.140625" style="72" customWidth="1"/>
    <col min="18" max="20" width="14.7109375" style="72" customWidth="1"/>
    <col min="21" max="21" width="16.42578125" style="72" customWidth="1"/>
    <col min="22" max="16384" width="9.140625" style="72"/>
  </cols>
  <sheetData>
    <row r="1" spans="1:21" ht="20.25" x14ac:dyDescent="0.3">
      <c r="A1" s="65" t="s">
        <v>22</v>
      </c>
      <c r="B1" s="66"/>
      <c r="C1" s="66"/>
      <c r="D1" s="67"/>
      <c r="E1" s="67"/>
      <c r="F1" s="67"/>
      <c r="G1" s="67"/>
      <c r="H1" s="67"/>
      <c r="I1" s="67"/>
      <c r="J1" s="67"/>
      <c r="K1" s="68"/>
      <c r="L1" s="69" t="s">
        <v>22</v>
      </c>
      <c r="M1" s="70"/>
      <c r="N1" s="70"/>
      <c r="O1" s="71"/>
      <c r="P1" s="71"/>
      <c r="Q1" s="71"/>
      <c r="R1" s="71"/>
      <c r="S1" s="71"/>
      <c r="T1" s="71"/>
      <c r="U1" s="71"/>
    </row>
    <row r="2" spans="1:21" x14ac:dyDescent="0.25">
      <c r="A2" s="67"/>
      <c r="B2" s="66"/>
      <c r="C2" s="66"/>
      <c r="D2" s="67"/>
      <c r="E2" s="67"/>
      <c r="F2" s="67"/>
      <c r="G2" s="67"/>
      <c r="H2" s="67"/>
      <c r="I2" s="67"/>
      <c r="J2" s="67"/>
      <c r="K2" s="68"/>
      <c r="L2" s="71"/>
      <c r="M2" s="70"/>
      <c r="N2" s="70"/>
      <c r="O2" s="71"/>
      <c r="P2" s="71"/>
      <c r="Q2" s="71"/>
      <c r="R2" s="71"/>
      <c r="S2" s="71"/>
      <c r="T2" s="71"/>
      <c r="U2" s="71"/>
    </row>
    <row r="3" spans="1:21" ht="16.5" x14ac:dyDescent="0.3">
      <c r="A3" s="67" t="s">
        <v>46</v>
      </c>
      <c r="B3" s="66"/>
      <c r="C3" s="66"/>
      <c r="D3" s="67"/>
      <c r="E3" s="67"/>
      <c r="F3" s="67"/>
      <c r="G3" s="67"/>
      <c r="H3" s="67"/>
      <c r="I3" s="67"/>
      <c r="J3" s="67"/>
      <c r="K3" s="68"/>
      <c r="L3" s="71" t="s">
        <v>46</v>
      </c>
      <c r="M3" s="70"/>
      <c r="N3" s="70"/>
      <c r="O3" s="71"/>
      <c r="P3" s="71"/>
      <c r="Q3" s="71"/>
      <c r="R3" s="71"/>
      <c r="S3" s="71"/>
      <c r="T3" s="71"/>
      <c r="U3" s="71"/>
    </row>
    <row r="4" spans="1:21" x14ac:dyDescent="0.25">
      <c r="A4" s="67"/>
      <c r="B4" s="66"/>
      <c r="C4" s="66"/>
      <c r="D4" s="67"/>
      <c r="E4" s="67"/>
      <c r="F4" s="67"/>
      <c r="G4" s="67"/>
      <c r="H4" s="67"/>
      <c r="I4" s="67"/>
      <c r="J4" s="67"/>
      <c r="K4" s="68"/>
      <c r="L4" s="71"/>
      <c r="M4" s="70"/>
      <c r="N4" s="70"/>
      <c r="O4" s="71"/>
      <c r="P4" s="71"/>
      <c r="Q4" s="71"/>
      <c r="R4" s="71"/>
      <c r="S4" s="71"/>
      <c r="T4" s="71"/>
      <c r="U4" s="71"/>
    </row>
    <row r="5" spans="1:21" ht="16.5" x14ac:dyDescent="0.3">
      <c r="A5" s="67" t="s">
        <v>47</v>
      </c>
      <c r="B5" s="66"/>
      <c r="C5" s="67"/>
      <c r="D5" s="67"/>
      <c r="E5" s="67"/>
      <c r="F5" s="67"/>
      <c r="G5" s="66" t="s">
        <v>23</v>
      </c>
      <c r="H5" s="66"/>
      <c r="I5" s="66"/>
      <c r="J5" s="66"/>
      <c r="K5" s="68"/>
      <c r="L5" s="71" t="s">
        <v>47</v>
      </c>
      <c r="M5" s="70"/>
      <c r="N5" s="71"/>
      <c r="O5" s="71"/>
      <c r="P5" s="71"/>
      <c r="Q5" s="71"/>
      <c r="R5" s="70" t="s">
        <v>23</v>
      </c>
      <c r="S5" s="70"/>
      <c r="T5" s="70"/>
      <c r="U5" s="70"/>
    </row>
    <row r="6" spans="1:21" x14ac:dyDescent="0.25">
      <c r="A6" s="67"/>
      <c r="B6" s="67" t="s">
        <v>240</v>
      </c>
      <c r="C6" s="66" t="s">
        <v>1</v>
      </c>
      <c r="D6" s="73">
        <v>-222700</v>
      </c>
      <c r="E6" s="67" t="s">
        <v>84</v>
      </c>
      <c r="F6" s="67"/>
      <c r="G6" s="67"/>
      <c r="H6" s="67"/>
      <c r="I6" s="67"/>
      <c r="J6" s="67"/>
      <c r="K6" s="68"/>
      <c r="L6" s="71"/>
      <c r="M6" s="71" t="s">
        <v>240</v>
      </c>
      <c r="N6" s="70" t="s">
        <v>1</v>
      </c>
      <c r="O6" s="288">
        <v>-222700</v>
      </c>
      <c r="P6" s="71" t="s">
        <v>84</v>
      </c>
      <c r="Q6" s="71"/>
      <c r="R6" s="71"/>
      <c r="S6" s="71"/>
      <c r="T6" s="71"/>
      <c r="U6" s="71"/>
    </row>
    <row r="7" spans="1:21" ht="16.5" x14ac:dyDescent="0.3">
      <c r="A7" s="67" t="s">
        <v>48</v>
      </c>
      <c r="B7" s="66"/>
      <c r="C7" s="67"/>
      <c r="D7" s="67"/>
      <c r="E7" s="67"/>
      <c r="F7" s="67"/>
      <c r="G7" s="66" t="s">
        <v>24</v>
      </c>
      <c r="H7" s="66"/>
      <c r="I7" s="66"/>
      <c r="J7" s="66"/>
      <c r="K7" s="68"/>
      <c r="L7" s="71" t="s">
        <v>48</v>
      </c>
      <c r="M7" s="70"/>
      <c r="N7" s="71"/>
      <c r="O7" s="71"/>
      <c r="P7" s="71"/>
      <c r="Q7" s="71"/>
      <c r="R7" s="70" t="s">
        <v>24</v>
      </c>
      <c r="S7" s="70"/>
      <c r="T7" s="70"/>
      <c r="U7" s="70"/>
    </row>
    <row r="8" spans="1:21" x14ac:dyDescent="0.25">
      <c r="A8" s="67"/>
      <c r="B8" s="67" t="s">
        <v>240</v>
      </c>
      <c r="C8" s="66" t="s">
        <v>1</v>
      </c>
      <c r="D8" s="73">
        <v>-345170</v>
      </c>
      <c r="E8" s="67" t="s">
        <v>84</v>
      </c>
      <c r="F8" s="67"/>
      <c r="G8" s="67"/>
      <c r="H8" s="67"/>
      <c r="I8" s="67"/>
      <c r="J8" s="67"/>
      <c r="K8" s="68"/>
      <c r="L8" s="71"/>
      <c r="M8" s="71" t="s">
        <v>240</v>
      </c>
      <c r="N8" s="70" t="s">
        <v>1</v>
      </c>
      <c r="O8" s="288">
        <v>-345170</v>
      </c>
      <c r="P8" s="71" t="s">
        <v>84</v>
      </c>
      <c r="Q8" s="71"/>
      <c r="R8" s="71"/>
      <c r="S8" s="71"/>
      <c r="T8" s="71"/>
      <c r="U8" s="71"/>
    </row>
    <row r="9" spans="1:21" x14ac:dyDescent="0.25">
      <c r="A9" s="67"/>
      <c r="B9" s="66"/>
      <c r="C9" s="66"/>
      <c r="D9" s="67"/>
      <c r="E9" s="67"/>
      <c r="F9" s="67"/>
      <c r="G9" s="67"/>
      <c r="H9" s="67"/>
      <c r="I9" s="67"/>
      <c r="J9" s="67"/>
      <c r="K9" s="68"/>
      <c r="L9" s="71"/>
      <c r="M9" s="70"/>
      <c r="N9" s="70"/>
      <c r="O9" s="71"/>
      <c r="P9" s="71"/>
      <c r="Q9" s="71"/>
      <c r="R9" s="71"/>
      <c r="S9" s="71"/>
      <c r="T9" s="71"/>
      <c r="U9" s="71"/>
    </row>
    <row r="10" spans="1:21" x14ac:dyDescent="0.25">
      <c r="A10" s="67" t="s">
        <v>25</v>
      </c>
      <c r="B10" s="66"/>
      <c r="C10" s="66"/>
      <c r="D10" s="67"/>
      <c r="E10" s="67"/>
      <c r="F10" s="67"/>
      <c r="G10" s="67"/>
      <c r="H10" s="67"/>
      <c r="I10" s="67"/>
      <c r="J10" s="67"/>
      <c r="K10" s="68"/>
      <c r="L10" s="71" t="s">
        <v>25</v>
      </c>
      <c r="M10" s="70"/>
      <c r="N10" s="70"/>
      <c r="O10" s="71"/>
      <c r="P10" s="71"/>
      <c r="Q10" s="71"/>
      <c r="R10" s="71"/>
      <c r="S10" s="71"/>
      <c r="T10" s="71"/>
      <c r="U10" s="71"/>
    </row>
    <row r="11" spans="1:21" ht="16.5" x14ac:dyDescent="0.3">
      <c r="A11" s="67" t="s">
        <v>49</v>
      </c>
      <c r="B11" s="66"/>
      <c r="C11" s="66"/>
      <c r="D11" s="67"/>
      <c r="E11" s="67"/>
      <c r="F11" s="67"/>
      <c r="G11" s="67"/>
      <c r="H11" s="67"/>
      <c r="I11" s="67"/>
      <c r="J11" s="67"/>
      <c r="K11" s="68"/>
      <c r="L11" s="71" t="s">
        <v>49</v>
      </c>
      <c r="M11" s="70"/>
      <c r="N11" s="70"/>
      <c r="O11" s="71"/>
      <c r="P11" s="71"/>
      <c r="Q11" s="71"/>
      <c r="R11" s="71"/>
      <c r="S11" s="71"/>
      <c r="T11" s="71"/>
      <c r="U11" s="71"/>
    </row>
    <row r="12" spans="1:21" ht="16.5" x14ac:dyDescent="0.3">
      <c r="A12" s="75" t="s">
        <v>126</v>
      </c>
      <c r="B12" s="66" t="s">
        <v>1</v>
      </c>
      <c r="C12" s="76">
        <f>(1/3)*(3/2)*'Example 22-1 Conditions'!C8</f>
        <v>145.53770986017986</v>
      </c>
      <c r="D12" s="67" t="s">
        <v>124</v>
      </c>
      <c r="E12" s="67"/>
      <c r="F12" s="67"/>
      <c r="G12" s="67"/>
      <c r="H12" s="67"/>
      <c r="I12" s="67"/>
      <c r="J12" s="67"/>
      <c r="K12" s="68"/>
      <c r="L12" s="77" t="s">
        <v>126</v>
      </c>
      <c r="M12" s="70" t="s">
        <v>1</v>
      </c>
      <c r="N12" s="78">
        <f>(1/3)*(3/2)*'Example 22-1 Conditions'!N8</f>
        <v>145.53770986017986</v>
      </c>
      <c r="O12" s="71" t="s">
        <v>124</v>
      </c>
      <c r="P12" s="71"/>
      <c r="Q12" s="71"/>
      <c r="R12" s="71"/>
      <c r="S12" s="71"/>
      <c r="T12" s="71"/>
      <c r="U12" s="71"/>
    </row>
    <row r="13" spans="1:21" ht="16.5" x14ac:dyDescent="0.3">
      <c r="A13" s="67" t="s">
        <v>45</v>
      </c>
      <c r="B13" s="66"/>
      <c r="C13" s="76"/>
      <c r="D13" s="67"/>
      <c r="E13" s="67"/>
      <c r="F13" s="67"/>
      <c r="G13" s="67"/>
      <c r="H13" s="67"/>
      <c r="I13" s="67"/>
      <c r="J13" s="67"/>
      <c r="K13" s="68"/>
      <c r="L13" s="71" t="s">
        <v>45</v>
      </c>
      <c r="M13" s="70"/>
      <c r="N13" s="78"/>
      <c r="O13" s="71"/>
      <c r="P13" s="71"/>
      <c r="Q13" s="71"/>
      <c r="R13" s="71"/>
      <c r="S13" s="71"/>
      <c r="T13" s="71"/>
      <c r="U13" s="71"/>
    </row>
    <row r="14" spans="1:21" ht="16.5" x14ac:dyDescent="0.3">
      <c r="A14" s="75" t="s">
        <v>125</v>
      </c>
      <c r="B14" s="66" t="s">
        <v>1</v>
      </c>
      <c r="C14" s="79">
        <f>2*'Example 22-1 Conditions'!C11</f>
        <v>9.4065593182507001</v>
      </c>
      <c r="D14" s="80" t="s">
        <v>124</v>
      </c>
      <c r="E14" s="67"/>
      <c r="F14" s="67"/>
      <c r="G14" s="67"/>
      <c r="H14" s="67"/>
      <c r="I14" s="67"/>
      <c r="J14" s="67"/>
      <c r="K14" s="68"/>
      <c r="L14" s="77" t="s">
        <v>125</v>
      </c>
      <c r="M14" s="70" t="s">
        <v>1</v>
      </c>
      <c r="N14" s="81">
        <f>2*'Example 22-1 Conditions'!N11</f>
        <v>9.4065593182507001</v>
      </c>
      <c r="O14" s="82" t="s">
        <v>124</v>
      </c>
      <c r="P14" s="71"/>
      <c r="Q14" s="71"/>
      <c r="R14" s="71"/>
      <c r="S14" s="71"/>
      <c r="T14" s="71"/>
      <c r="U14" s="71"/>
    </row>
    <row r="15" spans="1:21" ht="16.5" x14ac:dyDescent="0.3">
      <c r="A15" s="67" t="s">
        <v>288</v>
      </c>
      <c r="B15" s="66"/>
      <c r="C15" s="76">
        <f>SUM(C12:C14)</f>
        <v>154.94426917843055</v>
      </c>
      <c r="D15" s="67" t="s">
        <v>124</v>
      </c>
      <c r="E15" s="67"/>
      <c r="F15" s="67"/>
      <c r="G15" s="67"/>
      <c r="H15" s="67"/>
      <c r="I15" s="67"/>
      <c r="J15" s="67"/>
      <c r="K15" s="68"/>
      <c r="L15" s="71" t="s">
        <v>288</v>
      </c>
      <c r="M15" s="70"/>
      <c r="N15" s="78">
        <f>SUM(N12:N14)</f>
        <v>154.94426917843055</v>
      </c>
      <c r="O15" s="71" t="s">
        <v>124</v>
      </c>
      <c r="P15" s="71"/>
      <c r="Q15" s="71"/>
      <c r="R15" s="71"/>
      <c r="S15" s="71"/>
      <c r="T15" s="71"/>
      <c r="U15" s="71"/>
    </row>
    <row r="16" spans="1:21" x14ac:dyDescent="0.25">
      <c r="A16" s="67"/>
      <c r="B16" s="66"/>
      <c r="C16" s="66"/>
      <c r="D16" s="67"/>
      <c r="E16" s="67"/>
      <c r="F16" s="67"/>
      <c r="G16" s="67"/>
      <c r="H16" s="67"/>
      <c r="I16" s="67"/>
      <c r="J16" s="67"/>
      <c r="K16" s="68"/>
      <c r="L16" s="71"/>
      <c r="M16" s="70"/>
      <c r="N16" s="70"/>
      <c r="O16" s="71"/>
      <c r="P16" s="71"/>
      <c r="Q16" s="71"/>
      <c r="R16" s="71"/>
      <c r="S16" s="71"/>
      <c r="T16" s="71"/>
      <c r="U16" s="71"/>
    </row>
    <row r="17" spans="1:21" ht="16.5" x14ac:dyDescent="0.3">
      <c r="A17" s="67" t="s">
        <v>239</v>
      </c>
      <c r="B17" s="66"/>
      <c r="C17" s="66"/>
      <c r="D17" s="67"/>
      <c r="E17" s="67"/>
      <c r="F17" s="67"/>
      <c r="G17" s="67"/>
      <c r="H17" s="67"/>
      <c r="I17" s="67"/>
      <c r="J17" s="67"/>
      <c r="K17" s="68"/>
      <c r="L17" s="71" t="s">
        <v>26</v>
      </c>
      <c r="M17" s="70"/>
      <c r="N17" s="70"/>
      <c r="O17" s="71"/>
      <c r="P17" s="71"/>
      <c r="Q17" s="71"/>
      <c r="R17" s="71"/>
      <c r="S17" s="71"/>
      <c r="T17" s="71"/>
      <c r="U17" s="71"/>
    </row>
    <row r="18" spans="1:21" ht="16.5" x14ac:dyDescent="0.3">
      <c r="A18" s="67" t="s">
        <v>50</v>
      </c>
      <c r="B18" s="66"/>
      <c r="C18" s="66"/>
      <c r="D18" s="67"/>
      <c r="E18" s="67"/>
      <c r="F18" s="67"/>
      <c r="G18" s="66" t="s">
        <v>28</v>
      </c>
      <c r="H18" s="66"/>
      <c r="I18" s="66"/>
      <c r="J18" s="66"/>
      <c r="K18" s="68"/>
      <c r="L18" s="71" t="s">
        <v>50</v>
      </c>
      <c r="M18" s="70"/>
      <c r="N18" s="70"/>
      <c r="O18" s="71"/>
      <c r="P18" s="71"/>
      <c r="Q18" s="71"/>
      <c r="R18" s="70" t="s">
        <v>28</v>
      </c>
      <c r="S18" s="70"/>
      <c r="T18" s="70"/>
      <c r="U18" s="70"/>
    </row>
    <row r="19" spans="1:21" x14ac:dyDescent="0.25">
      <c r="A19" s="67" t="s">
        <v>27</v>
      </c>
      <c r="B19" s="66"/>
      <c r="C19" s="66"/>
      <c r="D19" s="67"/>
      <c r="E19" s="67"/>
      <c r="F19" s="67"/>
      <c r="G19" s="67"/>
      <c r="H19" s="67"/>
      <c r="I19" s="67"/>
      <c r="J19" s="67"/>
      <c r="K19" s="68"/>
      <c r="L19" s="71" t="s">
        <v>27</v>
      </c>
      <c r="M19" s="70"/>
      <c r="N19" s="70"/>
      <c r="O19" s="71"/>
      <c r="P19" s="71"/>
      <c r="Q19" s="71"/>
      <c r="R19" s="71"/>
      <c r="S19" s="71"/>
      <c r="T19" s="71"/>
      <c r="U19" s="71"/>
    </row>
    <row r="20" spans="1:21" x14ac:dyDescent="0.25">
      <c r="A20" s="67"/>
      <c r="B20" s="67" t="s">
        <v>241</v>
      </c>
      <c r="C20" s="66" t="s">
        <v>1</v>
      </c>
      <c r="D20" s="83">
        <v>20230</v>
      </c>
      <c r="E20" s="67" t="s">
        <v>84</v>
      </c>
      <c r="F20" s="67"/>
      <c r="G20" s="67"/>
      <c r="H20" s="67"/>
      <c r="I20" s="67"/>
      <c r="J20" s="67"/>
      <c r="K20" s="68"/>
      <c r="L20" s="71"/>
      <c r="M20" s="71" t="s">
        <v>241</v>
      </c>
      <c r="N20" s="70" t="s">
        <v>1</v>
      </c>
      <c r="O20" s="288">
        <v>20230</v>
      </c>
      <c r="P20" s="71" t="s">
        <v>84</v>
      </c>
      <c r="Q20" s="71"/>
      <c r="R20" s="71"/>
      <c r="S20" s="71"/>
      <c r="T20" s="71"/>
      <c r="U20" s="71"/>
    </row>
    <row r="21" spans="1:21" x14ac:dyDescent="0.25">
      <c r="A21" s="67"/>
      <c r="B21" s="66"/>
      <c r="C21" s="66"/>
      <c r="D21" s="67"/>
      <c r="E21" s="67"/>
      <c r="F21" s="67"/>
      <c r="G21" s="67"/>
      <c r="H21" s="67"/>
      <c r="I21" s="67"/>
      <c r="J21" s="67"/>
      <c r="K21" s="68"/>
      <c r="L21" s="71"/>
      <c r="M21" s="70"/>
      <c r="N21" s="70"/>
      <c r="O21" s="71"/>
      <c r="P21" s="71"/>
      <c r="Q21" s="71"/>
      <c r="R21" s="71"/>
      <c r="S21" s="71"/>
      <c r="T21" s="71"/>
      <c r="U21" s="71"/>
    </row>
    <row r="22" spans="1:21" x14ac:dyDescent="0.25">
      <c r="A22" s="67" t="s">
        <v>29</v>
      </c>
      <c r="B22" s="66"/>
      <c r="C22" s="66"/>
      <c r="D22" s="67"/>
      <c r="E22" s="67"/>
      <c r="F22" s="67"/>
      <c r="G22" s="67"/>
      <c r="H22" s="67"/>
      <c r="I22" s="67"/>
      <c r="J22" s="67"/>
      <c r="K22" s="68"/>
      <c r="L22" s="71" t="s">
        <v>29</v>
      </c>
      <c r="M22" s="70"/>
      <c r="N22" s="70"/>
      <c r="O22" s="71"/>
      <c r="P22" s="71"/>
      <c r="Q22" s="71"/>
      <c r="R22" s="71"/>
      <c r="S22" s="71"/>
      <c r="T22" s="71"/>
      <c r="U22" s="71"/>
    </row>
    <row r="23" spans="1:21" ht="45" x14ac:dyDescent="0.25">
      <c r="A23" s="67"/>
      <c r="B23" s="84" t="s">
        <v>31</v>
      </c>
      <c r="C23" s="84" t="s">
        <v>30</v>
      </c>
      <c r="D23" s="84" t="s">
        <v>32</v>
      </c>
      <c r="E23" s="85" t="s">
        <v>33</v>
      </c>
      <c r="F23" s="85"/>
      <c r="G23" s="67"/>
      <c r="H23" s="67"/>
      <c r="I23" s="67"/>
      <c r="J23" s="67"/>
      <c r="K23" s="68"/>
      <c r="L23" s="71"/>
      <c r="M23" s="86" t="s">
        <v>31</v>
      </c>
      <c r="N23" s="86" t="s">
        <v>30</v>
      </c>
      <c r="O23" s="86" t="s">
        <v>32</v>
      </c>
      <c r="P23" s="87" t="s">
        <v>33</v>
      </c>
      <c r="Q23" s="87"/>
      <c r="R23" s="71"/>
      <c r="S23" s="71"/>
      <c r="T23" s="71"/>
      <c r="U23" s="71"/>
    </row>
    <row r="24" spans="1:21" ht="16.5" x14ac:dyDescent="0.3">
      <c r="A24" s="67" t="s">
        <v>42</v>
      </c>
      <c r="B24" s="88">
        <f>('Example 22-1 Conditions'!C8)</f>
        <v>291.07541972035972</v>
      </c>
      <c r="C24" s="88"/>
      <c r="D24" s="88">
        <f>((2/3)*'Example 22-1 Conditions'!C8)</f>
        <v>194.05027981357313</v>
      </c>
      <c r="E24" s="89">
        <f>D24</f>
        <v>194.05027981357313</v>
      </c>
      <c r="F24" s="90">
        <v>-1</v>
      </c>
      <c r="G24" s="67" t="s">
        <v>238</v>
      </c>
      <c r="H24" s="67"/>
      <c r="I24" s="67"/>
      <c r="J24" s="67"/>
      <c r="K24" s="68"/>
      <c r="L24" s="71" t="s">
        <v>42</v>
      </c>
      <c r="M24" s="91">
        <f>('Example 22-1 Conditions'!N8)</f>
        <v>291.07541972035972</v>
      </c>
      <c r="N24" s="70"/>
      <c r="O24" s="91">
        <f>((2/3)*'Example 22-1 Conditions'!N8)</f>
        <v>194.05027981357313</v>
      </c>
      <c r="P24" s="92">
        <f>O24</f>
        <v>194.05027981357313</v>
      </c>
      <c r="Q24" s="93" t="s">
        <v>59</v>
      </c>
      <c r="R24" s="71"/>
      <c r="S24" s="71"/>
      <c r="T24" s="71"/>
      <c r="U24" s="71"/>
    </row>
    <row r="25" spans="1:21" ht="16.5" x14ac:dyDescent="0.3">
      <c r="A25" s="67" t="s">
        <v>43</v>
      </c>
      <c r="B25" s="88">
        <f>('Example 22-1 Conditions'!C9)</f>
        <v>154.39235370822706</v>
      </c>
      <c r="C25" s="88"/>
      <c r="D25" s="88">
        <f>(B25+B33)</f>
        <v>159.09563336735241</v>
      </c>
      <c r="E25" s="89">
        <f>D25</f>
        <v>159.09563336735241</v>
      </c>
      <c r="F25" s="67"/>
      <c r="G25" s="67"/>
      <c r="H25" s="67"/>
      <c r="I25" s="67"/>
      <c r="J25" s="67"/>
      <c r="K25" s="68"/>
      <c r="L25" s="71" t="s">
        <v>43</v>
      </c>
      <c r="M25" s="91">
        <f>('Example 22-1 Conditions'!N9)</f>
        <v>154.39235370822706</v>
      </c>
      <c r="N25" s="70"/>
      <c r="O25" s="91">
        <f>(M25+M33)</f>
        <v>159.09563336735241</v>
      </c>
      <c r="P25" s="92">
        <f>O25</f>
        <v>159.09563336735241</v>
      </c>
      <c r="Q25" s="71"/>
      <c r="R25" s="71"/>
      <c r="S25" s="71"/>
      <c r="T25" s="71"/>
      <c r="U25" s="71"/>
    </row>
    <row r="26" spans="1:21" ht="16.5" x14ac:dyDescent="0.3">
      <c r="A26" s="67" t="s">
        <v>44</v>
      </c>
      <c r="B26" s="88">
        <f>('Example 22-1 Conditions'!C10)</f>
        <v>29.755442741405282</v>
      </c>
      <c r="C26" s="88">
        <f>'Example 22-1 Conditions'!G8*(C28 + C29)</f>
        <v>21.905832697005163</v>
      </c>
      <c r="D26" s="88">
        <f>(B26+C26+2*B33+(1/3)*B24)</f>
        <v>158.09297466344771</v>
      </c>
      <c r="E26" s="89">
        <f>D26</f>
        <v>158.09297466344771</v>
      </c>
      <c r="F26" s="90">
        <v>1</v>
      </c>
      <c r="G26" s="67" t="s">
        <v>238</v>
      </c>
      <c r="H26" s="67"/>
      <c r="I26" s="67"/>
      <c r="J26" s="67"/>
      <c r="K26" s="68"/>
      <c r="L26" s="71" t="s">
        <v>44</v>
      </c>
      <c r="M26" s="91">
        <f>('Example 22-1 Conditions'!N10)</f>
        <v>29.755442741405282</v>
      </c>
      <c r="N26" s="91">
        <f>('Example 22-1 Conditions'!R8*(N28 + N29))</f>
        <v>21.905832697005163</v>
      </c>
      <c r="O26" s="91">
        <f>(M26+N26+2*M33+(1/3)*M24)</f>
        <v>158.09297466344771</v>
      </c>
      <c r="P26" s="92">
        <f>O26</f>
        <v>158.09297466344771</v>
      </c>
      <c r="Q26" s="93" t="s">
        <v>58</v>
      </c>
      <c r="R26" s="71"/>
      <c r="S26" s="71"/>
      <c r="T26" s="71"/>
      <c r="U26" s="71"/>
    </row>
    <row r="27" spans="1:21" ht="16.5" x14ac:dyDescent="0.3">
      <c r="A27" s="67" t="s">
        <v>51</v>
      </c>
      <c r="B27" s="88"/>
      <c r="C27" s="88"/>
      <c r="D27" s="88">
        <f>((1/3)*B24)</f>
        <v>97.025139906786563</v>
      </c>
      <c r="E27" s="89">
        <f>D27</f>
        <v>97.025139906786563</v>
      </c>
      <c r="F27" s="90">
        <v>-0.5</v>
      </c>
      <c r="G27" s="67" t="s">
        <v>238</v>
      </c>
      <c r="H27" s="67"/>
      <c r="I27" s="67"/>
      <c r="J27" s="67"/>
      <c r="K27" s="68"/>
      <c r="L27" s="71" t="s">
        <v>51</v>
      </c>
      <c r="M27" s="70"/>
      <c r="N27" s="70"/>
      <c r="O27" s="91">
        <f>((1/3)*M24)</f>
        <v>97.025139906786563</v>
      </c>
      <c r="P27" s="92">
        <f>O27</f>
        <v>97.025139906786563</v>
      </c>
      <c r="Q27" s="93" t="s">
        <v>57</v>
      </c>
      <c r="R27" s="71"/>
      <c r="S27" s="71"/>
      <c r="T27" s="71"/>
      <c r="U27" s="71"/>
    </row>
    <row r="28" spans="1:21" ht="16.5" x14ac:dyDescent="0.3">
      <c r="A28" s="67" t="s">
        <v>52</v>
      </c>
      <c r="B28" s="88"/>
      <c r="C28" s="88">
        <f>((78.993/21.0075)*C29)</f>
        <v>582.62585529985779</v>
      </c>
      <c r="D28" s="88">
        <f>(C28)</f>
        <v>582.62585529985779</v>
      </c>
      <c r="E28" s="89">
        <f>D28</f>
        <v>582.62585529985779</v>
      </c>
      <c r="F28" s="67"/>
      <c r="G28" s="67"/>
      <c r="H28" s="67"/>
      <c r="I28" s="67"/>
      <c r="J28" s="67"/>
      <c r="K28" s="68"/>
      <c r="L28" s="71" t="s">
        <v>52</v>
      </c>
      <c r="M28" s="70"/>
      <c r="N28" s="91">
        <f>((78.993/21.0075)*N29)</f>
        <v>582.62585529985779</v>
      </c>
      <c r="O28" s="91">
        <f>(N28)</f>
        <v>582.62585529985779</v>
      </c>
      <c r="P28" s="92">
        <f>O28</f>
        <v>582.62585529985779</v>
      </c>
      <c r="Q28" s="71"/>
      <c r="R28" s="71"/>
      <c r="S28" s="71"/>
      <c r="T28" s="71"/>
      <c r="U28" s="71"/>
    </row>
    <row r="29" spans="1:21" ht="16.5" x14ac:dyDescent="0.3">
      <c r="A29" s="67" t="s">
        <v>53</v>
      </c>
      <c r="B29" s="88"/>
      <c r="C29" s="88">
        <f>(C15)</f>
        <v>154.94426917843055</v>
      </c>
      <c r="D29" s="88"/>
      <c r="E29" s="89"/>
      <c r="F29" s="90"/>
      <c r="G29" s="67"/>
      <c r="H29" s="67"/>
      <c r="I29" s="67"/>
      <c r="J29" s="67"/>
      <c r="K29" s="68"/>
      <c r="L29" s="71" t="s">
        <v>53</v>
      </c>
      <c r="M29" s="70"/>
      <c r="N29" s="91">
        <f>N15</f>
        <v>154.94426917843055</v>
      </c>
      <c r="O29" s="91"/>
      <c r="P29" s="71"/>
      <c r="Q29" s="93"/>
      <c r="R29" s="71"/>
      <c r="S29" s="71"/>
      <c r="T29" s="71"/>
      <c r="U29" s="71"/>
    </row>
    <row r="30" spans="1:21" ht="16.5" x14ac:dyDescent="0.3">
      <c r="A30" s="67" t="s">
        <v>54</v>
      </c>
      <c r="B30" s="88"/>
      <c r="C30" s="88"/>
      <c r="D30" s="88"/>
      <c r="E30" s="89"/>
      <c r="F30" s="90">
        <v>0.75</v>
      </c>
      <c r="G30" s="67" t="s">
        <v>238</v>
      </c>
      <c r="H30" s="67"/>
      <c r="I30" s="67"/>
      <c r="J30" s="67"/>
      <c r="K30" s="68"/>
      <c r="L30" s="71" t="s">
        <v>54</v>
      </c>
      <c r="M30" s="70"/>
      <c r="N30" s="70"/>
      <c r="O30" s="91"/>
      <c r="P30" s="71"/>
      <c r="Q30" s="93" t="s">
        <v>60</v>
      </c>
      <c r="R30" s="71"/>
      <c r="S30" s="71"/>
      <c r="T30" s="71"/>
      <c r="U30" s="71"/>
    </row>
    <row r="31" spans="1:21" ht="16.5" x14ac:dyDescent="0.3">
      <c r="A31" s="67" t="s">
        <v>55</v>
      </c>
      <c r="B31" s="88"/>
      <c r="C31" s="88"/>
      <c r="D31" s="88"/>
      <c r="E31" s="89"/>
      <c r="F31" s="67"/>
      <c r="G31" s="67"/>
      <c r="H31" s="67"/>
      <c r="I31" s="67"/>
      <c r="J31" s="67"/>
      <c r="K31" s="68"/>
      <c r="L31" s="71" t="s">
        <v>55</v>
      </c>
      <c r="M31" s="70"/>
      <c r="N31" s="70"/>
      <c r="O31" s="91"/>
      <c r="P31" s="71"/>
      <c r="Q31" s="71"/>
      <c r="R31" s="71"/>
      <c r="S31" s="71"/>
      <c r="T31" s="71"/>
      <c r="U31" s="71"/>
    </row>
    <row r="32" spans="1:21" ht="16.5" x14ac:dyDescent="0.3">
      <c r="A32" s="67" t="s">
        <v>56</v>
      </c>
      <c r="B32" s="88"/>
      <c r="C32" s="88"/>
      <c r="D32" s="88"/>
      <c r="E32" s="89"/>
      <c r="F32" s="67"/>
      <c r="G32" s="67"/>
      <c r="H32" s="67"/>
      <c r="I32" s="67"/>
      <c r="J32" s="67"/>
      <c r="K32" s="68"/>
      <c r="L32" s="71" t="s">
        <v>56</v>
      </c>
      <c r="M32" s="70"/>
      <c r="N32" s="70"/>
      <c r="O32" s="91"/>
      <c r="P32" s="71"/>
      <c r="Q32" s="71"/>
      <c r="R32" s="71"/>
      <c r="S32" s="71"/>
      <c r="T32" s="71"/>
      <c r="U32" s="71"/>
    </row>
    <row r="33" spans="1:21" ht="16.5" x14ac:dyDescent="0.3">
      <c r="A33" s="67" t="s">
        <v>45</v>
      </c>
      <c r="B33" s="94">
        <f>'Example 22-1 Conditions'!C11</f>
        <v>4.7032796591253501</v>
      </c>
      <c r="C33" s="94"/>
      <c r="D33" s="94"/>
      <c r="E33" s="95"/>
      <c r="F33" s="80"/>
      <c r="G33" s="67"/>
      <c r="H33" s="67"/>
      <c r="I33" s="67"/>
      <c r="J33" s="67"/>
      <c r="K33" s="68"/>
      <c r="L33" s="71" t="s">
        <v>45</v>
      </c>
      <c r="M33" s="96">
        <f>'Example 22-1 Conditions'!N11</f>
        <v>4.7032796591253501</v>
      </c>
      <c r="N33" s="97"/>
      <c r="O33" s="96"/>
      <c r="P33" s="82"/>
      <c r="Q33" s="82"/>
      <c r="R33" s="71"/>
      <c r="S33" s="71"/>
      <c r="T33" s="71"/>
      <c r="U33" s="71"/>
    </row>
    <row r="34" spans="1:21" x14ac:dyDescent="0.25">
      <c r="A34" s="67"/>
      <c r="B34" s="88">
        <f>SUM(B24:B33)</f>
        <v>479.92649582911741</v>
      </c>
      <c r="C34" s="88">
        <f>SUM(C24:C33)</f>
        <v>759.4759571752935</v>
      </c>
      <c r="D34" s="88">
        <f>SUM(D24:D33)</f>
        <v>1190.8898830510175</v>
      </c>
      <c r="E34" s="76">
        <f>SUM(E24:E33)</f>
        <v>1190.8898830510175</v>
      </c>
      <c r="F34" s="98" t="str">
        <f>CONCATENATE("+ ",SUM(F24:F33))</f>
        <v>+ 0.25</v>
      </c>
      <c r="G34" s="67" t="s">
        <v>238</v>
      </c>
      <c r="H34" s="67"/>
      <c r="I34" s="67"/>
      <c r="J34" s="67"/>
      <c r="K34" s="68"/>
      <c r="L34" s="71"/>
      <c r="M34" s="91">
        <f>SUM(M24:M33)</f>
        <v>479.92649582911741</v>
      </c>
      <c r="N34" s="91">
        <f>SUM(N24:N33)</f>
        <v>759.4759571752935</v>
      </c>
      <c r="O34" s="91">
        <f>SUM(O24:O33)</f>
        <v>1190.8898830510175</v>
      </c>
      <c r="P34" s="78">
        <f>SUM(P24:P33)</f>
        <v>1190.8898830510175</v>
      </c>
      <c r="Q34" s="93" t="s">
        <v>61</v>
      </c>
      <c r="R34" s="71"/>
      <c r="S34" s="71"/>
      <c r="T34" s="71"/>
      <c r="U34" s="71"/>
    </row>
    <row r="35" spans="1:21" x14ac:dyDescent="0.25">
      <c r="A35" s="67"/>
      <c r="B35" s="66"/>
      <c r="C35" s="66"/>
      <c r="D35" s="67"/>
      <c r="E35" s="67"/>
      <c r="F35" s="67"/>
      <c r="G35" s="67"/>
      <c r="H35" s="67"/>
      <c r="I35" s="67"/>
      <c r="J35" s="67"/>
      <c r="K35" s="68"/>
      <c r="L35" s="71"/>
      <c r="M35" s="70"/>
      <c r="N35" s="70"/>
      <c r="O35" s="71"/>
      <c r="P35" s="71"/>
      <c r="Q35" s="71"/>
      <c r="R35" s="71"/>
      <c r="S35" s="71"/>
      <c r="T35" s="71"/>
      <c r="U35" s="71"/>
    </row>
    <row r="36" spans="1:21" x14ac:dyDescent="0.25">
      <c r="A36" s="67" t="s">
        <v>63</v>
      </c>
      <c r="B36" s="66"/>
      <c r="C36" s="66"/>
      <c r="D36" s="67">
        <v>1.6</v>
      </c>
      <c r="E36" s="67" t="s">
        <v>62</v>
      </c>
      <c r="F36" s="67"/>
      <c r="G36" s="67"/>
      <c r="H36" s="67"/>
      <c r="I36" s="67"/>
      <c r="J36" s="67"/>
      <c r="K36" s="68"/>
      <c r="L36" s="71" t="s">
        <v>63</v>
      </c>
      <c r="M36" s="70"/>
      <c r="N36" s="70"/>
      <c r="O36" s="289">
        <v>1.6</v>
      </c>
      <c r="P36" s="71" t="s">
        <v>62</v>
      </c>
      <c r="Q36" s="71"/>
      <c r="R36" s="71"/>
      <c r="S36" s="71"/>
      <c r="T36" s="71"/>
      <c r="U36" s="71"/>
    </row>
    <row r="37" spans="1:21" x14ac:dyDescent="0.25">
      <c r="A37" s="75" t="s">
        <v>64</v>
      </c>
      <c r="B37" s="75">
        <f>'Example 22-1 Conditions'!B4-D36</f>
        <v>19.099999999999998</v>
      </c>
      <c r="C37" s="66" t="s">
        <v>65</v>
      </c>
      <c r="D37" s="99">
        <f>0.068*B37</f>
        <v>1.2988</v>
      </c>
      <c r="E37" s="67" t="s">
        <v>66</v>
      </c>
      <c r="F37" s="67"/>
      <c r="G37" s="67"/>
      <c r="H37" s="67"/>
      <c r="I37" s="67"/>
      <c r="J37" s="67"/>
      <c r="K37" s="68"/>
      <c r="L37" s="77" t="s">
        <v>64</v>
      </c>
      <c r="M37" s="77">
        <f>'Example 22-1 Conditions'!M4-O36</f>
        <v>19.099999999999998</v>
      </c>
      <c r="N37" s="70" t="s">
        <v>65</v>
      </c>
      <c r="O37" s="100">
        <f>0.068*M37</f>
        <v>1.2988</v>
      </c>
      <c r="P37" s="71" t="s">
        <v>66</v>
      </c>
      <c r="Q37" s="71"/>
      <c r="R37" s="71"/>
      <c r="S37" s="71"/>
      <c r="T37" s="71"/>
      <c r="U37" s="71"/>
    </row>
    <row r="38" spans="1:21" x14ac:dyDescent="0.25">
      <c r="A38" s="67"/>
      <c r="B38" s="66"/>
      <c r="C38" s="66"/>
      <c r="D38" s="67"/>
      <c r="E38" s="67"/>
      <c r="F38" s="67"/>
      <c r="G38" s="67"/>
      <c r="H38" s="67"/>
      <c r="I38" s="67"/>
      <c r="J38" s="67"/>
      <c r="K38" s="68"/>
      <c r="L38" s="71"/>
      <c r="M38" s="70"/>
      <c r="N38" s="70"/>
      <c r="O38" s="71"/>
      <c r="P38" s="71"/>
      <c r="Q38" s="71"/>
      <c r="R38" s="71"/>
      <c r="S38" s="71"/>
      <c r="T38" s="71"/>
      <c r="U38" s="71"/>
    </row>
    <row r="39" spans="1:21" x14ac:dyDescent="0.25">
      <c r="A39" s="67" t="s">
        <v>67</v>
      </c>
      <c r="B39" s="66"/>
      <c r="C39" s="66"/>
      <c r="D39" s="67"/>
      <c r="E39" s="67"/>
      <c r="F39" s="67"/>
      <c r="G39" s="67"/>
      <c r="H39" s="67"/>
      <c r="I39" s="67"/>
      <c r="J39" s="67"/>
      <c r="K39" s="68"/>
      <c r="L39" s="71" t="s">
        <v>67</v>
      </c>
      <c r="M39" s="70"/>
      <c r="N39" s="70"/>
      <c r="O39" s="71"/>
      <c r="P39" s="71"/>
      <c r="Q39" s="71"/>
      <c r="R39" s="71"/>
      <c r="S39" s="71"/>
      <c r="T39" s="71"/>
      <c r="U39" s="71"/>
    </row>
    <row r="40" spans="1:21" ht="18.75" x14ac:dyDescent="0.3">
      <c r="A40" s="67" t="s">
        <v>287</v>
      </c>
      <c r="B40" s="66"/>
      <c r="C40" s="66"/>
      <c r="D40" s="67"/>
      <c r="E40" s="67"/>
      <c r="F40" s="67"/>
      <c r="G40" s="67"/>
      <c r="H40" s="67"/>
      <c r="I40" s="67"/>
      <c r="J40" s="67"/>
      <c r="K40" s="68"/>
      <c r="L40" s="71" t="s">
        <v>68</v>
      </c>
      <c r="M40" s="70"/>
      <c r="N40" s="70"/>
      <c r="O40" s="71"/>
      <c r="P40" s="71"/>
      <c r="Q40" s="71"/>
      <c r="R40" s="71"/>
      <c r="S40" s="71"/>
      <c r="T40" s="71"/>
      <c r="U40" s="71"/>
    </row>
    <row r="41" spans="1:21" x14ac:dyDescent="0.25">
      <c r="A41" s="67"/>
      <c r="B41" s="101" t="str">
        <f>CONCATENATE("=( [",ROUND(E26,2)," + x]^2[3/4 x]^3/2 ) / ( [",ROUND(E24,2)," - x]^2[",ROUND(E27,2)," - 1/2 x] ) * ( ",ROUND(D37,2)," / [",ROUND(E34,2)," + 1/4 x] )^1/2")</f>
        <v>=( [158.09 + x]^2[3/4 x]^3/2 ) / ( [194.05 - x]^2[97.03 - 1/2 x] ) * ( 1.3 / [1190.89 + 1/4 x] )^1/2</v>
      </c>
      <c r="C41" s="101"/>
      <c r="D41" s="67"/>
      <c r="E41" s="67"/>
      <c r="F41" s="67"/>
      <c r="G41" s="67"/>
      <c r="H41" s="67"/>
      <c r="I41" s="67"/>
      <c r="J41" s="67"/>
      <c r="K41" s="68"/>
      <c r="L41" s="71"/>
      <c r="M41" s="102" t="str">
        <f>CONCATENATE("=( [",ROUND(P26,2)," + x]^2[3/4 x]^3/2 ) / ( [",ROUND(P24,2)," - x]^2[",ROUND(P27,2)," - 1/2 x] ) * ( ",ROUND(O37,2)," / [",ROUND(P34,2)," + 1/4 x] )^1/2")</f>
        <v>=( [158.09 + x]^2[3/4 x]^3/2 ) / ( [194.05 - x]^2[97.03 - 1/2 x] ) * ( 1.3 / [1190.89 + 1/4 x] )^1/2</v>
      </c>
      <c r="N41" s="102"/>
      <c r="O41" s="71"/>
      <c r="P41" s="71"/>
      <c r="Q41" s="71"/>
      <c r="R41" s="71"/>
      <c r="S41" s="71"/>
      <c r="T41" s="71"/>
      <c r="U41" s="71"/>
    </row>
    <row r="42" spans="1:21" x14ac:dyDescent="0.25">
      <c r="A42" s="103" t="s">
        <v>289</v>
      </c>
      <c r="B42" s="104"/>
      <c r="C42" s="104"/>
      <c r="D42" s="104"/>
      <c r="E42" s="104"/>
      <c r="F42" s="104"/>
      <c r="G42" s="104"/>
      <c r="H42" s="67"/>
      <c r="I42" s="67"/>
      <c r="J42" s="67"/>
      <c r="K42" s="68"/>
      <c r="L42" s="71" t="s">
        <v>289</v>
      </c>
      <c r="M42" s="70"/>
      <c r="N42" s="70"/>
      <c r="O42" s="71"/>
      <c r="P42" s="71"/>
      <c r="Q42" s="71"/>
      <c r="R42" s="71"/>
      <c r="S42" s="71"/>
      <c r="T42" s="71"/>
      <c r="U42" s="71"/>
    </row>
    <row r="43" spans="1:21" ht="19.5" customHeight="1" x14ac:dyDescent="0.3">
      <c r="A43" s="103" t="s">
        <v>290</v>
      </c>
      <c r="B43" s="104"/>
      <c r="C43" s="104"/>
      <c r="D43" s="104"/>
      <c r="E43" s="104"/>
      <c r="F43" s="104"/>
      <c r="G43" s="104"/>
      <c r="H43" s="67"/>
      <c r="I43" s="67"/>
      <c r="J43" s="67"/>
      <c r="K43" s="68"/>
      <c r="L43" s="71" t="s">
        <v>291</v>
      </c>
      <c r="M43" s="70"/>
      <c r="N43" s="70"/>
      <c r="O43" s="71"/>
      <c r="P43" s="71"/>
      <c r="Q43" s="71"/>
      <c r="R43" s="71"/>
      <c r="S43" s="71"/>
      <c r="T43" s="71"/>
      <c r="U43" s="71"/>
    </row>
    <row r="44" spans="1:21" ht="61.5" customHeight="1" x14ac:dyDescent="0.3">
      <c r="A44" s="67"/>
      <c r="B44" s="84" t="s">
        <v>69</v>
      </c>
      <c r="C44" s="84" t="s">
        <v>70</v>
      </c>
      <c r="D44" s="84" t="s">
        <v>246</v>
      </c>
      <c r="E44" s="84" t="s">
        <v>248</v>
      </c>
      <c r="F44" s="67"/>
      <c r="G44" s="105" t="s">
        <v>304</v>
      </c>
      <c r="H44" s="106"/>
      <c r="I44" s="106"/>
      <c r="J44" s="107"/>
      <c r="K44" s="68"/>
      <c r="L44" s="71"/>
      <c r="M44" s="86" t="s">
        <v>69</v>
      </c>
      <c r="N44" s="86" t="s">
        <v>70</v>
      </c>
      <c r="O44" s="86" t="s">
        <v>246</v>
      </c>
      <c r="P44" s="86" t="s">
        <v>247</v>
      </c>
      <c r="Q44" s="71"/>
      <c r="R44" s="108"/>
      <c r="S44" s="109"/>
      <c r="T44" s="109"/>
      <c r="U44" s="71"/>
    </row>
    <row r="45" spans="1:21" ht="15" customHeight="1" x14ac:dyDescent="0.25">
      <c r="A45" s="67"/>
      <c r="B45" s="66">
        <v>130</v>
      </c>
      <c r="C45" s="110">
        <f>((E26+B45)^(2) *((3/4)*B45)^(3/2))/((E24-B45)^2*(E27-(1/2)*B45))*(D37/(E34+(1/4)*B45))^(1/2)</f>
        <v>19.816541376976325</v>
      </c>
      <c r="D45" s="66">
        <v>1880</v>
      </c>
      <c r="E45" s="111">
        <f>-963.3+2132*LN(C45)-660.4*LN(C45)^2+89.68*LN(C45)^3</f>
        <v>1902.5185459736012</v>
      </c>
      <c r="F45" s="67"/>
      <c r="G45" s="67"/>
      <c r="H45" s="67"/>
      <c r="I45" s="67"/>
      <c r="J45" s="67"/>
      <c r="K45" s="68"/>
      <c r="L45" s="71"/>
      <c r="M45" s="283">
        <v>130</v>
      </c>
      <c r="N45" s="112">
        <f>((P26+M45)^(2) *((3/4)*M45)^(3/2))/((P24-M45)^2*(P27-(1/2)*M45))*(O37/(P34+(1/4)*M45))^(1/2)</f>
        <v>19.816541376976325</v>
      </c>
      <c r="O45" s="283">
        <v>1880</v>
      </c>
      <c r="P45" s="113">
        <f>-963.3+2132*LN(N45)-660.4*LN(N45)^2+89.68*LN(N45)^3</f>
        <v>1902.5185459736012</v>
      </c>
      <c r="Q45" s="71"/>
      <c r="R45" s="71"/>
      <c r="S45" s="71"/>
      <c r="T45" s="71"/>
      <c r="U45" s="71"/>
    </row>
    <row r="46" spans="1:21" x14ac:dyDescent="0.25">
      <c r="A46" s="67"/>
      <c r="B46" s="66">
        <f>5+B45</f>
        <v>135</v>
      </c>
      <c r="C46" s="88">
        <f>((E26+B46)^2*((3/4)*B46)^(3/2))/((E24-B46)^2*(E27-(1/2)*B46))*(D37/(E34+(1/4)*B46))^(1/2)</f>
        <v>27.684355765489745</v>
      </c>
      <c r="D46" s="66">
        <v>2090</v>
      </c>
      <c r="E46" s="111">
        <f t="shared" ref="E46:E47" si="0">-963.3+2132*LN(C46)-660.4*LN(C46)^2+89.68*LN(C46)^3</f>
        <v>2118.148139237825</v>
      </c>
      <c r="F46" s="67"/>
      <c r="G46" s="67"/>
      <c r="H46" s="67"/>
      <c r="I46" s="67"/>
      <c r="J46" s="67"/>
      <c r="K46" s="68"/>
      <c r="L46" s="71"/>
      <c r="M46" s="70">
        <f>5+M45</f>
        <v>135</v>
      </c>
      <c r="N46" s="91">
        <f>((P26+M46)^2*((3/4)*M46)^(3/2))/((P24-M46)^2*(P27-(1/2)*M46))*(O37/(P34+(1/4)*M46))^(1/2)</f>
        <v>27.684355765489745</v>
      </c>
      <c r="O46" s="283">
        <v>2090</v>
      </c>
      <c r="P46" s="113">
        <f t="shared" ref="P46:P48" si="1">-963.3+2132*LN(N46)-660.4*LN(N46)^2+89.68*LN(N46)^3</f>
        <v>2118.148139237825</v>
      </c>
      <c r="Q46" s="71"/>
      <c r="R46" s="71"/>
      <c r="S46" s="71"/>
      <c r="T46" s="71"/>
      <c r="U46" s="71"/>
    </row>
    <row r="47" spans="1:21" x14ac:dyDescent="0.25">
      <c r="A47" s="67"/>
      <c r="B47" s="66">
        <f>5+B46</f>
        <v>140</v>
      </c>
      <c r="C47" s="88">
        <f>((E26+B47)^2*((3/4)*B47)^(3/2))/((E24-B47)^2*(E27-(1/2)*B47))*(D37/(E34+(1/4)*B47))^(1/2)</f>
        <v>39.415677486437204</v>
      </c>
      <c r="D47" s="66">
        <v>2390</v>
      </c>
      <c r="E47" s="111">
        <f t="shared" si="0"/>
        <v>2403.025899065673</v>
      </c>
      <c r="F47" s="67"/>
      <c r="G47" s="67"/>
      <c r="H47" s="67"/>
      <c r="I47" s="67"/>
      <c r="J47" s="67"/>
      <c r="K47" s="68"/>
      <c r="L47" s="71"/>
      <c r="M47" s="70">
        <f>5+M46</f>
        <v>140</v>
      </c>
      <c r="N47" s="91">
        <f>((P26+M47)^2*((3/4)*M47)^(3/2))/((P24-M47)^2*(P27-(1/2)*M47))*(O37/(P34+(1/4)*M47))^(1/2)</f>
        <v>39.415677486437204</v>
      </c>
      <c r="O47" s="283">
        <v>2390</v>
      </c>
      <c r="P47" s="113">
        <f t="shared" si="1"/>
        <v>2403.025899065673</v>
      </c>
      <c r="Q47" s="71"/>
      <c r="R47" s="71"/>
      <c r="S47" s="71"/>
      <c r="T47" s="71"/>
      <c r="U47" s="71"/>
    </row>
    <row r="48" spans="1:21" x14ac:dyDescent="0.25">
      <c r="A48" s="67"/>
      <c r="B48" s="66">
        <v>135.16</v>
      </c>
      <c r="C48" s="88">
        <f>((E26+B48)^2*((3/4)*B48)^(3/2))/((E24-B48)^2*(E27-(1/2)*B48))*(D37/(E34+(1/4)*B48))^(1/2)</f>
        <v>27.990329573435449</v>
      </c>
      <c r="D48" s="66">
        <v>2100</v>
      </c>
      <c r="E48" s="111">
        <f t="shared" ref="E48" si="2">-963.3+2132*LN(C48)-660.4*LN(C48)^2+89.68*LN(C48)^3</f>
        <v>2126.0113858181212</v>
      </c>
      <c r="F48" s="67"/>
      <c r="G48" s="67"/>
      <c r="H48" s="67"/>
      <c r="I48" s="67"/>
      <c r="J48" s="67"/>
      <c r="K48" s="68"/>
      <c r="L48" s="71"/>
      <c r="M48" s="283">
        <v>135.16</v>
      </c>
      <c r="N48" s="91">
        <f>((P26+M48)^2*((3/4)*M48)^(3/2))/((P24-M48)^2*(P27-(1/2)*M48))*(O37/(P34+(1/4)*M48))^(1/2)</f>
        <v>27.990329573435449</v>
      </c>
      <c r="O48" s="283">
        <v>2100</v>
      </c>
      <c r="P48" s="113">
        <f t="shared" si="1"/>
        <v>2126.0113858181212</v>
      </c>
      <c r="Q48" s="71"/>
      <c r="R48" s="71"/>
      <c r="S48" s="71"/>
      <c r="T48" s="71"/>
      <c r="U48" s="71"/>
    </row>
    <row r="49" spans="1:21" x14ac:dyDescent="0.25">
      <c r="A49" s="67"/>
      <c r="B49" s="66"/>
      <c r="C49" s="66"/>
      <c r="D49" s="67"/>
      <c r="E49" s="67"/>
      <c r="F49" s="67"/>
      <c r="G49" s="67"/>
      <c r="H49" s="67"/>
      <c r="I49" s="67"/>
      <c r="J49" s="67"/>
      <c r="K49" s="68"/>
      <c r="L49" s="71"/>
      <c r="M49" s="70"/>
      <c r="N49" s="70"/>
      <c r="O49" s="71"/>
      <c r="P49" s="71"/>
      <c r="Q49" s="71"/>
      <c r="R49" s="71"/>
      <c r="S49" s="71"/>
      <c r="T49" s="71"/>
      <c r="U49" s="71"/>
    </row>
    <row r="50" spans="1:21" x14ac:dyDescent="0.25">
      <c r="A50" s="67" t="s">
        <v>245</v>
      </c>
      <c r="B50" s="66"/>
      <c r="C50" s="66"/>
      <c r="D50" s="67"/>
      <c r="E50" s="67"/>
      <c r="F50" s="67"/>
      <c r="G50" s="67"/>
      <c r="H50" s="67"/>
      <c r="I50" s="67"/>
      <c r="J50" s="67"/>
      <c r="K50" s="68"/>
      <c r="L50" s="71" t="s">
        <v>245</v>
      </c>
      <c r="M50" s="70"/>
      <c r="N50" s="70"/>
      <c r="O50" s="71"/>
      <c r="P50" s="71"/>
      <c r="Q50" s="71"/>
      <c r="R50" s="71"/>
      <c r="S50" s="71"/>
      <c r="T50" s="71"/>
      <c r="U50" s="71"/>
    </row>
    <row r="51" spans="1:21" x14ac:dyDescent="0.25">
      <c r="A51" s="75" t="s">
        <v>221</v>
      </c>
      <c r="B51" s="75">
        <f>B45</f>
        <v>130</v>
      </c>
      <c r="C51" s="101" t="s">
        <v>220</v>
      </c>
      <c r="D51" s="67"/>
      <c r="E51" s="67"/>
      <c r="F51" s="67"/>
      <c r="G51" s="67"/>
      <c r="H51" s="67"/>
      <c r="I51" s="67"/>
      <c r="J51" s="67"/>
      <c r="K51" s="68"/>
      <c r="L51" s="77" t="s">
        <v>72</v>
      </c>
      <c r="M51" s="70">
        <f>M45</f>
        <v>130</v>
      </c>
      <c r="N51" s="70" t="s">
        <v>220</v>
      </c>
      <c r="O51" s="71"/>
      <c r="P51" s="71"/>
      <c r="Q51" s="71"/>
      <c r="R51" s="71"/>
      <c r="S51" s="71"/>
      <c r="T51" s="71"/>
      <c r="U51" s="71"/>
    </row>
    <row r="52" spans="1:21" x14ac:dyDescent="0.25">
      <c r="A52" s="67"/>
      <c r="B52" s="66"/>
      <c r="C52" s="114" t="s">
        <v>73</v>
      </c>
      <c r="D52" s="114"/>
      <c r="E52" s="67"/>
      <c r="F52" s="67"/>
      <c r="G52" s="67"/>
      <c r="H52" s="67"/>
      <c r="I52" s="67"/>
      <c r="J52" s="67"/>
      <c r="K52" s="68"/>
      <c r="L52" s="71"/>
      <c r="M52" s="70"/>
      <c r="N52" s="115" t="s">
        <v>73</v>
      </c>
      <c r="O52" s="115"/>
      <c r="P52" s="71"/>
      <c r="Q52" s="71"/>
      <c r="R52" s="71"/>
      <c r="S52" s="71"/>
      <c r="T52" s="71"/>
      <c r="U52" s="71"/>
    </row>
    <row r="53" spans="1:21" x14ac:dyDescent="0.25">
      <c r="A53" s="67"/>
      <c r="B53" s="66"/>
      <c r="C53" s="116" t="s">
        <v>85</v>
      </c>
      <c r="D53" s="117">
        <f>'Example 22-1 Conditions'!B3</f>
        <v>110</v>
      </c>
      <c r="E53" s="67" t="s">
        <v>303</v>
      </c>
      <c r="F53" s="67"/>
      <c r="G53" s="67"/>
      <c r="H53" s="67"/>
      <c r="I53" s="67"/>
      <c r="J53" s="67"/>
      <c r="K53" s="68"/>
      <c r="L53" s="71"/>
      <c r="M53" s="70"/>
      <c r="N53" s="118" t="s">
        <v>85</v>
      </c>
      <c r="O53" s="97">
        <f>'Example 22-1 Conditions'!M3</f>
        <v>110</v>
      </c>
      <c r="P53" s="71" t="s">
        <v>302</v>
      </c>
      <c r="Q53" s="71"/>
      <c r="R53" s="71"/>
      <c r="S53" s="71"/>
      <c r="T53" s="71"/>
      <c r="U53" s="71"/>
    </row>
    <row r="54" spans="1:21" x14ac:dyDescent="0.25">
      <c r="A54" s="67"/>
      <c r="B54" s="117" t="s">
        <v>74</v>
      </c>
      <c r="C54" s="117" t="s">
        <v>75</v>
      </c>
      <c r="D54" s="117" t="s">
        <v>76</v>
      </c>
      <c r="E54" s="116" t="s">
        <v>75</v>
      </c>
      <c r="F54" s="116" t="s">
        <v>76</v>
      </c>
      <c r="G54" s="67"/>
      <c r="H54" s="67"/>
      <c r="I54" s="67"/>
      <c r="J54" s="67"/>
      <c r="K54" s="68"/>
      <c r="L54" s="71"/>
      <c r="M54" s="97" t="s">
        <v>74</v>
      </c>
      <c r="N54" s="97" t="s">
        <v>75</v>
      </c>
      <c r="O54" s="97" t="s">
        <v>76</v>
      </c>
      <c r="P54" s="71" t="s">
        <v>75</v>
      </c>
      <c r="Q54" s="71" t="s">
        <v>76</v>
      </c>
      <c r="R54" s="71"/>
      <c r="S54" s="71"/>
      <c r="T54" s="71"/>
      <c r="U54" s="71"/>
    </row>
    <row r="55" spans="1:21" ht="15" customHeight="1" x14ac:dyDescent="0.3">
      <c r="A55" s="67" t="s">
        <v>42</v>
      </c>
      <c r="B55" s="88">
        <f>B24</f>
        <v>291.07541972035972</v>
      </c>
      <c r="C55" s="119">
        <f>(IF(ROUNDDOWN(D53,-2)=ROUNDUP(D53,-2),VLOOKUP(D53,Enthalpy,19),VLOOKUP(ROUNDDOWN(D53,-2),Enthalpy,19)+(D53-ROUNDDOWN(D53,-2))/(ROUNDUP(D53,-2)-ROUNDDOWN(D53,-2))*(VLOOKUP(ROUNDUP(D53,-2),Enthalpy,19)-VLOOKUP(ROUNDDOWN(D53,-2),Enthalpy,19))))</f>
        <v>628.48</v>
      </c>
      <c r="D55" s="120">
        <f>(B55*C55)</f>
        <v>182935.07978585167</v>
      </c>
      <c r="E55" s="99">
        <f>-241+7.71*D53+0.00125*D53*D53</f>
        <v>622.22500000000002</v>
      </c>
      <c r="F55" s="121">
        <f>+E55*B55</f>
        <v>181114.40303550084</v>
      </c>
      <c r="G55" s="67"/>
      <c r="H55" s="67"/>
      <c r="I55" s="67"/>
      <c r="J55" s="67"/>
      <c r="K55" s="68"/>
      <c r="L55" s="71" t="s">
        <v>42</v>
      </c>
      <c r="M55" s="91">
        <f>M24</f>
        <v>291.07541972035972</v>
      </c>
      <c r="N55" s="122">
        <f>(IF(ROUNDDOWN(O53,-2)=ROUNDUP(O53,-2),VLOOKUP(O53,Enthalpy,19),VLOOKUP(ROUNDDOWN(O53,-2),Enthalpy,19)+(O53-ROUNDDOWN(O53,-2))/(ROUNDUP(O53,-2)-ROUNDDOWN(O53,-2))*(VLOOKUP(ROUNDUP(O53,-2),Enthalpy,19)-VLOOKUP(ROUNDDOWN(O53,-2),Enthalpy,19))))</f>
        <v>628.48</v>
      </c>
      <c r="O55" s="123">
        <f>(M55*N55)</f>
        <v>182935.07978585167</v>
      </c>
      <c r="P55" s="100">
        <f>-241+7.71*O53+0.00125*O53*O53</f>
        <v>622.22500000000002</v>
      </c>
      <c r="Q55" s="124">
        <f>+P55*M55</f>
        <v>181114.40303550084</v>
      </c>
      <c r="R55" s="71"/>
      <c r="S55" s="71"/>
      <c r="T55" s="71"/>
      <c r="U55" s="71"/>
    </row>
    <row r="56" spans="1:21" ht="16.5" customHeight="1" x14ac:dyDescent="0.3">
      <c r="A56" s="67" t="s">
        <v>43</v>
      </c>
      <c r="B56" s="88">
        <f>B25</f>
        <v>154.39235370822706</v>
      </c>
      <c r="C56" s="119">
        <f>(IF(ROUNDDOWN(D53,-2)=ROUNDUP(D53,-2),VLOOKUP(D53,Enthalpy,14),VLOOKUP(ROUNDDOWN(D53,-2),Enthalpy,14)+(D53-ROUNDDOWN(D53,-2))/(ROUNDUP(D53,-2)-ROUNDDOWN(D53,-2))*(VLOOKUP(ROUNDUP(D53,-2),Enthalpy,14)-VLOOKUP(ROUNDDOWN(D53,-2),Enthalpy,14))))</f>
        <v>697.54</v>
      </c>
      <c r="D56" s="120">
        <f>(B56*C56)</f>
        <v>107694.84240563669</v>
      </c>
      <c r="E56" s="67">
        <f>+-295+8.84*D53+0.002*D53*D53</f>
        <v>701.6</v>
      </c>
      <c r="F56" s="121">
        <f t="shared" ref="F56:F58" si="3">+E56*B56</f>
        <v>108321.67536169211</v>
      </c>
      <c r="G56" s="67"/>
      <c r="H56" s="67"/>
      <c r="I56" s="67"/>
      <c r="J56" s="67"/>
      <c r="K56" s="68"/>
      <c r="L56" s="71" t="s">
        <v>43</v>
      </c>
      <c r="M56" s="91">
        <f>M25</f>
        <v>154.39235370822706</v>
      </c>
      <c r="N56" s="122">
        <f>(IF(ROUNDDOWN(O53,-2)=ROUNDUP(O53,-2),VLOOKUP(O53,Enthalpy,14),VLOOKUP(ROUNDDOWN(O53,-2),Enthalpy,14)+(O53-ROUNDDOWN(O53,-2))/(ROUNDUP(O53,-2)-ROUNDDOWN(O53,-2))*(VLOOKUP(ROUNDUP(O53,-2),Enthalpy,14)-VLOOKUP(ROUNDDOWN(O53,-2),Enthalpy,14))))</f>
        <v>697.54</v>
      </c>
      <c r="O56" s="123">
        <f>M56*N56</f>
        <v>107694.84240563669</v>
      </c>
      <c r="P56" s="100">
        <f>+-295+8.84*O53+0.002*O53*O53</f>
        <v>701.6</v>
      </c>
      <c r="Q56" s="124">
        <f t="shared" ref="Q56:Q58" si="4">+P56*M56</f>
        <v>108321.67536169211</v>
      </c>
      <c r="R56" s="71"/>
      <c r="S56" s="71"/>
      <c r="T56" s="71"/>
      <c r="U56" s="71"/>
    </row>
    <row r="57" spans="1:21" ht="16.5" customHeight="1" x14ac:dyDescent="0.3">
      <c r="A57" s="67" t="s">
        <v>44</v>
      </c>
      <c r="B57" s="88">
        <f>B26</f>
        <v>29.755442741405282</v>
      </c>
      <c r="C57" s="119">
        <f>(IF(ROUNDDOWN(D53,-2)=ROUNDUP(D53,-2),VLOOKUP(D53,Enthalpy,15),VLOOKUP(ROUNDDOWN(D53,-2),Enthalpy,15)+(D53-ROUNDDOWN(D53,-2))/(ROUNDUP(D53,-2)-ROUNDDOWN(D53,-2))*(VLOOKUP(ROUNDUP(D53,-2),Enthalpy,15)-VLOOKUP(ROUNDDOWN(D53,-2),Enthalpy,15))))</f>
        <v>640.19000000000005</v>
      </c>
      <c r="D57" s="120">
        <f>(B57*C57)</f>
        <v>19049.136888620251</v>
      </c>
      <c r="E57" s="99">
        <f>-264+8.19*D53+0.000387*D53*D53</f>
        <v>641.58269999999993</v>
      </c>
      <c r="F57" s="121">
        <f t="shared" si="3"/>
        <v>19090.577293726201</v>
      </c>
      <c r="G57" s="67"/>
      <c r="H57" s="67"/>
      <c r="I57" s="67"/>
      <c r="J57" s="67"/>
      <c r="K57" s="68"/>
      <c r="L57" s="71" t="s">
        <v>44</v>
      </c>
      <c r="M57" s="91">
        <f>M26</f>
        <v>29.755442741405282</v>
      </c>
      <c r="N57" s="122">
        <f>(IF(ROUNDDOWN(O53,-2)=ROUNDUP(O53,-2),VLOOKUP(O53,Enthalpy,15),VLOOKUP(ROUNDDOWN(O53,-2),Enthalpy,15)+(O53-ROUNDDOWN(O53,-2))/(ROUNDUP(O53,-2)-ROUNDDOWN(O53,-2))*(VLOOKUP(ROUNDUP(O53,-2),Enthalpy,15)-VLOOKUP(ROUNDDOWN(O53,-2),Enthalpy,15))))</f>
        <v>640.19000000000005</v>
      </c>
      <c r="O57" s="123">
        <f>(M57*N57)</f>
        <v>19049.136888620251</v>
      </c>
      <c r="P57" s="100">
        <f>-264+8.19*O53+0.000387*O53*O53</f>
        <v>641.58269999999993</v>
      </c>
      <c r="Q57" s="124">
        <f t="shared" si="4"/>
        <v>19090.577293726201</v>
      </c>
      <c r="R57" s="71"/>
      <c r="S57" s="71"/>
      <c r="T57" s="71"/>
      <c r="U57" s="71"/>
    </row>
    <row r="58" spans="1:21" ht="16.5" x14ac:dyDescent="0.3">
      <c r="A58" s="67" t="s">
        <v>45</v>
      </c>
      <c r="B58" s="94">
        <f>B33</f>
        <v>4.7032796591253501</v>
      </c>
      <c r="C58" s="119">
        <f>(IF(ROUNDDOWN(D53,-2)=ROUNDUP(D53,-2),VLOOKUP(D53,EnthalpyData,2),VLOOKUP(ROUNDDOWN(D53,-2),EnthalpyData,2)+(D53-ROUNDDOWN(D53,-2))/(ROUNDUP(D53,-2)-ROUNDDOWN(D53,-2))*(VLOOKUP(ROUNDUP(D53,-2),EnthalpyData,2)-VLOOKUP(ROUNDDOWN(D53,-2),EnthalpyData,2))))</f>
        <v>655.43000000000006</v>
      </c>
      <c r="D58" s="125">
        <f>(B58*C58)</f>
        <v>3082.6705869805287</v>
      </c>
      <c r="E58" s="99">
        <f>-233+7.51*D53+0.00412*D53*D53</f>
        <v>642.952</v>
      </c>
      <c r="F58" s="126">
        <f t="shared" si="3"/>
        <v>3023.9830633939619</v>
      </c>
      <c r="G58" s="67"/>
      <c r="H58" s="67"/>
      <c r="I58" s="67"/>
      <c r="J58" s="67"/>
      <c r="K58" s="68"/>
      <c r="L58" s="71" t="s">
        <v>45</v>
      </c>
      <c r="M58" s="96">
        <f>M33</f>
        <v>4.7032796591253501</v>
      </c>
      <c r="N58" s="122">
        <f>(IF(ROUNDDOWN(O53,-2)=ROUNDUP(O53,-2),VLOOKUP(O53,EnthalpyData,2),VLOOKUP(ROUNDDOWN(O53,-2),EnthalpyData,2)+(O53-ROUNDDOWN(O53,-2))/(ROUNDUP(O53,-2)-ROUNDDOWN(O53,-2))*(VLOOKUP(ROUNDUP(O53,-2),EnthalpyData,2)-VLOOKUP(ROUNDDOWN(O53,-2),EnthalpyData,2))))</f>
        <v>655.43000000000006</v>
      </c>
      <c r="O58" s="127">
        <f>(M58*N58)</f>
        <v>3082.6705869805287</v>
      </c>
      <c r="P58" s="100">
        <f>-233+7.51*O53+0.00412*O53*O53</f>
        <v>642.952</v>
      </c>
      <c r="Q58" s="128">
        <f t="shared" si="4"/>
        <v>3023.9830633939619</v>
      </c>
      <c r="R58" s="71"/>
      <c r="S58" s="71"/>
      <c r="T58" s="71"/>
      <c r="U58" s="71"/>
    </row>
    <row r="59" spans="1:21" x14ac:dyDescent="0.25">
      <c r="A59" s="67"/>
      <c r="B59" s="88">
        <f>SUM(B55:B58)</f>
        <v>479.92649582911741</v>
      </c>
      <c r="C59" s="66"/>
      <c r="D59" s="120">
        <f>SUM(D55:D58)</f>
        <v>312761.72966708918</v>
      </c>
      <c r="E59" s="67"/>
      <c r="F59" s="129">
        <f>SUM(F55:F58)</f>
        <v>311550.63875431311</v>
      </c>
      <c r="G59" s="67"/>
      <c r="H59" s="67"/>
      <c r="I59" s="67"/>
      <c r="J59" s="67"/>
      <c r="K59" s="68"/>
      <c r="L59" s="71"/>
      <c r="M59" s="91">
        <f>SUM(M55:M58)</f>
        <v>479.92649582911741</v>
      </c>
      <c r="N59" s="70"/>
      <c r="O59" s="123">
        <f>SUM(O55:O58)</f>
        <v>312761.72966708918</v>
      </c>
      <c r="P59" s="71"/>
      <c r="Q59" s="124">
        <f>SUM(Q55:Q58)</f>
        <v>311550.63875431311</v>
      </c>
      <c r="R59" s="71"/>
      <c r="S59" s="71"/>
      <c r="T59" s="71"/>
      <c r="U59" s="71"/>
    </row>
    <row r="60" spans="1:21" x14ac:dyDescent="0.25">
      <c r="A60" s="67"/>
      <c r="B60" s="66"/>
      <c r="C60" s="66"/>
      <c r="D60" s="130"/>
      <c r="E60" s="67"/>
      <c r="F60" s="131"/>
      <c r="G60" s="67"/>
      <c r="H60" s="67"/>
      <c r="I60" s="67"/>
      <c r="J60" s="67"/>
      <c r="K60" s="68"/>
      <c r="L60" s="71"/>
      <c r="M60" s="70"/>
      <c r="N60" s="70"/>
      <c r="O60" s="113"/>
      <c r="P60" s="71"/>
      <c r="Q60" s="71"/>
      <c r="R60" s="71"/>
      <c r="S60" s="71"/>
      <c r="T60" s="71"/>
      <c r="U60" s="71"/>
    </row>
    <row r="61" spans="1:21" x14ac:dyDescent="0.25">
      <c r="A61" s="67"/>
      <c r="B61" s="66"/>
      <c r="C61" s="114" t="s">
        <v>77</v>
      </c>
      <c r="D61" s="114"/>
      <c r="E61" s="67"/>
      <c r="F61" s="131"/>
      <c r="G61" s="67"/>
      <c r="H61" s="67"/>
      <c r="I61" s="67"/>
      <c r="J61" s="67"/>
      <c r="K61" s="68"/>
      <c r="L61" s="71"/>
      <c r="M61" s="70"/>
      <c r="N61" s="115" t="s">
        <v>77</v>
      </c>
      <c r="O61" s="115"/>
      <c r="P61" s="71"/>
      <c r="Q61" s="71"/>
      <c r="R61" s="71"/>
      <c r="S61" s="71"/>
      <c r="T61" s="71"/>
      <c r="U61" s="71"/>
    </row>
    <row r="62" spans="1:21" x14ac:dyDescent="0.25">
      <c r="A62" s="67"/>
      <c r="B62" s="66"/>
      <c r="C62" s="116" t="s">
        <v>85</v>
      </c>
      <c r="D62" s="117">
        <f>'Example 22-1 Conditions'!G5</f>
        <v>180</v>
      </c>
      <c r="E62" s="67" t="s">
        <v>303</v>
      </c>
      <c r="F62" s="67"/>
      <c r="G62" s="67"/>
      <c r="H62" s="67"/>
      <c r="I62" s="67"/>
      <c r="J62" s="67"/>
      <c r="K62" s="68"/>
      <c r="L62" s="71"/>
      <c r="M62" s="70"/>
      <c r="N62" s="118" t="s">
        <v>85</v>
      </c>
      <c r="O62" s="97">
        <f>'Example 22-1 Conditions'!R5</f>
        <v>180</v>
      </c>
      <c r="P62" s="71" t="s">
        <v>302</v>
      </c>
      <c r="Q62" s="71"/>
      <c r="R62" s="71"/>
      <c r="S62" s="71"/>
      <c r="T62" s="71"/>
      <c r="U62" s="71"/>
    </row>
    <row r="63" spans="1:21" x14ac:dyDescent="0.25">
      <c r="A63" s="67"/>
      <c r="B63" s="117" t="s">
        <v>74</v>
      </c>
      <c r="C63" s="117" t="s">
        <v>78</v>
      </c>
      <c r="D63" s="132" t="s">
        <v>76</v>
      </c>
      <c r="E63" s="116" t="s">
        <v>75</v>
      </c>
      <c r="F63" s="116" t="s">
        <v>76</v>
      </c>
      <c r="G63" s="67"/>
      <c r="H63" s="67"/>
      <c r="I63" s="67"/>
      <c r="J63" s="67"/>
      <c r="K63" s="68"/>
      <c r="L63" s="71"/>
      <c r="M63" s="97" t="s">
        <v>74</v>
      </c>
      <c r="N63" s="97" t="s">
        <v>78</v>
      </c>
      <c r="O63" s="133" t="s">
        <v>76</v>
      </c>
      <c r="P63" s="71" t="s">
        <v>75</v>
      </c>
      <c r="Q63" s="71" t="s">
        <v>76</v>
      </c>
      <c r="R63" s="71"/>
      <c r="S63" s="71"/>
      <c r="T63" s="71"/>
      <c r="U63" s="71"/>
    </row>
    <row r="64" spans="1:21" ht="16.5" x14ac:dyDescent="0.3">
      <c r="A64" s="67" t="s">
        <v>53</v>
      </c>
      <c r="B64" s="88">
        <f>C29</f>
        <v>154.94426917843055</v>
      </c>
      <c r="C64" s="119">
        <f>(IF(ROUNDDOWN(D62,-2)=ROUNDUP(D62,-2),VLOOKUP(D62,Enthalpy,10),VLOOKUP(ROUNDDOWN(D62,-2),Enthalpy,10)+(D62-ROUNDDOWN(D62,-2))/(ROUNDUP(D62,-2)-ROUNDDOWN(D62,-2))*(VLOOKUP(ROUNDUP(D62,-2),Enthalpy,10)-VLOOKUP(ROUNDDOWN(D62,-2),Enthalpy,10))))</f>
        <v>1084.1600000000001</v>
      </c>
      <c r="D64" s="120">
        <f>ROUND(B64*C64,-1)</f>
        <v>167980</v>
      </c>
      <c r="E64" s="99">
        <f>-238+7.29*D62+0.000387*D62*D62</f>
        <v>1086.7388000000001</v>
      </c>
      <c r="F64" s="121">
        <f t="shared" ref="F64:F66" si="5">+E64*B64</f>
        <v>168383.94915384462</v>
      </c>
      <c r="G64" s="67"/>
      <c r="H64" s="67"/>
      <c r="I64" s="67"/>
      <c r="J64" s="67"/>
      <c r="K64" s="68"/>
      <c r="L64" s="71" t="s">
        <v>53</v>
      </c>
      <c r="M64" s="91">
        <f>N29</f>
        <v>154.94426917843055</v>
      </c>
      <c r="N64" s="70">
        <f>(IF(ROUNDDOWN(O62,-2)=ROUNDUP(O62,-2),VLOOKUP(O62,Enthalpy,10),VLOOKUP(ROUNDDOWN(O62,-2),Enthalpy,10)+(O62-ROUNDDOWN(O62,-2))/(ROUNDUP(O62,-2)-ROUNDDOWN(O62,-2))*(VLOOKUP(ROUNDUP(O62,-2),Enthalpy,10)-VLOOKUP(ROUNDDOWN(O62,-2),Enthalpy,10))))</f>
        <v>1084.1600000000001</v>
      </c>
      <c r="O64" s="123">
        <f>M64*N64</f>
        <v>167984.37887248729</v>
      </c>
      <c r="P64" s="100">
        <f>-238+7.29*O62+0.000387*O62*O62</f>
        <v>1086.7388000000001</v>
      </c>
      <c r="Q64" s="124">
        <f t="shared" ref="Q64:Q66" si="6">+P64*M64</f>
        <v>168383.94915384462</v>
      </c>
      <c r="R64" s="71"/>
      <c r="S64" s="71"/>
      <c r="T64" s="71"/>
      <c r="U64" s="71"/>
    </row>
    <row r="65" spans="1:21" ht="16.5" x14ac:dyDescent="0.3">
      <c r="A65" s="67" t="s">
        <v>52</v>
      </c>
      <c r="B65" s="88">
        <f>C28</f>
        <v>582.62585529985779</v>
      </c>
      <c r="C65" s="119">
        <f>(IF(ROUNDDOWN(D62,-2)=ROUNDUP(D62,-2),VLOOKUP(D62,Enthalpy,9),VLOOKUP(ROUNDDOWN(D62,-2),Enthalpy,9)+(D62-ROUNDDOWN(D62,-2))/(ROUNDUP(D62,-2)-ROUNDDOWN(D62,-2))*(VLOOKUP(ROUNDUP(D62,-2),Enthalpy,9)-VLOOKUP(ROUNDDOWN(D62,-2),Enthalpy,9))))</f>
        <v>1033.22</v>
      </c>
      <c r="D65" s="120">
        <f>ROUND(B65*C65,-1)</f>
        <v>601980</v>
      </c>
      <c r="E65" s="99">
        <f>-220+6.91*D62+0.000203*D62*D62</f>
        <v>1030.3771999999999</v>
      </c>
      <c r="F65" s="121">
        <f t="shared" si="5"/>
        <v>600324.39743147255</v>
      </c>
      <c r="G65" s="67"/>
      <c r="H65" s="67"/>
      <c r="I65" s="67"/>
      <c r="J65" s="67"/>
      <c r="K65" s="68"/>
      <c r="L65" s="71" t="s">
        <v>52</v>
      </c>
      <c r="M65" s="91">
        <f>N28</f>
        <v>582.62585529985779</v>
      </c>
      <c r="N65" s="70">
        <f>(IF(ROUNDDOWN(O62,-2)=ROUNDUP(O62,-2),VLOOKUP(O62,Enthalpy,9),VLOOKUP(ROUNDDOWN(O62,-2),Enthalpy,9)+(O62-ROUNDDOWN(O62,-2))/(ROUNDUP(O62,-2)-ROUNDDOWN(O62,-2))*(VLOOKUP(ROUNDUP(O62,-2),Enthalpy,9)-VLOOKUP(ROUNDDOWN(O62,-2),Enthalpy,9))))</f>
        <v>1033.22</v>
      </c>
      <c r="O65" s="123">
        <f>(M65*N65)</f>
        <v>601980.68621291907</v>
      </c>
      <c r="P65" s="100">
        <f>-220+6.91*O62+0.000203*O62*O62</f>
        <v>1030.3771999999999</v>
      </c>
      <c r="Q65" s="124">
        <f t="shared" si="6"/>
        <v>600324.39743147255</v>
      </c>
      <c r="R65" s="71"/>
      <c r="S65" s="71"/>
      <c r="T65" s="71"/>
      <c r="U65" s="71"/>
    </row>
    <row r="66" spans="1:21" ht="16.5" x14ac:dyDescent="0.3">
      <c r="A66" s="67" t="s">
        <v>44</v>
      </c>
      <c r="B66" s="94">
        <f>C26</f>
        <v>21.905832697005163</v>
      </c>
      <c r="C66" s="119">
        <f>(IF(ROUNDDOWN(D62,-2)=ROUNDUP(D62,-2),VLOOKUP(D62,Enthalpy,15),VLOOKUP(ROUNDDOWN(D62,-2),Enthalpy,15)+(D62-ROUNDDOWN(D62,-2))/(ROUNDUP(D62,-2)-ROUNDDOWN(D62,-2))*(VLOOKUP(ROUNDUP(D62,-2),Enthalpy,15)-VLOOKUP(ROUNDDOWN(D62,-2),Enthalpy,15))))</f>
        <v>1221.8200000000002</v>
      </c>
      <c r="D66" s="125">
        <f>ROUND(B66*C66,-1)</f>
        <v>26760</v>
      </c>
      <c r="E66" s="99">
        <f>-264+8.19*D62+0.000387*D62*D62</f>
        <v>1222.7387999999999</v>
      </c>
      <c r="F66" s="126">
        <f t="shared" si="5"/>
        <v>26785.111584936854</v>
      </c>
      <c r="G66" s="67"/>
      <c r="H66" s="67"/>
      <c r="I66" s="67"/>
      <c r="J66" s="67"/>
      <c r="K66" s="68"/>
      <c r="L66" s="71" t="s">
        <v>44</v>
      </c>
      <c r="M66" s="96">
        <f>N26</f>
        <v>21.905832697005163</v>
      </c>
      <c r="N66" s="70">
        <f>(IF(ROUNDDOWN(O62,-2)=ROUNDUP(O62,-2),VLOOKUP(O62,Enthalpy,15),VLOOKUP(ROUNDDOWN(O62,-2),Enthalpy,15)+(O62-ROUNDDOWN(O62,-2))/(ROUNDUP(O62,-2)-ROUNDDOWN(O62,-2))*(VLOOKUP(ROUNDUP(O62,-2),Enthalpy,15)-VLOOKUP(ROUNDDOWN(O62,-2),Enthalpy,15))))</f>
        <v>1221.8200000000002</v>
      </c>
      <c r="O66" s="127">
        <f>(M66*N66)</f>
        <v>26764.984505854853</v>
      </c>
      <c r="P66" s="100">
        <f>-264+8.19*O62+0.000387*O62*O62</f>
        <v>1222.7387999999999</v>
      </c>
      <c r="Q66" s="128">
        <f t="shared" si="6"/>
        <v>26785.111584936854</v>
      </c>
      <c r="R66" s="71"/>
      <c r="S66" s="71"/>
      <c r="T66" s="71"/>
      <c r="U66" s="71"/>
    </row>
    <row r="67" spans="1:21" x14ac:dyDescent="0.25">
      <c r="A67" s="67"/>
      <c r="B67" s="88">
        <f>SUM(B64:B66)</f>
        <v>759.4759571752935</v>
      </c>
      <c r="C67" s="66"/>
      <c r="D67" s="120">
        <f>SUM(D64:D66)</f>
        <v>796720</v>
      </c>
      <c r="E67" s="67"/>
      <c r="F67" s="134">
        <f>SUM(F64:F66)</f>
        <v>795493.45817025402</v>
      </c>
      <c r="G67" s="67"/>
      <c r="H67" s="67"/>
      <c r="I67" s="67"/>
      <c r="J67" s="67"/>
      <c r="K67" s="68"/>
      <c r="L67" s="71"/>
      <c r="M67" s="91">
        <f>SUM(M64:M66)</f>
        <v>759.4759571752935</v>
      </c>
      <c r="N67" s="70"/>
      <c r="O67" s="123">
        <f>SUM(O64:O66)</f>
        <v>796730.04959126131</v>
      </c>
      <c r="P67" s="71"/>
      <c r="Q67" s="124">
        <f>SUM(Q64:Q66)</f>
        <v>795493.45817025402</v>
      </c>
      <c r="R67" s="71"/>
      <c r="S67" s="71"/>
      <c r="T67" s="71"/>
      <c r="U67" s="71"/>
    </row>
    <row r="68" spans="1:21" x14ac:dyDescent="0.25">
      <c r="A68" s="67" t="s">
        <v>250</v>
      </c>
      <c r="B68" s="66"/>
      <c r="C68" s="66"/>
      <c r="D68" s="130"/>
      <c r="E68" s="67"/>
      <c r="F68" s="67"/>
      <c r="G68" s="67"/>
      <c r="H68" s="67"/>
      <c r="I68" s="67"/>
      <c r="J68" s="67"/>
      <c r="K68" s="68"/>
      <c r="L68" s="71" t="s">
        <v>250</v>
      </c>
      <c r="M68" s="70"/>
      <c r="N68" s="70"/>
      <c r="O68" s="113"/>
      <c r="P68" s="71"/>
      <c r="Q68" s="71"/>
      <c r="R68" s="71"/>
      <c r="S68" s="71"/>
      <c r="T68" s="71"/>
      <c r="U68" s="71"/>
    </row>
    <row r="69" spans="1:21" x14ac:dyDescent="0.25">
      <c r="A69" s="67"/>
      <c r="B69" s="66"/>
      <c r="C69" s="114" t="s">
        <v>79</v>
      </c>
      <c r="D69" s="114"/>
      <c r="E69" s="67"/>
      <c r="F69" s="67"/>
      <c r="G69" s="67"/>
      <c r="H69" s="67"/>
      <c r="I69" s="67"/>
      <c r="J69" s="67"/>
      <c r="K69" s="68"/>
      <c r="L69" s="71"/>
      <c r="M69" s="70"/>
      <c r="N69" s="115" t="s">
        <v>79</v>
      </c>
      <c r="O69" s="115"/>
      <c r="P69" s="71"/>
      <c r="Q69" s="71"/>
      <c r="R69" s="71"/>
      <c r="S69" s="71"/>
      <c r="T69" s="71"/>
      <c r="U69" s="71"/>
    </row>
    <row r="70" spans="1:21" x14ac:dyDescent="0.25">
      <c r="A70" s="67"/>
      <c r="B70" s="66"/>
      <c r="C70" s="116" t="s">
        <v>85</v>
      </c>
      <c r="D70" s="135">
        <v>2100</v>
      </c>
      <c r="E70" s="136" t="s">
        <v>303</v>
      </c>
      <c r="F70" s="137"/>
      <c r="G70" s="138" t="s">
        <v>85</v>
      </c>
      <c r="H70" s="139">
        <v>2200</v>
      </c>
      <c r="I70" s="136" t="s">
        <v>303</v>
      </c>
      <c r="J70" s="137"/>
      <c r="K70" s="68"/>
      <c r="L70" s="71"/>
      <c r="M70" s="70"/>
      <c r="N70" s="118" t="s">
        <v>85</v>
      </c>
      <c r="O70" s="140">
        <v>2100</v>
      </c>
      <c r="P70" s="102" t="s">
        <v>303</v>
      </c>
      <c r="Q70" s="141"/>
      <c r="R70" s="82" t="s">
        <v>85</v>
      </c>
      <c r="S70" s="142">
        <v>2200</v>
      </c>
      <c r="T70" s="82" t="s">
        <v>303</v>
      </c>
      <c r="U70" s="82"/>
    </row>
    <row r="71" spans="1:21" x14ac:dyDescent="0.25">
      <c r="A71" s="67"/>
      <c r="B71" s="117" t="s">
        <v>74</v>
      </c>
      <c r="C71" s="117" t="s">
        <v>75</v>
      </c>
      <c r="D71" s="117" t="s">
        <v>76</v>
      </c>
      <c r="E71" s="143" t="s">
        <v>75</v>
      </c>
      <c r="F71" s="116" t="s">
        <v>76</v>
      </c>
      <c r="G71" s="144" t="s">
        <v>80</v>
      </c>
      <c r="H71" s="117" t="s">
        <v>76</v>
      </c>
      <c r="I71" s="143" t="s">
        <v>75</v>
      </c>
      <c r="J71" s="116" t="s">
        <v>76</v>
      </c>
      <c r="K71" s="68"/>
      <c r="L71" s="71"/>
      <c r="M71" s="97" t="s">
        <v>74</v>
      </c>
      <c r="N71" s="97" t="s">
        <v>75</v>
      </c>
      <c r="O71" s="97" t="s">
        <v>76</v>
      </c>
      <c r="P71" s="145" t="s">
        <v>75</v>
      </c>
      <c r="Q71" s="146" t="s">
        <v>76</v>
      </c>
      <c r="R71" s="147" t="s">
        <v>80</v>
      </c>
      <c r="S71" s="147" t="s">
        <v>76</v>
      </c>
      <c r="T71" s="147" t="s">
        <v>75</v>
      </c>
      <c r="U71" s="147" t="s">
        <v>76</v>
      </c>
    </row>
    <row r="72" spans="1:21" ht="16.5" x14ac:dyDescent="0.3">
      <c r="A72" s="67" t="s">
        <v>42</v>
      </c>
      <c r="B72" s="88">
        <f>E24-B51</f>
        <v>64.050279813573127</v>
      </c>
      <c r="C72" s="66">
        <f>(IF(ROUNDDOWN(D70,-2)=ROUNDUP(D70,-2),VLOOKUP(D70,Enthalpy,19),VLOOKUP(ROUNDDOWN(D70,-2),Enthalpy,19)+(D70-ROUNDDOWN(D70,-2))/(ROUNDUP(D70,-2)-ROUNDDOWN(D70,-2))*(VLOOKUP(ROUNDUP(D70,-2),Enthalpy,19)-VLOOKUP(ROUNDDOWN(D70,-2),Enthalpy,19))))</f>
        <v>20240</v>
      </c>
      <c r="D72" s="120">
        <f>(B72*C72)</f>
        <v>1296377.6634267201</v>
      </c>
      <c r="E72" s="148">
        <f>-1523+9.49*D70+0.000693*D70*D70</f>
        <v>21462.13</v>
      </c>
      <c r="F72" s="149">
        <f>E72*B72</f>
        <v>1374655.4318952824</v>
      </c>
      <c r="G72" s="66">
        <f>(IF(ROUNDDOWN(H70,-2)=ROUNDUP(H70,-2),VLOOKUP(H70,Enthalpy,19),VLOOKUP(ROUNDDOWN(H70,-2),Enthalpy,19)+(H70-ROUNDDOWN(H70,-2))/(ROUNDUP(H70,-2)-ROUNDDOWN(H70,-2))*(VLOOKUP(ROUNDUP(H70,-2),Enthalpy,19)-VLOOKUP(ROUNDDOWN(H70,-2),Enthalpy,19))))</f>
        <v>22720</v>
      </c>
      <c r="H72" s="120">
        <f t="shared" ref="H72:H77" si="7">(B72*G72)</f>
        <v>1455222.3573643814</v>
      </c>
      <c r="I72" s="148">
        <f>-1523+9.49*H70+0.000693*H70*H70</f>
        <v>22709.119999999999</v>
      </c>
      <c r="J72" s="150">
        <f>I72*B72</f>
        <v>1454525.4903200096</v>
      </c>
      <c r="K72" s="68"/>
      <c r="L72" s="71" t="s">
        <v>295</v>
      </c>
      <c r="M72" s="91">
        <f>P24-M51</f>
        <v>64.050279813573127</v>
      </c>
      <c r="N72" s="70">
        <f>(IF(ROUNDDOWN(O70,-2)=ROUNDUP(O70,-2),VLOOKUP(O70,Enthalpy,19),VLOOKUP(ROUNDDOWN(O70,-2),Enthalpy,19)+(O70-ROUNDDOWN(O70,-2))/(ROUNDUP(O70,-2)-ROUNDDOWN(O70,-2))*(VLOOKUP(ROUNDUP(O70,-2),Enthalpy,19)-VLOOKUP(ROUNDDOWN(O70,-2),Enthalpy,19))))</f>
        <v>20240</v>
      </c>
      <c r="O72" s="123">
        <f>(M72*N72)</f>
        <v>1296377.6634267201</v>
      </c>
      <c r="P72" s="113">
        <f>-1523+9.49*O70+0.000693*O70*O70</f>
        <v>21462.13</v>
      </c>
      <c r="Q72" s="151">
        <f>P72*M72</f>
        <v>1374655.4318952824</v>
      </c>
      <c r="R72" s="71">
        <f>(IF(ROUNDDOWN(S70,-2)=ROUNDUP(S70,-2),VLOOKUP(S70,Enthalpy,19),VLOOKUP(ROUNDDOWN(S70,-2),Enthalpy,19)+(S70-ROUNDDOWN(S70,-2))/(ROUNDUP(S70,-2)-ROUNDDOWN(S70,-2))*(VLOOKUP(ROUNDUP(S70,-2),Enthalpy,19)-VLOOKUP(ROUNDDOWN(S70,-2),Enthalpy,19))))</f>
        <v>22720</v>
      </c>
      <c r="S72" s="152">
        <f t="shared" ref="S72:S77" si="8">(M72*R72)</f>
        <v>1455222.3573643814</v>
      </c>
      <c r="T72" s="153">
        <f>-1523+9.49*S70+0.000693*S70*S70</f>
        <v>22709.119999999999</v>
      </c>
      <c r="U72" s="154">
        <f>T72*M72</f>
        <v>1454525.4903200096</v>
      </c>
    </row>
    <row r="73" spans="1:21" ht="16.5" x14ac:dyDescent="0.3">
      <c r="A73" s="67" t="s">
        <v>43</v>
      </c>
      <c r="B73" s="88">
        <f>E25</f>
        <v>159.09563336735241</v>
      </c>
      <c r="C73" s="130">
        <f>(IF(ROUNDDOWN(D70,-2)=ROUNDUP(D70,-2),VLOOKUP(D70,Enthalpy,14),VLOOKUP(ROUNDDOWN(D70,-2),Enthalpy,14)+(D70-ROUNDDOWN(D70,-2))/(ROUNDUP(D70,-2)-ROUNDDOWN(D70,-2))*(VLOOKUP(ROUNDUP(D70,-2),Enthalpy,14)-VLOOKUP(ROUNDDOWN(D70,-2),Enthalpy,14))))</f>
        <v>23560</v>
      </c>
      <c r="D73" s="120">
        <f t="shared" ref="D73:D77" si="9">(B73*C73)</f>
        <v>3748293.1221348229</v>
      </c>
      <c r="E73" s="148">
        <f>-2178+11.97*D70+0.000449*D70*D70</f>
        <v>24939.09</v>
      </c>
      <c r="F73" s="155">
        <f t="shared" ref="F73:F77" si="10">E73*B73</f>
        <v>3967700.3191554048</v>
      </c>
      <c r="G73" s="66">
        <f>(IF(ROUNDDOWN(H70,-2)=ROUNDUP(H70,-2),VLOOKUP(H70,Enthalpy,14),VLOOKUP(ROUNDDOWN(H70,-2),Enthalpy,14)+(H70-ROUNDDOWN(H70,-2))/(ROUNDUP(H70,-2)-ROUNDDOWN(H70,-2))*(VLOOKUP(ROUNDUP(H70,-2),Enthalpy,14)-VLOOKUP(ROUNDDOWN(H70,-2),Enthalpy,14))))</f>
        <v>26330</v>
      </c>
      <c r="H73" s="120">
        <f t="shared" si="7"/>
        <v>4188988.026562389</v>
      </c>
      <c r="I73" s="148">
        <f>-2178+11.97*H70+0.000449*H70*H70</f>
        <v>26329.16</v>
      </c>
      <c r="J73" s="150">
        <f t="shared" ref="J73:J77" si="11">I73*B73</f>
        <v>4188854.3862303603</v>
      </c>
      <c r="K73" s="68"/>
      <c r="L73" s="71" t="s">
        <v>296</v>
      </c>
      <c r="M73" s="91">
        <f>P25</f>
        <v>159.09563336735241</v>
      </c>
      <c r="N73" s="113">
        <f>(IF(ROUNDDOWN(O70,-2)=ROUNDUP(O70,-2),VLOOKUP(O70,Enthalpy,14),VLOOKUP(ROUNDDOWN(O70,-2),Enthalpy,14)+(O70-ROUNDDOWN(O70,-2))/(ROUNDUP(O70,-2)-ROUNDDOWN(O70,-2))*(VLOOKUP(ROUNDUP(O70,-2),Enthalpy,14)-VLOOKUP(ROUNDDOWN(O70,-2),Enthalpy,14))))</f>
        <v>23560</v>
      </c>
      <c r="O73" s="123">
        <f t="shared" ref="O73:O77" si="12">(M73*N73)</f>
        <v>3748293.1221348229</v>
      </c>
      <c r="P73" s="113">
        <f>-2178+11.97*O70+0.000449*O70*O70</f>
        <v>24939.09</v>
      </c>
      <c r="Q73" s="151">
        <f t="shared" ref="Q73:Q77" si="13">P73*M73</f>
        <v>3967700.3191554048</v>
      </c>
      <c r="R73" s="71">
        <f>(IF(ROUNDDOWN(S70,-2)=ROUNDUP(S70,-2),VLOOKUP(S70,Enthalpy,14),VLOOKUP(ROUNDDOWN(S70,-2),Enthalpy,14)+(S70-ROUNDDOWN(S70,-2))/(ROUNDUP(S70,-2)-ROUNDDOWN(S70,-2))*(VLOOKUP(ROUNDUP(S70,-2),Enthalpy,14)-VLOOKUP(ROUNDDOWN(S70,-2),Enthalpy,14))))</f>
        <v>26330</v>
      </c>
      <c r="S73" s="152">
        <f t="shared" si="8"/>
        <v>4188988.026562389</v>
      </c>
      <c r="T73" s="153">
        <f>-2178+11.97*S70+0.000449*S70*S70</f>
        <v>26329.16</v>
      </c>
      <c r="U73" s="154">
        <f t="shared" ref="U73:U77" si="14">T73*M73</f>
        <v>4188854.3862303603</v>
      </c>
    </row>
    <row r="74" spans="1:21" ht="16.5" x14ac:dyDescent="0.3">
      <c r="A74" s="67" t="s">
        <v>44</v>
      </c>
      <c r="B74" s="88">
        <f>E26+B51</f>
        <v>288.09297466344771</v>
      </c>
      <c r="C74" s="66">
        <f>(IF(ROUNDDOWN(D70,-2)=ROUNDUP(D70,-2),VLOOKUP(D70,Enthalpy,15),VLOOKUP(ROUNDDOWN(D70,-2),Enthalpy,15)+(D70-ROUNDDOWN(D70,-2))/(ROUNDUP(D70,-2)-ROUNDDOWN(D70,-2))*(VLOOKUP(ROUNDUP(D70,-2),Enthalpy,15)-VLOOKUP(ROUNDDOWN(D70,-2),Enthalpy,15))))</f>
        <v>18350</v>
      </c>
      <c r="D74" s="120">
        <f t="shared" si="9"/>
        <v>5286506.0850742655</v>
      </c>
      <c r="E74" s="148">
        <f>+-181+7.62*D70+0.000826*D70*D70</f>
        <v>19463.66</v>
      </c>
      <c r="F74" s="155">
        <f t="shared" si="10"/>
        <v>5607343.7072379608</v>
      </c>
      <c r="G74" s="66">
        <f>(IF(ROUNDDOWN(H70,-2)=ROUNDUP(H70,-2),VLOOKUP(H70,Enthalpy,15),VLOOKUP(ROUNDDOWN(H70,-2),Enthalpy,15)+(H70-ROUNDDOWN(H70,-2))/(ROUNDUP(H70,-2)-ROUNDDOWN(H70,-2))*(VLOOKUP(ROUNDUP(H70,-2),Enthalpy,15)-VLOOKUP(ROUNDDOWN(H70,-2),Enthalpy,15))))</f>
        <v>20570</v>
      </c>
      <c r="H74" s="120">
        <f t="shared" si="7"/>
        <v>5926072.4888271196</v>
      </c>
      <c r="I74" s="148">
        <f>+-181+7.62*H70+0.000826*H70*H70</f>
        <v>20580.84</v>
      </c>
      <c r="J74" s="150">
        <f t="shared" si="11"/>
        <v>5929195.416672471</v>
      </c>
      <c r="K74" s="68"/>
      <c r="L74" s="71" t="s">
        <v>297</v>
      </c>
      <c r="M74" s="91">
        <f>P26+M51</f>
        <v>288.09297466344771</v>
      </c>
      <c r="N74" s="70">
        <f>(IF(ROUNDDOWN(O70,-2)=ROUNDUP(O70,-2),VLOOKUP(O70,Enthalpy,15),VLOOKUP(ROUNDDOWN(O70,-2),Enthalpy,15)+(O70-ROUNDDOWN(O70,-2))/(ROUNDUP(O70,-2)-ROUNDDOWN(O70,-2))*(VLOOKUP(ROUNDUP(O70,-2),Enthalpy,15)-VLOOKUP(ROUNDDOWN(O70,-2),Enthalpy,15))))</f>
        <v>18350</v>
      </c>
      <c r="O74" s="123">
        <f t="shared" si="12"/>
        <v>5286506.0850742655</v>
      </c>
      <c r="P74" s="113">
        <f>+-181+7.62*O70+0.000826*O70*O70</f>
        <v>19463.66</v>
      </c>
      <c r="Q74" s="151">
        <f t="shared" si="13"/>
        <v>5607343.7072379608</v>
      </c>
      <c r="R74" s="71">
        <f>(IF(ROUNDDOWN(S70,-2)=ROUNDUP(S70,-2),VLOOKUP(S70,Enthalpy,15),VLOOKUP(ROUNDDOWN(S70,-2),Enthalpy,15)+(S70-ROUNDDOWN(S70,-2))/(ROUNDUP(S70,-2)-ROUNDDOWN(S70,-2))*(VLOOKUP(ROUNDUP(S70,-2),Enthalpy,15)-VLOOKUP(ROUNDDOWN(S70,-2),Enthalpy,15))))</f>
        <v>20570</v>
      </c>
      <c r="S74" s="152">
        <f t="shared" si="8"/>
        <v>5926072.4888271196</v>
      </c>
      <c r="T74" s="153">
        <f>+-181+7.62*S70+0.000826*S70*S70</f>
        <v>20580.84</v>
      </c>
      <c r="U74" s="154">
        <f t="shared" si="14"/>
        <v>5929195.416672471</v>
      </c>
    </row>
    <row r="75" spans="1:21" ht="16.5" x14ac:dyDescent="0.3">
      <c r="A75" s="67" t="s">
        <v>51</v>
      </c>
      <c r="B75" s="88">
        <f>E27-(1/2)*B51</f>
        <v>32.025139906786563</v>
      </c>
      <c r="C75" s="66">
        <f>(IF(ROUNDDOWN(D70,-2)=ROUNDUP(D70,-2),VLOOKUP(D70,Enthalpy,17),VLOOKUP(ROUNDDOWN(D70,-2),Enthalpy,17)+(D70-ROUNDDOWN(D70,-2))/(ROUNDUP(D70,-2)-ROUNDDOWN(D70,-2))*(VLOOKUP(ROUNDUP(D70,-2),Enthalpy,17)-VLOOKUP(ROUNDDOWN(D70,-2),Enthalpy,17))))</f>
        <v>24220</v>
      </c>
      <c r="D75" s="120">
        <f t="shared" si="9"/>
        <v>775648.88854237052</v>
      </c>
      <c r="E75" s="148">
        <f>-1652+12.07*D70+0.000434*D70*D70</f>
        <v>25608.94</v>
      </c>
      <c r="F75" s="155">
        <f t="shared" si="10"/>
        <v>820129.8863645026</v>
      </c>
      <c r="G75" s="66">
        <f>(IF(ROUNDDOWN(H70,-2)=ROUNDUP(H70,-2),VLOOKUP(H70,Enthalpy,17),VLOOKUP(ROUNDDOWN(H70,-2),Enthalpy,17)+(H70-ROUNDDOWN(H70,-2))/(ROUNDUP(H70,-2)-ROUNDDOWN(H70,-2))*(VLOOKUP(ROUNDUP(H70,-2),Enthalpy,17)-VLOOKUP(ROUNDDOWN(H70,-2),Enthalpy,17))))</f>
        <v>27000</v>
      </c>
      <c r="H75" s="120">
        <f t="shared" si="7"/>
        <v>864678.77748323721</v>
      </c>
      <c r="I75" s="148">
        <f>-1652+12.07*H70+0.000434*H70*H70</f>
        <v>27002.560000000001</v>
      </c>
      <c r="J75" s="150">
        <f t="shared" si="11"/>
        <v>864760.76184139866</v>
      </c>
      <c r="K75" s="68"/>
      <c r="L75" s="71" t="s">
        <v>300</v>
      </c>
      <c r="M75" s="91">
        <f>P27-(1/2)*M51</f>
        <v>32.025139906786563</v>
      </c>
      <c r="N75" s="70">
        <f>(IF(ROUNDDOWN(O70,-2)=ROUNDUP(O70,-2),VLOOKUP(O70,Enthalpy,17),VLOOKUP(ROUNDDOWN(O70,-2),Enthalpy,17)+(O70-ROUNDDOWN(O70,-2))/(ROUNDUP(O70,-2)-ROUNDDOWN(O70,-2))*(VLOOKUP(ROUNDUP(O70,-2),Enthalpy,17)-VLOOKUP(ROUNDDOWN(O70,-2),Enthalpy,17))))</f>
        <v>24220</v>
      </c>
      <c r="O75" s="123">
        <f t="shared" si="12"/>
        <v>775648.88854237052</v>
      </c>
      <c r="P75" s="113">
        <f>-1652+12.07*O70+0.000434*O70*O70</f>
        <v>25608.94</v>
      </c>
      <c r="Q75" s="151">
        <f t="shared" si="13"/>
        <v>820129.8863645026</v>
      </c>
      <c r="R75" s="71">
        <f>(IF(ROUNDDOWN(S70,-2)=ROUNDUP(S70,-2),VLOOKUP(S70,Enthalpy,17),VLOOKUP(ROUNDDOWN(S70,-2),Enthalpy,17)+(S70-ROUNDDOWN(S70,-2))/(ROUNDUP(S70,-2)-ROUNDDOWN(S70,-2))*(VLOOKUP(ROUNDUP(S70,-2),Enthalpy,17)-VLOOKUP(ROUNDDOWN(S70,-2),Enthalpy,17))))</f>
        <v>27000</v>
      </c>
      <c r="S75" s="152">
        <f t="shared" si="8"/>
        <v>864678.77748323721</v>
      </c>
      <c r="T75" s="153">
        <f>-1652+12.07*S70+0.000434*S70*S70</f>
        <v>27002.560000000001</v>
      </c>
      <c r="U75" s="154">
        <f t="shared" si="14"/>
        <v>864760.76184139866</v>
      </c>
    </row>
    <row r="76" spans="1:21" ht="16.5" x14ac:dyDescent="0.3">
      <c r="A76" s="67" t="s">
        <v>52</v>
      </c>
      <c r="B76" s="88">
        <f>E28</f>
        <v>582.62585529985779</v>
      </c>
      <c r="C76" s="66">
        <f>(IF(ROUNDDOWN(D70,-2)=ROUNDUP(D70,-2),VLOOKUP(D70,Enthalpy,9),VLOOKUP(ROUNDDOWN(D70,-2),Enthalpy,9)+(D70-ROUNDDOWN(D70,-2))/(ROUNDUP(D70,-2)-ROUNDDOWN(D70,-2))*(VLOOKUP(ROUNDUP(D70,-2),Enthalpy,9)-VLOOKUP(ROUNDDOWN(D70,-2),Enthalpy,9))))</f>
        <v>14820</v>
      </c>
      <c r="D76" s="120">
        <f t="shared" si="9"/>
        <v>8634515.1755438931</v>
      </c>
      <c r="E76" s="148">
        <f>-616+7.24*D70+0.000242*D70*D70</f>
        <v>15655.22</v>
      </c>
      <c r="F76" s="155">
        <f t="shared" si="10"/>
        <v>9121135.9424074385</v>
      </c>
      <c r="G76" s="66">
        <f>(IF(ROUNDDOWN(H70,-2)=ROUNDUP(H70,-2),VLOOKUP(H70,Enthalpy,9),VLOOKUP(ROUNDDOWN(H70,-2),Enthalpy,9)+(H70-ROUNDDOWN(H70,-2))/(ROUNDUP(H70,-2)-ROUNDDOWN(H70,-2))*(VLOOKUP(ROUNDUP(H70,-2),Enthalpy,9)-VLOOKUP(ROUNDDOWN(H70,-2),Enthalpy,9))))</f>
        <v>16480</v>
      </c>
      <c r="H76" s="120">
        <f t="shared" si="7"/>
        <v>9601674.0953416564</v>
      </c>
      <c r="I76" s="148">
        <f>-616+7.24*H70+0.000242*H70*H70</f>
        <v>16483.28</v>
      </c>
      <c r="J76" s="150">
        <f t="shared" si="11"/>
        <v>9603585.10814704</v>
      </c>
      <c r="K76" s="68"/>
      <c r="L76" s="71" t="s">
        <v>299</v>
      </c>
      <c r="M76" s="91">
        <f>P28</f>
        <v>582.62585529985779</v>
      </c>
      <c r="N76" s="70">
        <f>(IF(ROUNDDOWN(O70,-2)=ROUNDUP(O70,-2),VLOOKUP(O70,Enthalpy,9),VLOOKUP(ROUNDDOWN(O70,-2),Enthalpy,9)+(O70-ROUNDDOWN(O70,-2))/(ROUNDUP(O70,-2)-ROUNDDOWN(O70,-2))*(VLOOKUP(ROUNDUP(O70,-2),Enthalpy,9)-VLOOKUP(ROUNDDOWN(O70,-2),Enthalpy,9))))</f>
        <v>14820</v>
      </c>
      <c r="O76" s="123">
        <f t="shared" si="12"/>
        <v>8634515.1755438931</v>
      </c>
      <c r="P76" s="113">
        <f>-616+7.24*O70+0.000242*O70*O70</f>
        <v>15655.22</v>
      </c>
      <c r="Q76" s="151">
        <f t="shared" si="13"/>
        <v>9121135.9424074385</v>
      </c>
      <c r="R76" s="71">
        <f>(IF(ROUNDDOWN(S70,-2)=ROUNDUP(S70,-2),VLOOKUP(S70,Enthalpy,9),VLOOKUP(ROUNDDOWN(S70,-2),Enthalpy,9)+(S70-ROUNDDOWN(S70,-2))/(ROUNDUP(S70,-2)-ROUNDDOWN(S70,-2))*(VLOOKUP(ROUNDUP(S70,-2),Enthalpy,9)-VLOOKUP(ROUNDDOWN(S70,-2),Enthalpy,9))))</f>
        <v>16480</v>
      </c>
      <c r="S76" s="152">
        <f t="shared" si="8"/>
        <v>9601674.0953416564</v>
      </c>
      <c r="T76" s="153">
        <f>-616+7.24*S70+0.000242*S70*S70</f>
        <v>16483.28</v>
      </c>
      <c r="U76" s="154">
        <f t="shared" si="14"/>
        <v>9603585.10814704</v>
      </c>
    </row>
    <row r="77" spans="1:21" ht="18" x14ac:dyDescent="0.4">
      <c r="A77" s="67" t="s">
        <v>54</v>
      </c>
      <c r="B77" s="94">
        <f>(3/4)*B51</f>
        <v>97.5</v>
      </c>
      <c r="C77" s="66">
        <f>(IF(ROUNDDOWN(D70,-2)=ROUNDUP(D70,-2),VLOOKUP(D70,Enthalpy,16),VLOOKUP(ROUNDDOWN(D70,-2),Enthalpy,16)+(D70-ROUNDDOWN(D70,-2))/(ROUNDUP(D70,-2)-ROUNDDOWN(D70,-2))*(VLOOKUP(ROUNDUP(D70,-2),Enthalpy,16)-VLOOKUP(ROUNDDOWN(D70,-2),Enthalpy,16))))</f>
        <v>17110</v>
      </c>
      <c r="D77" s="125">
        <f t="shared" si="9"/>
        <v>1668225</v>
      </c>
      <c r="E77" s="148">
        <f>-479+8.38*D70+0.000207*D70*D70</f>
        <v>18031.87</v>
      </c>
      <c r="F77" s="156">
        <f t="shared" si="10"/>
        <v>1758107.325</v>
      </c>
      <c r="G77" s="66">
        <f>(IF(ROUNDDOWN(H70,-2)=ROUNDUP(H70,-2),VLOOKUP(H70,Enthalpy,16),VLOOKUP(ROUNDDOWN(H70,-2),Enthalpy,16)+(H70-ROUNDDOWN(H70,-2))/(ROUNDUP(H70,-2)-ROUNDDOWN(H70,-2))*(VLOOKUP(ROUNDUP(H70,-2),Enthalpy,16)-VLOOKUP(ROUNDDOWN(H70,-2),Enthalpy,16))))</f>
        <v>18960</v>
      </c>
      <c r="H77" s="157">
        <f t="shared" si="7"/>
        <v>1848600</v>
      </c>
      <c r="I77" s="148">
        <f>-479+8.38*H70+0.000207*H70*H70</f>
        <v>18958.88</v>
      </c>
      <c r="J77" s="158">
        <f t="shared" si="11"/>
        <v>1848490.8</v>
      </c>
      <c r="K77" s="68"/>
      <c r="L77" s="71" t="s">
        <v>301</v>
      </c>
      <c r="M77" s="96">
        <f>(3/4)*M51</f>
        <v>97.5</v>
      </c>
      <c r="N77" s="70">
        <f>(IF(ROUNDDOWN(O70,-2)=ROUNDUP(O70,-2),VLOOKUP(O70,Enthalpy,16),VLOOKUP(ROUNDDOWN(O70,-2),Enthalpy,16)+(O70-ROUNDDOWN(O70,-2))/(ROUNDUP(O70,-2)-ROUNDDOWN(O70,-2))*(VLOOKUP(ROUNDUP(O70,-2),Enthalpy,16)-VLOOKUP(ROUNDDOWN(O70,-2),Enthalpy,16))))</f>
        <v>17110</v>
      </c>
      <c r="O77" s="127">
        <f t="shared" si="12"/>
        <v>1668225</v>
      </c>
      <c r="P77" s="113">
        <f>-479+8.38*O70+0.000207*O70*O70</f>
        <v>18031.87</v>
      </c>
      <c r="Q77" s="159">
        <f t="shared" si="13"/>
        <v>1758107.325</v>
      </c>
      <c r="R77" s="71">
        <f>(IF(ROUNDDOWN(S70,-2)=ROUNDUP(S70,-2),VLOOKUP(S70,Enthalpy,16),VLOOKUP(ROUNDDOWN(S70,-2),Enthalpy,16)+(S70-ROUNDDOWN(S70,-2))/(ROUNDUP(S70,-2)-ROUNDDOWN(S70,-2))*(VLOOKUP(ROUNDUP(S70,-2),Enthalpy,16)-VLOOKUP(ROUNDDOWN(S70,-2),Enthalpy,16))))</f>
        <v>18960</v>
      </c>
      <c r="S77" s="160">
        <f t="shared" si="8"/>
        <v>1848600</v>
      </c>
      <c r="T77" s="153">
        <f>-479+8.38*S70+0.000207*S70*S70</f>
        <v>18958.88</v>
      </c>
      <c r="U77" s="161">
        <f t="shared" si="14"/>
        <v>1848490.8</v>
      </c>
    </row>
    <row r="78" spans="1:21" x14ac:dyDescent="0.25">
      <c r="A78" s="67"/>
      <c r="B78" s="88">
        <f>SUM(B72:B77)</f>
        <v>1223.3898830510175</v>
      </c>
      <c r="C78" s="66"/>
      <c r="D78" s="120">
        <f>SUM(D72:D77)</f>
        <v>21409565.934722073</v>
      </c>
      <c r="E78" s="67"/>
      <c r="F78" s="155">
        <f>SUM(F72:F77)</f>
        <v>22649072.612060588</v>
      </c>
      <c r="G78" s="66"/>
      <c r="H78" s="120">
        <f>SUM(H72:H77)</f>
        <v>23885235.745578784</v>
      </c>
      <c r="I78" s="67"/>
      <c r="J78" s="150">
        <f>SUM(J72:J77)</f>
        <v>23889411.963211279</v>
      </c>
      <c r="K78" s="68"/>
      <c r="L78" s="71"/>
      <c r="M78" s="91">
        <f>SUM(M72:M77)</f>
        <v>1223.3898830510175</v>
      </c>
      <c r="N78" s="70"/>
      <c r="O78" s="123">
        <f>SUM(O72:O77)</f>
        <v>21409565.934722073</v>
      </c>
      <c r="P78" s="70"/>
      <c r="Q78" s="151">
        <f>SUM(Q72:Q77)</f>
        <v>22649072.612060588</v>
      </c>
      <c r="R78" s="71"/>
      <c r="S78" s="152">
        <f>SUM(S72:S77)</f>
        <v>23885235.745578784</v>
      </c>
      <c r="T78" s="71"/>
      <c r="U78" s="154">
        <f>SUM(U72:U77)</f>
        <v>23889411.963211279</v>
      </c>
    </row>
    <row r="79" spans="1:21" x14ac:dyDescent="0.25">
      <c r="A79" s="162" t="s">
        <v>196</v>
      </c>
      <c r="B79" s="66"/>
      <c r="C79" s="66"/>
      <c r="D79" s="67"/>
      <c r="E79" s="67"/>
      <c r="F79" s="67" t="s">
        <v>249</v>
      </c>
      <c r="G79" s="67"/>
      <c r="H79" s="67"/>
      <c r="I79" s="67"/>
      <c r="J79" s="67"/>
      <c r="K79" s="68"/>
      <c r="L79" s="163" t="s">
        <v>196</v>
      </c>
      <c r="M79" s="70"/>
      <c r="N79" s="70"/>
      <c r="O79" s="71"/>
      <c r="P79" s="71"/>
      <c r="Q79" s="71" t="s">
        <v>249</v>
      </c>
      <c r="R79" s="71"/>
      <c r="S79" s="71"/>
      <c r="T79" s="71"/>
      <c r="U79" s="71"/>
    </row>
    <row r="80" spans="1:21" x14ac:dyDescent="0.25">
      <c r="A80" s="75" t="s">
        <v>73</v>
      </c>
      <c r="B80" s="66" t="s">
        <v>1</v>
      </c>
      <c r="C80" s="120">
        <f>D59</f>
        <v>312761.72966708918</v>
      </c>
      <c r="D80" s="67" t="s">
        <v>76</v>
      </c>
      <c r="E80" s="67"/>
      <c r="F80" s="66" t="s">
        <v>1</v>
      </c>
      <c r="G80" s="120">
        <f>F59</f>
        <v>311550.63875431311</v>
      </c>
      <c r="H80" s="67" t="s">
        <v>76</v>
      </c>
      <c r="I80" s="67"/>
      <c r="J80" s="67"/>
      <c r="K80" s="68"/>
      <c r="L80" s="77" t="s">
        <v>73</v>
      </c>
      <c r="M80" s="70" t="s">
        <v>1</v>
      </c>
      <c r="N80" s="123">
        <f>O59</f>
        <v>312761.72966708918</v>
      </c>
      <c r="O80" s="71" t="s">
        <v>76</v>
      </c>
      <c r="P80" s="71"/>
      <c r="Q80" s="71" t="s">
        <v>1</v>
      </c>
      <c r="R80" s="152">
        <f>Q59</f>
        <v>311550.63875431311</v>
      </c>
      <c r="S80" s="71" t="s">
        <v>76</v>
      </c>
      <c r="T80" s="71"/>
      <c r="U80" s="71"/>
    </row>
    <row r="81" spans="1:21" x14ac:dyDescent="0.25">
      <c r="A81" s="75" t="s">
        <v>77</v>
      </c>
      <c r="B81" s="66" t="s">
        <v>1</v>
      </c>
      <c r="C81" s="120">
        <f>D67</f>
        <v>796720</v>
      </c>
      <c r="D81" s="67" t="s">
        <v>76</v>
      </c>
      <c r="E81" s="67"/>
      <c r="F81" s="66" t="s">
        <v>1</v>
      </c>
      <c r="G81" s="120">
        <f>F67</f>
        <v>795493.45817025402</v>
      </c>
      <c r="H81" s="67" t="s">
        <v>76</v>
      </c>
      <c r="I81" s="67"/>
      <c r="J81" s="67"/>
      <c r="K81" s="68"/>
      <c r="L81" s="77" t="s">
        <v>77</v>
      </c>
      <c r="M81" s="70" t="s">
        <v>1</v>
      </c>
      <c r="N81" s="123">
        <f>O67</f>
        <v>796730.04959126131</v>
      </c>
      <c r="O81" s="71" t="s">
        <v>76</v>
      </c>
      <c r="P81" s="71"/>
      <c r="Q81" s="71" t="s">
        <v>1</v>
      </c>
      <c r="R81" s="152">
        <f>Q67</f>
        <v>795493.45817025402</v>
      </c>
      <c r="S81" s="71" t="s">
        <v>76</v>
      </c>
      <c r="T81" s="71"/>
      <c r="U81" s="71"/>
    </row>
    <row r="82" spans="1:21" ht="16.5" x14ac:dyDescent="0.3">
      <c r="A82" s="75" t="s">
        <v>81</v>
      </c>
      <c r="B82" s="66" t="s">
        <v>1</v>
      </c>
      <c r="C82" s="120">
        <f>ROUND((1/3)*B24 * -D6,-1)</f>
        <v>21607500</v>
      </c>
      <c r="D82" s="67" t="s">
        <v>76</v>
      </c>
      <c r="E82" s="67"/>
      <c r="F82" s="66" t="s">
        <v>1</v>
      </c>
      <c r="G82" s="120">
        <f>ROUND((1/3)*B24 * -D6,-1)</f>
        <v>21607500</v>
      </c>
      <c r="H82" s="67" t="s">
        <v>76</v>
      </c>
      <c r="I82" s="67"/>
      <c r="J82" s="67"/>
      <c r="K82" s="68"/>
      <c r="L82" s="77" t="s">
        <v>307</v>
      </c>
      <c r="M82" s="70" t="s">
        <v>1</v>
      </c>
      <c r="N82" s="123">
        <f>ROUND((1/3)*M24 * -O6,-1)</f>
        <v>21607500</v>
      </c>
      <c r="O82" s="71" t="s">
        <v>76</v>
      </c>
      <c r="P82" s="71"/>
      <c r="Q82" s="71" t="s">
        <v>1</v>
      </c>
      <c r="R82" s="152">
        <f>ROUND((1/3)*M24 * -O6,-1)</f>
        <v>21607500</v>
      </c>
      <c r="S82" s="71" t="s">
        <v>76</v>
      </c>
      <c r="T82" s="71"/>
      <c r="U82" s="71"/>
    </row>
    <row r="83" spans="1:21" x14ac:dyDescent="0.25">
      <c r="A83" s="75" t="s">
        <v>82</v>
      </c>
      <c r="B83" s="66" t="s">
        <v>1</v>
      </c>
      <c r="C83" s="120">
        <f>ROUND(B33*-D8,-1)</f>
        <v>1623430</v>
      </c>
      <c r="D83" s="67" t="s">
        <v>76</v>
      </c>
      <c r="E83" s="67"/>
      <c r="F83" s="66" t="s">
        <v>1</v>
      </c>
      <c r="G83" s="120">
        <f>ROUND(B33*-D8,-1)</f>
        <v>1623430</v>
      </c>
      <c r="H83" s="67" t="s">
        <v>76</v>
      </c>
      <c r="I83" s="164" t="s">
        <v>306</v>
      </c>
      <c r="J83" s="104"/>
      <c r="K83" s="68"/>
      <c r="L83" s="77" t="s">
        <v>82</v>
      </c>
      <c r="M83" s="70" t="s">
        <v>1</v>
      </c>
      <c r="N83" s="123">
        <f>ROUND(M33*-O8,-1)</f>
        <v>1623430</v>
      </c>
      <c r="O83" s="71" t="s">
        <v>76</v>
      </c>
      <c r="P83" s="71"/>
      <c r="Q83" s="71" t="s">
        <v>1</v>
      </c>
      <c r="R83" s="152">
        <f>ROUND(M33*-O8,-1)</f>
        <v>1623430</v>
      </c>
      <c r="S83" s="71" t="s">
        <v>76</v>
      </c>
      <c r="T83" s="108" t="s">
        <v>306</v>
      </c>
      <c r="U83" s="109"/>
    </row>
    <row r="84" spans="1:21" ht="15" customHeight="1" x14ac:dyDescent="0.25">
      <c r="A84" s="75" t="s">
        <v>83</v>
      </c>
      <c r="B84" s="66" t="s">
        <v>1</v>
      </c>
      <c r="C84" s="125">
        <f>B51/2 * -D20</f>
        <v>-1314950</v>
      </c>
      <c r="D84" s="80" t="s">
        <v>76</v>
      </c>
      <c r="E84" s="67"/>
      <c r="F84" s="66" t="s">
        <v>1</v>
      </c>
      <c r="G84" s="125">
        <f>B51/2 * -D20</f>
        <v>-1314950</v>
      </c>
      <c r="H84" s="80" t="s">
        <v>76</v>
      </c>
      <c r="I84" s="104"/>
      <c r="J84" s="104"/>
      <c r="K84" s="68"/>
      <c r="L84" s="77" t="s">
        <v>83</v>
      </c>
      <c r="M84" s="70" t="s">
        <v>1</v>
      </c>
      <c r="N84" s="127">
        <f>M51/2 * -O20</f>
        <v>-1314950</v>
      </c>
      <c r="O84" s="82" t="s">
        <v>76</v>
      </c>
      <c r="P84" s="71"/>
      <c r="Q84" s="71" t="s">
        <v>1</v>
      </c>
      <c r="R84" s="152">
        <f>M51/2 * -O20</f>
        <v>-1314950</v>
      </c>
      <c r="S84" s="71" t="s">
        <v>76</v>
      </c>
      <c r="T84" s="109"/>
      <c r="U84" s="109"/>
    </row>
    <row r="85" spans="1:21" x14ac:dyDescent="0.25">
      <c r="A85" s="67"/>
      <c r="B85" s="66"/>
      <c r="C85" s="120">
        <f>SUM(C80:C84)</f>
        <v>23025461.72966709</v>
      </c>
      <c r="D85" s="67" t="s">
        <v>76</v>
      </c>
      <c r="E85" s="67"/>
      <c r="F85" s="66"/>
      <c r="G85" s="120">
        <f>SUM(G80:G84)</f>
        <v>23023024.096924566</v>
      </c>
      <c r="H85" s="67" t="s">
        <v>76</v>
      </c>
      <c r="I85" s="104"/>
      <c r="J85" s="104"/>
      <c r="K85" s="68"/>
      <c r="L85" s="71"/>
      <c r="M85" s="70"/>
      <c r="N85" s="123">
        <f>SUM(N80:N84)</f>
        <v>23025471.779258352</v>
      </c>
      <c r="O85" s="71" t="s">
        <v>76</v>
      </c>
      <c r="P85" s="71"/>
      <c r="Q85" s="71"/>
      <c r="R85" s="152">
        <f>SUM(R80:R84)</f>
        <v>23023024.096924566</v>
      </c>
      <c r="S85" s="71" t="s">
        <v>76</v>
      </c>
      <c r="T85" s="109"/>
      <c r="U85" s="109"/>
    </row>
    <row r="86" spans="1:21" x14ac:dyDescent="0.25">
      <c r="A86" s="67"/>
      <c r="B86" s="66"/>
      <c r="C86" s="66"/>
      <c r="D86" s="67"/>
      <c r="E86" s="67"/>
      <c r="F86" s="67"/>
      <c r="G86" s="67"/>
      <c r="H86" s="67"/>
      <c r="I86" s="104"/>
      <c r="J86" s="104"/>
      <c r="K86" s="68"/>
      <c r="L86" s="71"/>
      <c r="M86" s="70"/>
      <c r="N86" s="70"/>
      <c r="O86" s="71"/>
      <c r="P86" s="71"/>
      <c r="Q86" s="71"/>
      <c r="R86" s="71"/>
      <c r="S86" s="71"/>
      <c r="T86" s="109"/>
      <c r="U86" s="109"/>
    </row>
    <row r="87" spans="1:21" x14ac:dyDescent="0.25">
      <c r="A87" s="67"/>
      <c r="B87" s="101" t="str">
        <f>CONCATENATE("By interpolation, flame temperature is approx: ",ROUND(((C85-D78)/(H78-D78)) * ('Step 1'!H70-'Step 1'!D70) +'Step 1'!D70,0),"°F")</f>
        <v>By interpolation, flame temperature is approx: 2165°F</v>
      </c>
      <c r="C87" s="66"/>
      <c r="D87" s="67"/>
      <c r="E87" s="148"/>
      <c r="F87" s="101" t="str">
        <f>CONCATENATE("By interpolation, flame temperature is approx: ",ROUND(((G85-H78)/(L78-H78)) * ('Step 1'!L70-'Step 1'!H70) +'Step 1'!H70,0),"°F")</f>
        <v>By interpolation, flame temperature is approx: 2121°F</v>
      </c>
      <c r="G87" s="67"/>
      <c r="H87" s="67"/>
      <c r="I87" s="67"/>
      <c r="J87" s="67"/>
      <c r="K87" s="68"/>
      <c r="L87" s="71"/>
      <c r="M87" s="102" t="str">
        <f>CONCATENATE("By interpolation, flame temperature is approx: ",ROUND(((N85-O78)/(S78-O78)) * ('Step 1'!S70-'Step 1'!O70) +'Step 1'!O70,0),"°F")</f>
        <v>By interpolation, flame temperature is approx: 2165°F</v>
      </c>
      <c r="N87" s="70"/>
      <c r="O87" s="71"/>
      <c r="P87" s="153"/>
      <c r="Q87" s="71" t="str">
        <f>CONCATENATE("By interpolation, flame temperature is approx: ",ROUND(((R85-S78)/(W78-S78)) * ('Step 1'!W70-'Step 1'!S70) +'Step 1'!S70,0),"°F")</f>
        <v>By interpolation, flame temperature is approx: 2121°F</v>
      </c>
      <c r="R87" s="71"/>
      <c r="S87" s="71"/>
      <c r="T87" s="71"/>
      <c r="U87" s="71"/>
    </row>
    <row r="88" spans="1:21" x14ac:dyDescent="0.25">
      <c r="A88" s="67"/>
      <c r="B88" s="101"/>
      <c r="C88" s="66"/>
      <c r="D88" s="67"/>
      <c r="E88" s="148"/>
      <c r="F88" s="67"/>
      <c r="G88" s="67"/>
      <c r="H88" s="67"/>
      <c r="I88" s="67"/>
      <c r="J88" s="67"/>
      <c r="K88" s="68"/>
      <c r="L88" s="71"/>
      <c r="M88" s="102"/>
      <c r="N88" s="70"/>
      <c r="O88" s="71"/>
      <c r="P88" s="153"/>
      <c r="Q88" s="71"/>
      <c r="R88" s="71"/>
      <c r="S88" s="71"/>
      <c r="T88" s="71"/>
      <c r="U88" s="71"/>
    </row>
    <row r="89" spans="1:21" x14ac:dyDescent="0.25">
      <c r="A89" s="67"/>
      <c r="B89" s="66"/>
      <c r="C89" s="66"/>
      <c r="D89" s="67"/>
      <c r="E89" s="67"/>
      <c r="F89" s="67"/>
      <c r="G89" s="67"/>
      <c r="H89" s="67"/>
      <c r="I89" s="67"/>
      <c r="J89" s="67"/>
      <c r="K89" s="68"/>
      <c r="L89" s="71"/>
      <c r="M89" s="70"/>
      <c r="N89" s="70"/>
      <c r="O89" s="71"/>
      <c r="P89" s="71"/>
      <c r="Q89" s="71"/>
      <c r="R89" s="71"/>
      <c r="S89" s="71"/>
      <c r="T89" s="71"/>
      <c r="U89" s="71"/>
    </row>
    <row r="90" spans="1:21" x14ac:dyDescent="0.25">
      <c r="A90" s="75" t="s">
        <v>221</v>
      </c>
      <c r="B90" s="75">
        <f>B46</f>
        <v>135</v>
      </c>
      <c r="C90" s="101" t="s">
        <v>220</v>
      </c>
      <c r="D90" s="67"/>
      <c r="E90" s="67"/>
      <c r="F90" s="67"/>
      <c r="G90" s="67"/>
      <c r="H90" s="67"/>
      <c r="I90" s="67"/>
      <c r="J90" s="67"/>
      <c r="K90" s="68"/>
      <c r="L90" s="77" t="s">
        <v>221</v>
      </c>
      <c r="M90" s="70">
        <f>M46</f>
        <v>135</v>
      </c>
      <c r="N90" s="70" t="s">
        <v>220</v>
      </c>
      <c r="O90" s="71"/>
      <c r="P90" s="71"/>
      <c r="Q90" s="71"/>
      <c r="R90" s="71"/>
      <c r="S90" s="71"/>
      <c r="T90" s="71"/>
      <c r="U90" s="71"/>
    </row>
    <row r="91" spans="1:21" x14ac:dyDescent="0.25">
      <c r="A91" s="67"/>
      <c r="B91" s="66"/>
      <c r="C91" s="114" t="s">
        <v>73</v>
      </c>
      <c r="D91" s="114"/>
      <c r="E91" s="67"/>
      <c r="F91" s="67"/>
      <c r="G91" s="67"/>
      <c r="H91" s="67"/>
      <c r="I91" s="67"/>
      <c r="J91" s="67"/>
      <c r="K91" s="68"/>
      <c r="L91" s="71"/>
      <c r="M91" s="70"/>
      <c r="N91" s="115" t="s">
        <v>73</v>
      </c>
      <c r="O91" s="115"/>
      <c r="P91" s="71"/>
      <c r="Q91" s="71"/>
      <c r="R91" s="71"/>
      <c r="S91" s="71"/>
      <c r="T91" s="71"/>
      <c r="U91" s="71"/>
    </row>
    <row r="92" spans="1:21" x14ac:dyDescent="0.25">
      <c r="A92" s="67"/>
      <c r="B92" s="66"/>
      <c r="C92" s="116" t="s">
        <v>85</v>
      </c>
      <c r="D92" s="117">
        <f>'Example 22-1 Conditions'!B3</f>
        <v>110</v>
      </c>
      <c r="E92" s="67" t="s">
        <v>303</v>
      </c>
      <c r="F92" s="67"/>
      <c r="G92" s="67"/>
      <c r="H92" s="67"/>
      <c r="I92" s="67"/>
      <c r="J92" s="67"/>
      <c r="K92" s="68"/>
      <c r="L92" s="71"/>
      <c r="M92" s="70"/>
      <c r="N92" s="118" t="s">
        <v>85</v>
      </c>
      <c r="O92" s="97">
        <f>'Example 22-1 Conditions'!M3</f>
        <v>110</v>
      </c>
      <c r="P92" s="71" t="s">
        <v>303</v>
      </c>
      <c r="Q92" s="102"/>
      <c r="R92" s="71"/>
      <c r="S92" s="71"/>
      <c r="T92" s="71"/>
      <c r="U92" s="71"/>
    </row>
    <row r="93" spans="1:21" x14ac:dyDescent="0.25">
      <c r="A93" s="67"/>
      <c r="B93" s="117" t="s">
        <v>74</v>
      </c>
      <c r="C93" s="117" t="s">
        <v>75</v>
      </c>
      <c r="D93" s="117" t="s">
        <v>76</v>
      </c>
      <c r="E93" s="116" t="s">
        <v>75</v>
      </c>
      <c r="F93" s="116" t="s">
        <v>76</v>
      </c>
      <c r="G93" s="67"/>
      <c r="H93" s="67"/>
      <c r="I93" s="67"/>
      <c r="J93" s="67"/>
      <c r="K93" s="68"/>
      <c r="L93" s="71"/>
      <c r="M93" s="97" t="s">
        <v>74</v>
      </c>
      <c r="N93" s="97" t="s">
        <v>75</v>
      </c>
      <c r="O93" s="97" t="s">
        <v>76</v>
      </c>
      <c r="P93" s="82" t="s">
        <v>75</v>
      </c>
      <c r="Q93" s="82" t="s">
        <v>76</v>
      </c>
      <c r="R93" s="71"/>
      <c r="S93" s="71"/>
      <c r="T93" s="71"/>
      <c r="U93" s="71"/>
    </row>
    <row r="94" spans="1:21" ht="16.5" customHeight="1" x14ac:dyDescent="0.3">
      <c r="A94" s="67" t="s">
        <v>42</v>
      </c>
      <c r="B94" s="88">
        <f>B24</f>
        <v>291.07541972035972</v>
      </c>
      <c r="C94" s="119">
        <f>(IF(ROUNDDOWN(D92,-2)=ROUNDUP(D92,-2),VLOOKUP(D92,Enthalpy,19),VLOOKUP(ROUNDDOWN(D92,-2),Enthalpy,19)+(D92-ROUNDDOWN(D92,-2))/(ROUNDUP(D92,-2)-ROUNDDOWN(D92,-2))*(VLOOKUP(ROUNDUP(D92,-2),Enthalpy,19)-VLOOKUP(ROUNDDOWN(D92,-2),Enthalpy,19))))</f>
        <v>628.48</v>
      </c>
      <c r="D94" s="120">
        <f>(B94*C94)</f>
        <v>182935.07978585167</v>
      </c>
      <c r="E94" s="99">
        <f>-241+7.71*D92+0.00125*D92*D92</f>
        <v>622.22500000000002</v>
      </c>
      <c r="F94" s="121">
        <f>+E94*B94</f>
        <v>181114.40303550084</v>
      </c>
      <c r="G94" s="67"/>
      <c r="H94" s="67"/>
      <c r="I94" s="67"/>
      <c r="J94" s="67"/>
      <c r="K94" s="68"/>
      <c r="L94" s="71" t="s">
        <v>295</v>
      </c>
      <c r="M94" s="91">
        <f>M24</f>
        <v>291.07541972035972</v>
      </c>
      <c r="N94" s="122">
        <f>(IF(ROUNDDOWN(O92,-2)=ROUNDUP(O92,-2),VLOOKUP(O92,Enthalpy,19),VLOOKUP(ROUNDDOWN(O92,-2),Enthalpy,19)+(O92-ROUNDDOWN(O92,-2))/(ROUNDUP(O92,-2)-ROUNDDOWN(O92,-2))*(VLOOKUP(ROUNDUP(O92,-2),Enthalpy,19)-VLOOKUP(ROUNDDOWN(O92,-2),Enthalpy,19))))</f>
        <v>628.48</v>
      </c>
      <c r="O94" s="123">
        <f>(M94*N94)</f>
        <v>182935.07978585167</v>
      </c>
      <c r="P94" s="100">
        <f>-241+7.71*O92+0.00125*O92*O92</f>
        <v>622.22500000000002</v>
      </c>
      <c r="Q94" s="124">
        <f>+P94*M94</f>
        <v>181114.40303550084</v>
      </c>
      <c r="R94" s="71"/>
      <c r="S94" s="71"/>
      <c r="T94" s="71"/>
      <c r="U94" s="71"/>
    </row>
    <row r="95" spans="1:21" ht="16.5" x14ac:dyDescent="0.3">
      <c r="A95" s="67" t="s">
        <v>43</v>
      </c>
      <c r="B95" s="88">
        <f>B25</f>
        <v>154.39235370822706</v>
      </c>
      <c r="C95" s="119">
        <f>(IF(ROUNDDOWN(D92,-2)=ROUNDUP(D92,-2),VLOOKUP(D92,Enthalpy,14),VLOOKUP(ROUNDDOWN(D92,-2),Enthalpy,14)+(D92-ROUNDDOWN(D92,-2))/(ROUNDUP(D92,-2)-ROUNDDOWN(D92,-2))*(VLOOKUP(ROUNDUP(D92,-2),Enthalpy,14)-VLOOKUP(ROUNDDOWN(D92,-2),Enthalpy,14))))</f>
        <v>697.54</v>
      </c>
      <c r="D95" s="120">
        <f t="shared" ref="D95:D97" si="15">(B95*C95)</f>
        <v>107694.84240563669</v>
      </c>
      <c r="E95" s="67">
        <f>+-295+8.84*D92+0.002*D92*D92</f>
        <v>701.6</v>
      </c>
      <c r="F95" s="121">
        <f t="shared" ref="F95:F97" si="16">+E95*B95</f>
        <v>108321.67536169211</v>
      </c>
      <c r="G95" s="67"/>
      <c r="H95" s="67"/>
      <c r="I95" s="67"/>
      <c r="J95" s="67"/>
      <c r="K95" s="68"/>
      <c r="L95" s="71" t="s">
        <v>296</v>
      </c>
      <c r="M95" s="91">
        <f>M25</f>
        <v>154.39235370822706</v>
      </c>
      <c r="N95" s="122">
        <f>(IF(ROUNDDOWN(O92,-2)=ROUNDUP(O92,-2),VLOOKUP(O92,Enthalpy,14),VLOOKUP(ROUNDDOWN(O92,-2),Enthalpy,14)+(O92-ROUNDDOWN(O92,-2))/(ROUNDUP(O92,-2)-ROUNDDOWN(O92,-2))*(VLOOKUP(ROUNDUP(O92,-2),Enthalpy,14)-VLOOKUP(ROUNDDOWN(O92,-2),Enthalpy,14))))</f>
        <v>697.54</v>
      </c>
      <c r="O95" s="123">
        <f t="shared" ref="O95:O97" si="17">(M95*N95)</f>
        <v>107694.84240563669</v>
      </c>
      <c r="P95" s="71">
        <f>+-295+8.84*O92+0.002*O92*O92</f>
        <v>701.6</v>
      </c>
      <c r="Q95" s="124">
        <f t="shared" ref="Q95:Q97" si="18">+P95*M95</f>
        <v>108321.67536169211</v>
      </c>
      <c r="R95" s="71"/>
      <c r="S95" s="71"/>
      <c r="T95" s="71"/>
      <c r="U95" s="71"/>
    </row>
    <row r="96" spans="1:21" ht="16.5" x14ac:dyDescent="0.3">
      <c r="A96" s="67" t="s">
        <v>44</v>
      </c>
      <c r="B96" s="88">
        <f>B26</f>
        <v>29.755442741405282</v>
      </c>
      <c r="C96" s="119">
        <f>(IF(ROUNDDOWN(D92,-2)=ROUNDUP(D92,-2),VLOOKUP(D92,Enthalpy,15),VLOOKUP(ROUNDDOWN(D92,-2),Enthalpy,15)+(D92-ROUNDDOWN(D92,-2))/(ROUNDUP(D92,-2)-ROUNDDOWN(D92,-2))*(VLOOKUP(ROUNDUP(D92,-2),Enthalpy,15)-VLOOKUP(ROUNDDOWN(D92,-2),Enthalpy,15))))</f>
        <v>640.19000000000005</v>
      </c>
      <c r="D96" s="120">
        <f t="shared" si="15"/>
        <v>19049.136888620251</v>
      </c>
      <c r="E96" s="99">
        <f>-264+8.19*D92+0.000387*D92*D92</f>
        <v>641.58269999999993</v>
      </c>
      <c r="F96" s="121">
        <f t="shared" si="16"/>
        <v>19090.577293726201</v>
      </c>
      <c r="G96" s="67"/>
      <c r="H96" s="67"/>
      <c r="I96" s="67"/>
      <c r="J96" s="67"/>
      <c r="K96" s="68"/>
      <c r="L96" s="71" t="s">
        <v>297</v>
      </c>
      <c r="M96" s="91">
        <f>M26</f>
        <v>29.755442741405282</v>
      </c>
      <c r="N96" s="122">
        <f>(IF(ROUNDDOWN(O92,-2)=ROUNDUP(O92,-2),VLOOKUP(O92,Enthalpy,15),VLOOKUP(ROUNDDOWN(O92,-2),Enthalpy,15)+(O92-ROUNDDOWN(O92,-2))/(ROUNDUP(O92,-2)-ROUNDDOWN(O92,-2))*(VLOOKUP(ROUNDUP(O92,-2),Enthalpy,15)-VLOOKUP(ROUNDDOWN(O92,-2),Enthalpy,15))))</f>
        <v>640.19000000000005</v>
      </c>
      <c r="O96" s="123">
        <f t="shared" si="17"/>
        <v>19049.136888620251</v>
      </c>
      <c r="P96" s="100">
        <f>-264+8.19*O92+0.000387*O92*O92</f>
        <v>641.58269999999993</v>
      </c>
      <c r="Q96" s="124">
        <f t="shared" si="18"/>
        <v>19090.577293726201</v>
      </c>
      <c r="R96" s="71"/>
      <c r="S96" s="71"/>
      <c r="T96" s="71"/>
      <c r="U96" s="71"/>
    </row>
    <row r="97" spans="1:21" ht="16.5" x14ac:dyDescent="0.3">
      <c r="A97" s="67" t="s">
        <v>45</v>
      </c>
      <c r="B97" s="94">
        <f>B33</f>
        <v>4.7032796591253501</v>
      </c>
      <c r="C97" s="119">
        <f>(IF(ROUNDDOWN(D92,-2)=ROUNDUP(D92,-2),VLOOKUP(D92,EnthalpyData,2),VLOOKUP(ROUNDDOWN(D92,-2),EnthalpyData,2)+(D92-ROUNDDOWN(D92,-2))/(ROUNDUP(D92,-2)-ROUNDDOWN(D92,-2))*(VLOOKUP(ROUNDUP(D92,-2),EnthalpyData,2)-VLOOKUP(ROUNDDOWN(D92,-2),EnthalpyData,2))))</f>
        <v>655.43000000000006</v>
      </c>
      <c r="D97" s="125">
        <f t="shared" si="15"/>
        <v>3082.6705869805287</v>
      </c>
      <c r="E97" s="99">
        <f>-233+7.51*D92+0.00412*D92*D92</f>
        <v>642.952</v>
      </c>
      <c r="F97" s="126">
        <f t="shared" si="16"/>
        <v>3023.9830633939619</v>
      </c>
      <c r="G97" s="67"/>
      <c r="H97" s="67"/>
      <c r="I97" s="67"/>
      <c r="J97" s="67"/>
      <c r="K97" s="68"/>
      <c r="L97" s="71" t="s">
        <v>308</v>
      </c>
      <c r="M97" s="96">
        <f>M33</f>
        <v>4.7032796591253501</v>
      </c>
      <c r="N97" s="122">
        <f>(IF(ROUNDDOWN(O92,-2)=ROUNDUP(O92,-2),VLOOKUP(O92,EnthalpyData,2),VLOOKUP(ROUNDDOWN(O92,-2),EnthalpyData,2)+(O92-ROUNDDOWN(O92,-2))/(ROUNDUP(O92,-2)-ROUNDDOWN(O92,-2))*(VLOOKUP(ROUNDUP(O92,-2),EnthalpyData,2)-VLOOKUP(ROUNDDOWN(O92,-2),EnthalpyData,2))))</f>
        <v>655.43000000000006</v>
      </c>
      <c r="O97" s="127">
        <f t="shared" si="17"/>
        <v>3082.6705869805287</v>
      </c>
      <c r="P97" s="100">
        <f>-233+7.51*O92+0.00412*O92*O92</f>
        <v>642.952</v>
      </c>
      <c r="Q97" s="128">
        <f t="shared" si="18"/>
        <v>3023.9830633939619</v>
      </c>
      <c r="R97" s="71"/>
      <c r="S97" s="71"/>
      <c r="T97" s="71"/>
      <c r="U97" s="71"/>
    </row>
    <row r="98" spans="1:21" x14ac:dyDescent="0.25">
      <c r="A98" s="67"/>
      <c r="B98" s="88">
        <f>SUM(B94:B97)</f>
        <v>479.92649582911741</v>
      </c>
      <c r="C98" s="66"/>
      <c r="D98" s="120">
        <f>SUM(D94:D97)</f>
        <v>312761.72966708918</v>
      </c>
      <c r="E98" s="67"/>
      <c r="F98" s="129">
        <f>SUM(F94:F97)</f>
        <v>311550.63875431311</v>
      </c>
      <c r="G98" s="67"/>
      <c r="H98" s="67"/>
      <c r="I98" s="67"/>
      <c r="J98" s="67"/>
      <c r="K98" s="68"/>
      <c r="L98" s="71"/>
      <c r="M98" s="91">
        <f>SUM(M94:M97)</f>
        <v>479.92649582911741</v>
      </c>
      <c r="N98" s="70"/>
      <c r="O98" s="123">
        <f>SUM(O94:O97)</f>
        <v>312761.72966708918</v>
      </c>
      <c r="P98" s="71"/>
      <c r="Q98" s="124">
        <f>SUM(Q94:Q97)</f>
        <v>311550.63875431311</v>
      </c>
      <c r="R98" s="71"/>
      <c r="S98" s="71"/>
      <c r="T98" s="71"/>
      <c r="U98" s="71"/>
    </row>
    <row r="99" spans="1:21" x14ac:dyDescent="0.25">
      <c r="A99" s="67"/>
      <c r="B99" s="66"/>
      <c r="C99" s="66"/>
      <c r="D99" s="130"/>
      <c r="E99" s="67"/>
      <c r="F99" s="131"/>
      <c r="G99" s="67"/>
      <c r="H99" s="67"/>
      <c r="I99" s="67"/>
      <c r="J99" s="67"/>
      <c r="K99" s="68"/>
      <c r="L99" s="71"/>
      <c r="M99" s="70"/>
      <c r="N99" s="70"/>
      <c r="O99" s="113"/>
      <c r="P99" s="71"/>
      <c r="Q99" s="71"/>
      <c r="R99" s="71"/>
      <c r="S99" s="71"/>
      <c r="T99" s="71"/>
      <c r="U99" s="71"/>
    </row>
    <row r="100" spans="1:21" ht="16.5" customHeight="1" x14ac:dyDescent="0.25">
      <c r="A100" s="67"/>
      <c r="B100" s="66"/>
      <c r="C100" s="114" t="s">
        <v>77</v>
      </c>
      <c r="D100" s="114"/>
      <c r="E100" s="67"/>
      <c r="F100" s="131"/>
      <c r="G100" s="67"/>
      <c r="H100" s="67"/>
      <c r="I100" s="67"/>
      <c r="J100" s="67"/>
      <c r="K100" s="68"/>
      <c r="L100" s="71"/>
      <c r="M100" s="70"/>
      <c r="N100" s="115" t="s">
        <v>77</v>
      </c>
      <c r="O100" s="115"/>
      <c r="P100" s="71"/>
      <c r="Q100" s="71"/>
      <c r="R100" s="71"/>
      <c r="S100" s="71"/>
      <c r="T100" s="71"/>
      <c r="U100" s="71"/>
    </row>
    <row r="101" spans="1:21" x14ac:dyDescent="0.25">
      <c r="A101" s="67"/>
      <c r="B101" s="66"/>
      <c r="C101" s="116" t="s">
        <v>85</v>
      </c>
      <c r="D101" s="117">
        <f>D62</f>
        <v>180</v>
      </c>
      <c r="E101" s="67" t="s">
        <v>303</v>
      </c>
      <c r="F101" s="67"/>
      <c r="G101" s="67"/>
      <c r="H101" s="67"/>
      <c r="I101" s="67"/>
      <c r="J101" s="67"/>
      <c r="K101" s="68"/>
      <c r="L101" s="71"/>
      <c r="M101" s="70"/>
      <c r="N101" s="118" t="s">
        <v>85</v>
      </c>
      <c r="O101" s="97">
        <f>O62</f>
        <v>180</v>
      </c>
      <c r="P101" s="71" t="s">
        <v>303</v>
      </c>
      <c r="Q101" s="71"/>
      <c r="R101" s="71"/>
      <c r="S101" s="71"/>
      <c r="T101" s="71"/>
      <c r="U101" s="71"/>
    </row>
    <row r="102" spans="1:21" x14ac:dyDescent="0.25">
      <c r="A102" s="67"/>
      <c r="B102" s="117" t="s">
        <v>74</v>
      </c>
      <c r="C102" s="117" t="s">
        <v>78</v>
      </c>
      <c r="D102" s="132" t="s">
        <v>76</v>
      </c>
      <c r="E102" s="116" t="s">
        <v>75</v>
      </c>
      <c r="F102" s="116" t="s">
        <v>76</v>
      </c>
      <c r="G102" s="67"/>
      <c r="H102" s="67"/>
      <c r="I102" s="67"/>
      <c r="J102" s="67"/>
      <c r="K102" s="68"/>
      <c r="L102" s="71"/>
      <c r="M102" s="97" t="s">
        <v>74</v>
      </c>
      <c r="N102" s="97" t="s">
        <v>78</v>
      </c>
      <c r="O102" s="133" t="s">
        <v>76</v>
      </c>
      <c r="P102" s="71" t="s">
        <v>75</v>
      </c>
      <c r="Q102" s="71" t="s">
        <v>76</v>
      </c>
      <c r="R102" s="71"/>
      <c r="S102" s="71"/>
      <c r="T102" s="71"/>
      <c r="U102" s="71"/>
    </row>
    <row r="103" spans="1:21" ht="16.5" x14ac:dyDescent="0.3">
      <c r="A103" s="67" t="s">
        <v>53</v>
      </c>
      <c r="B103" s="88">
        <f>C29</f>
        <v>154.94426917843055</v>
      </c>
      <c r="C103" s="119">
        <f>(IF(ROUNDDOWN(D101,-2)=ROUNDUP(D101,-2),VLOOKUP(D101,Enthalpy,10),VLOOKUP(ROUNDDOWN(D101,-2),Enthalpy,10)+(D101-ROUNDDOWN(D101,-2))/(ROUNDUP(D101,-2)-ROUNDDOWN(D101,-2))*(VLOOKUP(ROUNDUP(D101,-2),Enthalpy,10)-VLOOKUP(ROUNDDOWN(D101,-2),Enthalpy,10))))</f>
        <v>1084.1600000000001</v>
      </c>
      <c r="D103" s="120">
        <f>(B103*C103)</f>
        <v>167984.37887248729</v>
      </c>
      <c r="E103" s="99">
        <f>-238+7.29*D101+0.000387*D101*D101</f>
        <v>1086.7388000000001</v>
      </c>
      <c r="F103" s="121">
        <f t="shared" ref="F103:F105" si="19">+E103*B103</f>
        <v>168383.94915384462</v>
      </c>
      <c r="G103" s="67"/>
      <c r="H103" s="67"/>
      <c r="I103" s="67"/>
      <c r="J103" s="67"/>
      <c r="K103" s="68"/>
      <c r="L103" s="71" t="s">
        <v>298</v>
      </c>
      <c r="M103" s="91">
        <f>N29</f>
        <v>154.94426917843055</v>
      </c>
      <c r="N103" s="122">
        <f>(IF(ROUNDDOWN(O101,-2)=ROUNDUP(O101,-2),VLOOKUP(O101,Enthalpy,10),VLOOKUP(ROUNDDOWN(O101,-2),Enthalpy,10)+(O101-ROUNDDOWN(O101,-2))/(ROUNDUP(O101,-2)-ROUNDDOWN(O101,-2))*(VLOOKUP(ROUNDUP(O101,-2),Enthalpy,10)-VLOOKUP(ROUNDDOWN(O101,-2),Enthalpy,10))))</f>
        <v>1084.1600000000001</v>
      </c>
      <c r="O103" s="165">
        <f>(M103*N103)</f>
        <v>167984.37887248729</v>
      </c>
      <c r="P103" s="100">
        <f>-238+7.29*O101+0.000387*O101*O101</f>
        <v>1086.7388000000001</v>
      </c>
      <c r="Q103" s="152">
        <f t="shared" ref="Q103:Q105" si="20">+P103*M103</f>
        <v>168383.94915384462</v>
      </c>
      <c r="R103" s="71"/>
      <c r="S103" s="71"/>
      <c r="T103" s="71"/>
      <c r="U103" s="71"/>
    </row>
    <row r="104" spans="1:21" ht="16.5" x14ac:dyDescent="0.3">
      <c r="A104" s="67" t="s">
        <v>52</v>
      </c>
      <c r="B104" s="88">
        <f>C28</f>
        <v>582.62585529985779</v>
      </c>
      <c r="C104" s="119">
        <f>(IF(ROUNDDOWN(D101,-2)=ROUNDUP(D101,-2),VLOOKUP(D101,Enthalpy,9),VLOOKUP(ROUNDDOWN(D101,-2),Enthalpy,9)+(D101-ROUNDDOWN(D101,-2))/(ROUNDUP(D101,-2)-ROUNDDOWN(D101,-2))*(VLOOKUP(ROUNDUP(D101,-2),Enthalpy,9)-VLOOKUP(ROUNDDOWN(D101,-2),Enthalpy,9))))</f>
        <v>1033.22</v>
      </c>
      <c r="D104" s="120">
        <f t="shared" ref="D104:D105" si="21">(B104*C104)</f>
        <v>601980.68621291907</v>
      </c>
      <c r="E104" s="99">
        <f>-220+6.91*D101+0.000203*D101*D101</f>
        <v>1030.3771999999999</v>
      </c>
      <c r="F104" s="121">
        <f t="shared" si="19"/>
        <v>600324.39743147255</v>
      </c>
      <c r="G104" s="67"/>
      <c r="H104" s="67"/>
      <c r="I104" s="67"/>
      <c r="J104" s="67"/>
      <c r="K104" s="68"/>
      <c r="L104" s="71" t="s">
        <v>299</v>
      </c>
      <c r="M104" s="91">
        <f>N28</f>
        <v>582.62585529985779</v>
      </c>
      <c r="N104" s="122">
        <f>(IF(ROUNDDOWN(O101,-2)=ROUNDUP(O101,-2),VLOOKUP(O101,Enthalpy,9),VLOOKUP(ROUNDDOWN(O101,-2),Enthalpy,9)+(O101-ROUNDDOWN(O101,-2))/(ROUNDUP(O101,-2)-ROUNDDOWN(O101,-2))*(VLOOKUP(ROUNDUP(O101,-2),Enthalpy,9)-VLOOKUP(ROUNDDOWN(O101,-2),Enthalpy,9))))</f>
        <v>1033.22</v>
      </c>
      <c r="O104" s="165">
        <f t="shared" ref="O104:O105" si="22">(M104*N104)</f>
        <v>601980.68621291907</v>
      </c>
      <c r="P104" s="100">
        <f>-220+6.91*O101+0.000203*O101*O101</f>
        <v>1030.3771999999999</v>
      </c>
      <c r="Q104" s="152">
        <f t="shared" si="20"/>
        <v>600324.39743147255</v>
      </c>
      <c r="R104" s="71"/>
      <c r="S104" s="71"/>
      <c r="T104" s="71"/>
      <c r="U104" s="71"/>
    </row>
    <row r="105" spans="1:21" ht="16.5" x14ac:dyDescent="0.3">
      <c r="A105" s="67" t="s">
        <v>44</v>
      </c>
      <c r="B105" s="94">
        <f>C26</f>
        <v>21.905832697005163</v>
      </c>
      <c r="C105" s="119">
        <f>(IF(ROUNDDOWN(D101,-2)=ROUNDUP(D101,-2),VLOOKUP(D101,Enthalpy,15),VLOOKUP(ROUNDDOWN(D101,-2),Enthalpy,15)+(D101-ROUNDDOWN(D101,-2))/(ROUNDUP(D101,-2)-ROUNDDOWN(D101,-2))*(VLOOKUP(ROUNDUP(D101,-2),Enthalpy,15)-VLOOKUP(ROUNDDOWN(D101,-2),Enthalpy,15))))</f>
        <v>1221.8200000000002</v>
      </c>
      <c r="D105" s="125">
        <f t="shared" si="21"/>
        <v>26764.984505854853</v>
      </c>
      <c r="E105" s="99">
        <f>-264+8.19*D101+0.000387*D101*D101</f>
        <v>1222.7387999999999</v>
      </c>
      <c r="F105" s="126">
        <f t="shared" si="19"/>
        <v>26785.111584936854</v>
      </c>
      <c r="G105" s="67"/>
      <c r="H105" s="67"/>
      <c r="I105" s="67"/>
      <c r="J105" s="67"/>
      <c r="K105" s="68"/>
      <c r="L105" s="71" t="s">
        <v>297</v>
      </c>
      <c r="M105" s="96">
        <f>N26</f>
        <v>21.905832697005163</v>
      </c>
      <c r="N105" s="122">
        <f>(IF(ROUNDDOWN(O101,-2)=ROUNDUP(O101,-2),VLOOKUP(O101,Enthalpy,15),VLOOKUP(ROUNDDOWN(O101,-2),Enthalpy,15)+(O101-ROUNDDOWN(O101,-2))/(ROUNDUP(O101,-2)-ROUNDDOWN(O101,-2))*(VLOOKUP(ROUNDUP(O101,-2),Enthalpy,15)-VLOOKUP(ROUNDDOWN(O101,-2),Enthalpy,15))))</f>
        <v>1221.8200000000002</v>
      </c>
      <c r="O105" s="166">
        <f t="shared" si="22"/>
        <v>26764.984505854853</v>
      </c>
      <c r="P105" s="100">
        <f>-264+8.19*O101+0.000387*O101*O101</f>
        <v>1222.7387999999999</v>
      </c>
      <c r="Q105" s="160">
        <f t="shared" si="20"/>
        <v>26785.111584936854</v>
      </c>
      <c r="R105" s="71"/>
      <c r="S105" s="71"/>
      <c r="T105" s="71"/>
      <c r="U105" s="71"/>
    </row>
    <row r="106" spans="1:21" x14ac:dyDescent="0.25">
      <c r="A106" s="67"/>
      <c r="B106" s="88">
        <f>SUM(B103:B105)</f>
        <v>759.4759571752935</v>
      </c>
      <c r="C106" s="66"/>
      <c r="D106" s="120">
        <f>SUM(D103:D105)</f>
        <v>796730.04959126131</v>
      </c>
      <c r="E106" s="67"/>
      <c r="F106" s="134">
        <f>SUM(F103:F105)</f>
        <v>795493.45817025402</v>
      </c>
      <c r="G106" s="67"/>
      <c r="H106" s="67"/>
      <c r="I106" s="67"/>
      <c r="J106" s="67"/>
      <c r="K106" s="68"/>
      <c r="L106" s="71"/>
      <c r="M106" s="91">
        <f>SUM(M103:M105)</f>
        <v>759.4759571752935</v>
      </c>
      <c r="N106" s="70"/>
      <c r="O106" s="165">
        <f>SUM(O103:O105)</f>
        <v>796730.04959126131</v>
      </c>
      <c r="P106" s="71"/>
      <c r="Q106" s="152">
        <f>SUM(Q103:Q105)</f>
        <v>795493.45817025402</v>
      </c>
      <c r="R106" s="71"/>
      <c r="S106" s="71"/>
      <c r="T106" s="71"/>
      <c r="U106" s="71"/>
    </row>
    <row r="107" spans="1:21" x14ac:dyDescent="0.25">
      <c r="A107" s="67"/>
      <c r="B107" s="66"/>
      <c r="C107" s="66"/>
      <c r="D107" s="130"/>
      <c r="E107" s="67"/>
      <c r="F107" s="67"/>
      <c r="G107" s="67"/>
      <c r="H107" s="67"/>
      <c r="I107" s="67"/>
      <c r="J107" s="67"/>
      <c r="K107" s="68"/>
      <c r="L107" s="71"/>
      <c r="M107" s="70"/>
      <c r="N107" s="70"/>
      <c r="O107" s="113"/>
      <c r="P107" s="71"/>
      <c r="Q107" s="71"/>
      <c r="R107" s="71"/>
      <c r="S107" s="71"/>
      <c r="T107" s="71"/>
      <c r="U107" s="71"/>
    </row>
    <row r="108" spans="1:21" x14ac:dyDescent="0.25">
      <c r="A108" s="67"/>
      <c r="B108" s="66"/>
      <c r="C108" s="114" t="s">
        <v>79</v>
      </c>
      <c r="D108" s="114"/>
      <c r="E108" s="67"/>
      <c r="F108" s="67"/>
      <c r="G108" s="67"/>
      <c r="H108" s="67"/>
      <c r="I108" s="67"/>
      <c r="J108" s="67"/>
      <c r="K108" s="68"/>
      <c r="L108" s="71"/>
      <c r="M108" s="70"/>
      <c r="N108" s="115" t="s">
        <v>79</v>
      </c>
      <c r="O108" s="115"/>
      <c r="P108" s="71"/>
      <c r="Q108" s="71"/>
      <c r="R108" s="71"/>
      <c r="S108" s="71"/>
      <c r="T108" s="71"/>
      <c r="U108" s="71"/>
    </row>
    <row r="109" spans="1:21" x14ac:dyDescent="0.25">
      <c r="A109" s="67"/>
      <c r="B109" s="66"/>
      <c r="C109" s="116" t="s">
        <v>85</v>
      </c>
      <c r="D109" s="135">
        <f>D70</f>
        <v>2100</v>
      </c>
      <c r="E109" s="136" t="s">
        <v>303</v>
      </c>
      <c r="F109" s="137"/>
      <c r="G109" s="138" t="s">
        <v>85</v>
      </c>
      <c r="H109" s="139">
        <f>H70</f>
        <v>2200</v>
      </c>
      <c r="I109" s="136" t="s">
        <v>303</v>
      </c>
      <c r="J109" s="137"/>
      <c r="K109" s="68"/>
      <c r="L109" s="71"/>
      <c r="M109" s="70"/>
      <c r="N109" s="118" t="s">
        <v>85</v>
      </c>
      <c r="O109" s="140">
        <f>O70</f>
        <v>2100</v>
      </c>
      <c r="P109" s="167" t="s">
        <v>303</v>
      </c>
      <c r="Q109" s="140"/>
      <c r="R109" s="168" t="s">
        <v>85</v>
      </c>
      <c r="S109" s="141">
        <f>S70</f>
        <v>2200</v>
      </c>
      <c r="T109" s="82" t="s">
        <v>303</v>
      </c>
      <c r="U109" s="82"/>
    </row>
    <row r="110" spans="1:21" x14ac:dyDescent="0.25">
      <c r="A110" s="67"/>
      <c r="B110" s="117" t="s">
        <v>74</v>
      </c>
      <c r="C110" s="117" t="s">
        <v>75</v>
      </c>
      <c r="D110" s="117" t="s">
        <v>76</v>
      </c>
      <c r="E110" s="143" t="s">
        <v>75</v>
      </c>
      <c r="F110" s="116" t="s">
        <v>76</v>
      </c>
      <c r="G110" s="144" t="s">
        <v>80</v>
      </c>
      <c r="H110" s="117" t="s">
        <v>76</v>
      </c>
      <c r="I110" s="143" t="s">
        <v>75</v>
      </c>
      <c r="J110" s="116" t="s">
        <v>76</v>
      </c>
      <c r="K110" s="68"/>
      <c r="L110" s="71"/>
      <c r="M110" s="97" t="s">
        <v>74</v>
      </c>
      <c r="N110" s="97" t="s">
        <v>75</v>
      </c>
      <c r="O110" s="97" t="s">
        <v>76</v>
      </c>
      <c r="P110" s="145" t="s">
        <v>75</v>
      </c>
      <c r="Q110" s="146" t="s">
        <v>76</v>
      </c>
      <c r="R110" s="169" t="s">
        <v>80</v>
      </c>
      <c r="S110" s="147" t="s">
        <v>76</v>
      </c>
      <c r="T110" s="147" t="s">
        <v>75</v>
      </c>
      <c r="U110" s="147" t="s">
        <v>76</v>
      </c>
    </row>
    <row r="111" spans="1:21" ht="16.5" x14ac:dyDescent="0.3">
      <c r="A111" s="67" t="s">
        <v>42</v>
      </c>
      <c r="B111" s="88">
        <f>E24-B90</f>
        <v>59.050279813573127</v>
      </c>
      <c r="C111" s="66">
        <f>(IF(ROUNDDOWN(D109,-2)=ROUNDUP(D109,-2),VLOOKUP(D109,Enthalpy,19),VLOOKUP(ROUNDDOWN(D109,-2),Enthalpy,19)+(D109-ROUNDDOWN(D109,-2))/(ROUNDUP(D109,-2)-ROUNDDOWN(D109,-2))*(VLOOKUP(ROUNDUP(D109,-2),Enthalpy,19)-VLOOKUP(ROUNDDOWN(D109,-2),Enthalpy,19))))</f>
        <v>20240</v>
      </c>
      <c r="D111" s="120">
        <f>(B111*C111)</f>
        <v>1195177.6634267201</v>
      </c>
      <c r="E111" s="148">
        <f>-1523+9.49*D109+0.000693*D109*D109</f>
        <v>21462.13</v>
      </c>
      <c r="F111" s="149">
        <f>E111*B111</f>
        <v>1267344.7818952822</v>
      </c>
      <c r="G111" s="66">
        <f>(IF(ROUNDDOWN(H109,-2)=ROUNDUP(H109,-2),VLOOKUP(H109,Enthalpy,19),VLOOKUP(ROUNDDOWN(H109,-2),Enthalpy,19)+(H109-ROUNDDOWN(H109,-2))/(ROUNDUP(H109,-2)-ROUNDDOWN(H109,-2))*(VLOOKUP(ROUNDUP(H109,-2),Enthalpy,19)-VLOOKUP(ROUNDDOWN(H109,-2),Enthalpy,19))))</f>
        <v>22720</v>
      </c>
      <c r="H111" s="73">
        <f t="shared" ref="H111:H116" si="23">(B111*G111)</f>
        <v>1341622.3573643814</v>
      </c>
      <c r="I111" s="148">
        <f>-1523+9.49*H109+0.000693*H109*H109</f>
        <v>22709.119999999999</v>
      </c>
      <c r="J111" s="150">
        <f>I111*B111</f>
        <v>1340979.8903200098</v>
      </c>
      <c r="K111" s="68"/>
      <c r="L111" s="71" t="s">
        <v>295</v>
      </c>
      <c r="M111" s="91">
        <f>P24-M90</f>
        <v>59.050279813573127</v>
      </c>
      <c r="N111" s="70">
        <f>(IF(ROUNDDOWN(O109,-2)=ROUNDUP(O109,-2),VLOOKUP(O109,Enthalpy,19),VLOOKUP(ROUNDDOWN(O109,-2),Enthalpy,19)+(O109-ROUNDDOWN(O109,-2))/(ROUNDUP(O109,-2)-ROUNDDOWN(O109,-2))*(VLOOKUP(ROUNDUP(O109,-2),Enthalpy,19)-VLOOKUP(ROUNDDOWN(O109,-2),Enthalpy,19))))</f>
        <v>20240</v>
      </c>
      <c r="O111" s="165">
        <f>(M111*N111)</f>
        <v>1195177.6634267201</v>
      </c>
      <c r="P111" s="113">
        <f>-1523+9.49*O109+0.000693*O109*O109</f>
        <v>21462.13</v>
      </c>
      <c r="Q111" s="170">
        <f>P111*M111</f>
        <v>1267344.7818952822</v>
      </c>
      <c r="R111" s="71">
        <f>(IF(ROUNDDOWN(S109,-2)=ROUNDUP(S109,-2),VLOOKUP(S109,Enthalpy,19),VLOOKUP(ROUNDDOWN(S109,-2),Enthalpy,19)+(S109-ROUNDDOWN(S109,-2))/(ROUNDUP(S109,-2)-ROUNDDOWN(S109,-2))*(VLOOKUP(ROUNDUP(S109,-2),Enthalpy,19)-VLOOKUP(ROUNDDOWN(S109,-2),Enthalpy,19))))</f>
        <v>22720</v>
      </c>
      <c r="S111" s="154">
        <f t="shared" ref="S111:S116" si="24">(M111*R111)</f>
        <v>1341622.3573643814</v>
      </c>
      <c r="T111" s="153">
        <f>-1523+9.49*S109+0.000693*S109*S109</f>
        <v>22709.119999999999</v>
      </c>
      <c r="U111" s="154">
        <f>T111*M111</f>
        <v>1340979.8903200098</v>
      </c>
    </row>
    <row r="112" spans="1:21" ht="16.5" x14ac:dyDescent="0.3">
      <c r="A112" s="67" t="s">
        <v>43</v>
      </c>
      <c r="B112" s="88">
        <f>E25</f>
        <v>159.09563336735241</v>
      </c>
      <c r="C112" s="66">
        <f>(IF(ROUNDDOWN(D109,-2)=ROUNDUP(D109,-2),VLOOKUP(D109,Enthalpy,14),VLOOKUP(ROUNDDOWN(D109,-2),Enthalpy,14)+(D109-ROUNDDOWN(D109,-2))/(ROUNDUP(D109,-2)-ROUNDDOWN(D109,-2))*(VLOOKUP(ROUNDUP(D109,-2),Enthalpy,14)-VLOOKUP(ROUNDDOWN(D109,-2),Enthalpy,14))))</f>
        <v>23560</v>
      </c>
      <c r="D112" s="120">
        <f t="shared" ref="D112:D116" si="25">(B112*C112)</f>
        <v>3748293.1221348229</v>
      </c>
      <c r="E112" s="148">
        <f>-2178+11.97*D109+0.000449*D109*D109</f>
        <v>24939.09</v>
      </c>
      <c r="F112" s="155">
        <f t="shared" ref="F112:F116" si="26">E112*B112</f>
        <v>3967700.3191554048</v>
      </c>
      <c r="G112" s="66">
        <f>(IF(ROUNDDOWN(H109,-2)=ROUNDUP(H109,-2),VLOOKUP(H109,Enthalpy,14),VLOOKUP(ROUNDDOWN(H109,-2),Enthalpy,14)+(H109-ROUNDDOWN(H109,-2))/(ROUNDUP(H109,-2)-ROUNDDOWN(H109,-2))*(VLOOKUP(ROUNDUP(H109,-2),Enthalpy,14)-VLOOKUP(ROUNDDOWN(H109,-2),Enthalpy,14))))</f>
        <v>26330</v>
      </c>
      <c r="H112" s="73">
        <f t="shared" si="23"/>
        <v>4188988.026562389</v>
      </c>
      <c r="I112" s="148">
        <f>-2178+11.97*H109+0.000449*H109*H109</f>
        <v>26329.16</v>
      </c>
      <c r="J112" s="150">
        <f t="shared" ref="J112:J116" si="27">I112*B112</f>
        <v>4188854.3862303603</v>
      </c>
      <c r="K112" s="68"/>
      <c r="L112" s="71" t="s">
        <v>296</v>
      </c>
      <c r="M112" s="91">
        <f>P25</f>
        <v>159.09563336735241</v>
      </c>
      <c r="N112" s="70">
        <f>(IF(ROUNDDOWN(O109,-2)=ROUNDUP(O109,-2),VLOOKUP(O109,Enthalpy,14),VLOOKUP(ROUNDDOWN(O109,-2),Enthalpy,14)+(O109-ROUNDDOWN(O109,-2))/(ROUNDUP(O109,-2)-ROUNDDOWN(O109,-2))*(VLOOKUP(ROUNDUP(O109,-2),Enthalpy,14)-VLOOKUP(ROUNDDOWN(O109,-2),Enthalpy,14))))</f>
        <v>23560</v>
      </c>
      <c r="O112" s="165">
        <f t="shared" ref="O112:O116" si="28">(M112*N112)</f>
        <v>3748293.1221348229</v>
      </c>
      <c r="P112" s="113">
        <f>-2178+11.97*O109+0.000449*O109*O109</f>
        <v>24939.09</v>
      </c>
      <c r="Q112" s="170">
        <f t="shared" ref="Q112:Q116" si="29">P112*M112</f>
        <v>3967700.3191554048</v>
      </c>
      <c r="R112" s="71">
        <f>(IF(ROUNDDOWN(S109,-2)=ROUNDUP(S109,-2),VLOOKUP(S109,Enthalpy,14),VLOOKUP(ROUNDDOWN(S109,-2),Enthalpy,14)+(S109-ROUNDDOWN(S109,-2))/(ROUNDUP(S109,-2)-ROUNDDOWN(S109,-2))*(VLOOKUP(ROUNDUP(S109,-2),Enthalpy,14)-VLOOKUP(ROUNDDOWN(S109,-2),Enthalpy,14))))</f>
        <v>26330</v>
      </c>
      <c r="S112" s="154">
        <f t="shared" si="24"/>
        <v>4188988.026562389</v>
      </c>
      <c r="T112" s="153">
        <f>-2178+11.97*S109+0.000449*S109*S109</f>
        <v>26329.16</v>
      </c>
      <c r="U112" s="154">
        <f t="shared" ref="U112:U116" si="30">T112*M112</f>
        <v>4188854.3862303603</v>
      </c>
    </row>
    <row r="113" spans="1:21" ht="16.5" x14ac:dyDescent="0.3">
      <c r="A113" s="67" t="s">
        <v>44</v>
      </c>
      <c r="B113" s="88">
        <f>E26+B90</f>
        <v>293.09297466344771</v>
      </c>
      <c r="C113" s="66">
        <f>(IF(ROUNDDOWN(D109,-2)=ROUNDUP(D109,-2),VLOOKUP(D109,Enthalpy,15),VLOOKUP(ROUNDDOWN(D109,-2),Enthalpy,15)+(D109-ROUNDDOWN(D109,-2))/(ROUNDUP(D109,-2)-ROUNDDOWN(D109,-2))*(VLOOKUP(ROUNDUP(D109,-2),Enthalpy,15)-VLOOKUP(ROUNDDOWN(D109,-2),Enthalpy,15))))</f>
        <v>18350</v>
      </c>
      <c r="D113" s="120">
        <f t="shared" si="25"/>
        <v>5378256.0850742655</v>
      </c>
      <c r="E113" s="148">
        <f>+-181+7.62*D109+0.000826*D109*D109</f>
        <v>19463.66</v>
      </c>
      <c r="F113" s="155">
        <f t="shared" si="26"/>
        <v>5704662.0072379606</v>
      </c>
      <c r="G113" s="66">
        <f>(IF(ROUNDDOWN(H109,-2)=ROUNDUP(H109,-2),VLOOKUP(H109,Enthalpy,15),VLOOKUP(ROUNDDOWN(H109,-2),Enthalpy,15)+(H109-ROUNDDOWN(H109,-2))/(ROUNDUP(H109,-2)-ROUNDDOWN(H109,-2))*(VLOOKUP(ROUNDUP(H109,-2),Enthalpy,15)-VLOOKUP(ROUNDDOWN(H109,-2),Enthalpy,15))))</f>
        <v>20570</v>
      </c>
      <c r="H113" s="73">
        <f t="shared" si="23"/>
        <v>6028922.4888271196</v>
      </c>
      <c r="I113" s="148">
        <f>+-181+7.62*H109+0.000826*H109*H109</f>
        <v>20580.84</v>
      </c>
      <c r="J113" s="150">
        <f t="shared" si="27"/>
        <v>6032099.6166724712</v>
      </c>
      <c r="K113" s="68"/>
      <c r="L113" s="71" t="s">
        <v>297</v>
      </c>
      <c r="M113" s="91">
        <f>P26+M90</f>
        <v>293.09297466344771</v>
      </c>
      <c r="N113" s="70">
        <f>(IF(ROUNDDOWN(O109,-2)=ROUNDUP(O109,-2),VLOOKUP(O109,Enthalpy,15),VLOOKUP(ROUNDDOWN(O109,-2),Enthalpy,15)+(O109-ROUNDDOWN(O109,-2))/(ROUNDUP(O109,-2)-ROUNDDOWN(O109,-2))*(VLOOKUP(ROUNDUP(O109,-2),Enthalpy,15)-VLOOKUP(ROUNDDOWN(O109,-2),Enthalpy,15))))</f>
        <v>18350</v>
      </c>
      <c r="O113" s="165">
        <f t="shared" si="28"/>
        <v>5378256.0850742655</v>
      </c>
      <c r="P113" s="113">
        <f>+-181+7.62*O109+0.000826*O109*O109</f>
        <v>19463.66</v>
      </c>
      <c r="Q113" s="170">
        <f t="shared" si="29"/>
        <v>5704662.0072379606</v>
      </c>
      <c r="R113" s="71">
        <f>(IF(ROUNDDOWN(S109,-2)=ROUNDUP(S109,-2),VLOOKUP(S109,Enthalpy,15),VLOOKUP(ROUNDDOWN(S109,-2),Enthalpy,15)+(S109-ROUNDDOWN(S109,-2))/(ROUNDUP(S109,-2)-ROUNDDOWN(S109,-2))*(VLOOKUP(ROUNDUP(S109,-2),Enthalpy,15)-VLOOKUP(ROUNDDOWN(S109,-2),Enthalpy,15))))</f>
        <v>20570</v>
      </c>
      <c r="S113" s="154">
        <f t="shared" si="24"/>
        <v>6028922.4888271196</v>
      </c>
      <c r="T113" s="153">
        <f>+-181+7.62*S109+0.000826*S109*S109</f>
        <v>20580.84</v>
      </c>
      <c r="U113" s="154">
        <f t="shared" si="30"/>
        <v>6032099.6166724712</v>
      </c>
    </row>
    <row r="114" spans="1:21" ht="16.5" x14ac:dyDescent="0.3">
      <c r="A114" s="67" t="s">
        <v>51</v>
      </c>
      <c r="B114" s="88">
        <f>E27-(1/2)*B90</f>
        <v>29.525139906786563</v>
      </c>
      <c r="C114" s="66">
        <f>(IF(ROUNDDOWN(D109,-2)=ROUNDUP(D109,-2),VLOOKUP(D109,Enthalpy,17),VLOOKUP(ROUNDDOWN(D109,-2),Enthalpy,17)+(D109-ROUNDDOWN(D109,-2))/(ROUNDUP(D109,-2)-ROUNDDOWN(D109,-2))*(VLOOKUP(ROUNDUP(D109,-2),Enthalpy,17)-VLOOKUP(ROUNDDOWN(D109,-2),Enthalpy,17))))</f>
        <v>24220</v>
      </c>
      <c r="D114" s="120">
        <f t="shared" si="25"/>
        <v>715098.88854237052</v>
      </c>
      <c r="E114" s="148">
        <f>-1652+12.07*D109+0.000434*D109*D109</f>
        <v>25608.94</v>
      </c>
      <c r="F114" s="155">
        <f t="shared" si="26"/>
        <v>756107.53636450262</v>
      </c>
      <c r="G114" s="66">
        <f>(IF(ROUNDDOWN(H109,-2)=ROUNDUP(H109,-2),VLOOKUP(H109,Enthalpy,17),VLOOKUP(ROUNDDOWN(H109,-2),Enthalpy,17)+(H109-ROUNDDOWN(H109,-2))/(ROUNDUP(H109,-2)-ROUNDDOWN(H109,-2))*(VLOOKUP(ROUNDUP(H109,-2),Enthalpy,17)-VLOOKUP(ROUNDDOWN(H109,-2),Enthalpy,17))))</f>
        <v>27000</v>
      </c>
      <c r="H114" s="73">
        <f t="shared" si="23"/>
        <v>797178.77748323721</v>
      </c>
      <c r="I114" s="148">
        <f>-1652+12.07*H109+0.000434*H109*H109</f>
        <v>27002.560000000001</v>
      </c>
      <c r="J114" s="150">
        <f t="shared" si="27"/>
        <v>797254.36184139864</v>
      </c>
      <c r="K114" s="68"/>
      <c r="L114" s="71" t="s">
        <v>300</v>
      </c>
      <c r="M114" s="91">
        <f>P27-(1/2)*M90</f>
        <v>29.525139906786563</v>
      </c>
      <c r="N114" s="70">
        <f>(IF(ROUNDDOWN(O109,-2)=ROUNDUP(O109,-2),VLOOKUP(O109,Enthalpy,17),VLOOKUP(ROUNDDOWN(O109,-2),Enthalpy,17)+(O109-ROUNDDOWN(O109,-2))/(ROUNDUP(O109,-2)-ROUNDDOWN(O109,-2))*(VLOOKUP(ROUNDUP(O109,-2),Enthalpy,17)-VLOOKUP(ROUNDDOWN(O109,-2),Enthalpy,17))))</f>
        <v>24220</v>
      </c>
      <c r="O114" s="165">
        <f t="shared" si="28"/>
        <v>715098.88854237052</v>
      </c>
      <c r="P114" s="113">
        <f>-1652+12.07*O109+0.000434*O109*O109</f>
        <v>25608.94</v>
      </c>
      <c r="Q114" s="170">
        <f t="shared" si="29"/>
        <v>756107.53636450262</v>
      </c>
      <c r="R114" s="71">
        <f>(IF(ROUNDDOWN(S109,-2)=ROUNDUP(S109,-2),VLOOKUP(S109,Enthalpy,17),VLOOKUP(ROUNDDOWN(S109,-2),Enthalpy,17)+(S109-ROUNDDOWN(S109,-2))/(ROUNDUP(S109,-2)-ROUNDDOWN(S109,-2))*(VLOOKUP(ROUNDUP(S109,-2),Enthalpy,17)-VLOOKUP(ROUNDDOWN(S109,-2),Enthalpy,17))))</f>
        <v>27000</v>
      </c>
      <c r="S114" s="154">
        <f t="shared" si="24"/>
        <v>797178.77748323721</v>
      </c>
      <c r="T114" s="153">
        <f>-1652+12.07*S109+0.000434*S109*S109</f>
        <v>27002.560000000001</v>
      </c>
      <c r="U114" s="154">
        <f t="shared" si="30"/>
        <v>797254.36184139864</v>
      </c>
    </row>
    <row r="115" spans="1:21" ht="16.5" x14ac:dyDescent="0.3">
      <c r="A115" s="67" t="s">
        <v>52</v>
      </c>
      <c r="B115" s="88">
        <f>E28</f>
        <v>582.62585529985779</v>
      </c>
      <c r="C115" s="66">
        <f>(IF(ROUNDDOWN(D109,-2)=ROUNDUP(D109,-2),VLOOKUP(D109,Enthalpy,9),VLOOKUP(ROUNDDOWN(D109,-2),Enthalpy,9)+(D109-ROUNDDOWN(D109,-2))/(ROUNDUP(D109,-2)-ROUNDDOWN(D109,-2))*(VLOOKUP(ROUNDUP(D109,-2),Enthalpy,9)-VLOOKUP(ROUNDDOWN(D109,-2),Enthalpy,9))))</f>
        <v>14820</v>
      </c>
      <c r="D115" s="120">
        <f t="shared" si="25"/>
        <v>8634515.1755438931</v>
      </c>
      <c r="E115" s="148">
        <f>-616+7.24*D109+0.000242*D109*D109</f>
        <v>15655.22</v>
      </c>
      <c r="F115" s="155">
        <f t="shared" si="26"/>
        <v>9121135.9424074385</v>
      </c>
      <c r="G115" s="66">
        <f>(IF(ROUNDDOWN(H109,-2)=ROUNDUP(H109,-2),VLOOKUP(H109,Enthalpy,9),VLOOKUP(ROUNDDOWN(H109,-2),Enthalpy,9)+(H109-ROUNDDOWN(H109,-2))/(ROUNDUP(H109,-2)-ROUNDDOWN(H109,-2))*(VLOOKUP(ROUNDUP(H109,-2),Enthalpy,9)-VLOOKUP(ROUNDDOWN(H109,-2),Enthalpy,9))))</f>
        <v>16480</v>
      </c>
      <c r="H115" s="73">
        <f t="shared" si="23"/>
        <v>9601674.0953416564</v>
      </c>
      <c r="I115" s="148">
        <f>-616+7.24*H109+0.000242*H109*H109</f>
        <v>16483.28</v>
      </c>
      <c r="J115" s="150">
        <f t="shared" si="27"/>
        <v>9603585.10814704</v>
      </c>
      <c r="K115" s="68"/>
      <c r="L115" s="71" t="s">
        <v>299</v>
      </c>
      <c r="M115" s="91">
        <f>P28</f>
        <v>582.62585529985779</v>
      </c>
      <c r="N115" s="70">
        <f>(IF(ROUNDDOWN(O109,-2)=ROUNDUP(O109,-2),VLOOKUP(O109,Enthalpy,9),VLOOKUP(ROUNDDOWN(O109,-2),Enthalpy,9)+(O109-ROUNDDOWN(O109,-2))/(ROUNDUP(O109,-2)-ROUNDDOWN(O109,-2))*(VLOOKUP(ROUNDUP(O109,-2),Enthalpy,9)-VLOOKUP(ROUNDDOWN(O109,-2),Enthalpy,9))))</f>
        <v>14820</v>
      </c>
      <c r="O115" s="165">
        <f t="shared" si="28"/>
        <v>8634515.1755438931</v>
      </c>
      <c r="P115" s="113">
        <f>-616+7.24*O109+0.000242*O109*O109</f>
        <v>15655.22</v>
      </c>
      <c r="Q115" s="170">
        <f t="shared" si="29"/>
        <v>9121135.9424074385</v>
      </c>
      <c r="R115" s="71">
        <f>(IF(ROUNDDOWN(S109,-2)=ROUNDUP(S109,-2),VLOOKUP(S109,Enthalpy,9),VLOOKUP(ROUNDDOWN(S109,-2),Enthalpy,9)+(S109-ROUNDDOWN(S109,-2))/(ROUNDUP(S109,-2)-ROUNDDOWN(S109,-2))*(VLOOKUP(ROUNDUP(S109,-2),Enthalpy,9)-VLOOKUP(ROUNDDOWN(S109,-2),Enthalpy,9))))</f>
        <v>16480</v>
      </c>
      <c r="S115" s="154">
        <f t="shared" si="24"/>
        <v>9601674.0953416564</v>
      </c>
      <c r="T115" s="153">
        <f>-616+7.24*S109+0.000242*S109*S109</f>
        <v>16483.28</v>
      </c>
      <c r="U115" s="154">
        <f t="shared" si="30"/>
        <v>9603585.10814704</v>
      </c>
    </row>
    <row r="116" spans="1:21" ht="16.5" x14ac:dyDescent="0.3">
      <c r="A116" s="67" t="s">
        <v>54</v>
      </c>
      <c r="B116" s="94">
        <f>(3/4)*B90</f>
        <v>101.25</v>
      </c>
      <c r="C116" s="66">
        <f>(IF(ROUNDDOWN(D109,-2)=ROUNDUP(D109,-2),VLOOKUP(D109,Enthalpy,16),VLOOKUP(ROUNDDOWN(D109,-2),Enthalpy,16)+(D109-ROUNDDOWN(D109,-2))/(ROUNDUP(D109,-2)-ROUNDDOWN(D109,-2))*(VLOOKUP(ROUNDUP(D109,-2),Enthalpy,16)-VLOOKUP(ROUNDDOWN(D109,-2),Enthalpy,16))))</f>
        <v>17110</v>
      </c>
      <c r="D116" s="125">
        <f t="shared" si="25"/>
        <v>1732387.5</v>
      </c>
      <c r="E116" s="148">
        <f>-479+8.38*D109+0.000207*D109*D109</f>
        <v>18031.87</v>
      </c>
      <c r="F116" s="156">
        <f t="shared" si="26"/>
        <v>1825726.8374999999</v>
      </c>
      <c r="G116" s="66">
        <f>(IF(ROUNDDOWN(H109,-2)=ROUNDUP(H109,-2),VLOOKUP(H109,Enthalpy,16),VLOOKUP(ROUNDDOWN(H109,-2),Enthalpy,16)+(H109-ROUNDDOWN(H109,-2))/(ROUNDUP(H109,-2)-ROUNDDOWN(H109,-2))*(VLOOKUP(ROUNDUP(H109,-2),Enthalpy,16)-VLOOKUP(ROUNDDOWN(H109,-2),Enthalpy,16))))</f>
        <v>18960</v>
      </c>
      <c r="H116" s="171">
        <f t="shared" si="23"/>
        <v>1919700</v>
      </c>
      <c r="I116" s="148">
        <f>-479+8.38*H109+0.000207*H109*H109</f>
        <v>18958.88</v>
      </c>
      <c r="J116" s="158">
        <f t="shared" si="27"/>
        <v>1919586.6</v>
      </c>
      <c r="K116" s="68"/>
      <c r="L116" s="71" t="s">
        <v>301</v>
      </c>
      <c r="M116" s="96">
        <f>(3/4)*M90</f>
        <v>101.25</v>
      </c>
      <c r="N116" s="70">
        <f>(IF(ROUNDDOWN(O109,-2)=ROUNDUP(O109,-2),VLOOKUP(O109,Enthalpy,16),VLOOKUP(ROUNDDOWN(O109,-2),Enthalpy,16)+(O109-ROUNDDOWN(O109,-2))/(ROUNDUP(O109,-2)-ROUNDDOWN(O109,-2))*(VLOOKUP(ROUNDUP(O109,-2),Enthalpy,16)-VLOOKUP(ROUNDDOWN(O109,-2),Enthalpy,16))))</f>
        <v>17110</v>
      </c>
      <c r="O116" s="166">
        <f t="shared" si="28"/>
        <v>1732387.5</v>
      </c>
      <c r="P116" s="113">
        <f>-479+8.38*O109+0.000207*O109*O109</f>
        <v>18031.87</v>
      </c>
      <c r="Q116" s="172">
        <f t="shared" si="29"/>
        <v>1825726.8374999999</v>
      </c>
      <c r="R116" s="71">
        <f>(IF(ROUNDDOWN(S109,-2)=ROUNDUP(S109,-2),VLOOKUP(S109,Enthalpy,16),VLOOKUP(ROUNDDOWN(S109,-2),Enthalpy,16)+(S109-ROUNDDOWN(S109,-2))/(ROUNDUP(S109,-2)-ROUNDDOWN(S109,-2))*(VLOOKUP(ROUNDUP(S109,-2),Enthalpy,16)-VLOOKUP(ROUNDDOWN(S109,-2),Enthalpy,16))))</f>
        <v>18960</v>
      </c>
      <c r="S116" s="161">
        <f t="shared" si="24"/>
        <v>1919700</v>
      </c>
      <c r="T116" s="153">
        <f>-479+8.38*S109+0.000207*S109*S109</f>
        <v>18958.88</v>
      </c>
      <c r="U116" s="161">
        <f t="shared" si="30"/>
        <v>1919586.6</v>
      </c>
    </row>
    <row r="117" spans="1:21" x14ac:dyDescent="0.25">
      <c r="A117" s="67"/>
      <c r="B117" s="88">
        <f>SUM(B111:B116)</f>
        <v>1224.6398830510175</v>
      </c>
      <c r="C117" s="66"/>
      <c r="D117" s="120">
        <f>SUM(D111:D116)</f>
        <v>21403728.434722073</v>
      </c>
      <c r="E117" s="67"/>
      <c r="F117" s="155">
        <f>SUM(F111:F116)</f>
        <v>22642677.424560588</v>
      </c>
      <c r="G117" s="66"/>
      <c r="H117" s="73">
        <f>SUM(H111:H116)</f>
        <v>23878085.745578784</v>
      </c>
      <c r="I117" s="67"/>
      <c r="J117" s="150">
        <f>SUM(J111:J116)</f>
        <v>23882359.963211283</v>
      </c>
      <c r="K117" s="68"/>
      <c r="L117" s="71"/>
      <c r="M117" s="91">
        <f>SUM(M111:M116)</f>
        <v>1224.6398830510175</v>
      </c>
      <c r="N117" s="70"/>
      <c r="O117" s="165">
        <f>SUM(O111:O116)</f>
        <v>21403728.434722073</v>
      </c>
      <c r="P117" s="70"/>
      <c r="Q117" s="170">
        <f>SUM(Q111:Q116)</f>
        <v>22642677.424560588</v>
      </c>
      <c r="R117" s="71"/>
      <c r="S117" s="154">
        <f>SUM(S111:S116)</f>
        <v>23878085.745578784</v>
      </c>
      <c r="T117" s="71"/>
      <c r="U117" s="154">
        <f>SUM(U111:U116)</f>
        <v>23882359.963211283</v>
      </c>
    </row>
    <row r="118" spans="1:21" x14ac:dyDescent="0.25">
      <c r="A118" s="67"/>
      <c r="B118" s="66"/>
      <c r="C118" s="66"/>
      <c r="D118" s="66"/>
      <c r="E118" s="66"/>
      <c r="F118" s="66"/>
      <c r="G118" s="67"/>
      <c r="H118" s="67"/>
      <c r="I118" s="67"/>
      <c r="J118" s="67"/>
      <c r="K118" s="68"/>
      <c r="L118" s="71"/>
      <c r="M118" s="70"/>
      <c r="N118" s="70"/>
      <c r="O118" s="70"/>
      <c r="P118" s="70"/>
      <c r="Q118" s="70"/>
      <c r="R118" s="71"/>
      <c r="S118" s="71"/>
      <c r="T118" s="71"/>
      <c r="U118" s="71"/>
    </row>
    <row r="119" spans="1:21" x14ac:dyDescent="0.25">
      <c r="A119" s="162" t="s">
        <v>196</v>
      </c>
      <c r="B119" s="66"/>
      <c r="C119" s="66"/>
      <c r="D119" s="67"/>
      <c r="E119" s="67"/>
      <c r="F119" s="67" t="s">
        <v>249</v>
      </c>
      <c r="G119" s="67"/>
      <c r="H119" s="67"/>
      <c r="I119" s="67"/>
      <c r="J119" s="67"/>
      <c r="K119" s="68"/>
      <c r="L119" s="163" t="s">
        <v>196</v>
      </c>
      <c r="M119" s="70"/>
      <c r="N119" s="70"/>
      <c r="O119" s="71"/>
      <c r="P119" s="71"/>
      <c r="Q119" s="71" t="s">
        <v>249</v>
      </c>
      <c r="R119" s="71"/>
      <c r="S119" s="71"/>
      <c r="T119" s="71"/>
      <c r="U119" s="71"/>
    </row>
    <row r="120" spans="1:21" x14ac:dyDescent="0.25">
      <c r="A120" s="75" t="s">
        <v>73</v>
      </c>
      <c r="B120" s="66" t="s">
        <v>1</v>
      </c>
      <c r="C120" s="73">
        <f>D98</f>
        <v>312761.72966708918</v>
      </c>
      <c r="D120" s="67" t="s">
        <v>76</v>
      </c>
      <c r="E120" s="67"/>
      <c r="F120" s="66" t="s">
        <v>1</v>
      </c>
      <c r="G120" s="120">
        <f>F98</f>
        <v>311550.63875431311</v>
      </c>
      <c r="H120" s="67" t="s">
        <v>76</v>
      </c>
      <c r="I120" s="67"/>
      <c r="J120" s="67"/>
      <c r="K120" s="68"/>
      <c r="L120" s="77" t="s">
        <v>73</v>
      </c>
      <c r="M120" s="70" t="s">
        <v>1</v>
      </c>
      <c r="N120" s="74">
        <f>O98</f>
        <v>312761.72966708918</v>
      </c>
      <c r="O120" s="71" t="s">
        <v>76</v>
      </c>
      <c r="P120" s="71"/>
      <c r="Q120" s="71" t="s">
        <v>1</v>
      </c>
      <c r="R120" s="152">
        <f>Q98</f>
        <v>311550.63875431311</v>
      </c>
      <c r="S120" s="71" t="s">
        <v>76</v>
      </c>
      <c r="T120" s="71"/>
      <c r="U120" s="71"/>
    </row>
    <row r="121" spans="1:21" x14ac:dyDescent="0.25">
      <c r="A121" s="75" t="s">
        <v>77</v>
      </c>
      <c r="B121" s="66" t="s">
        <v>1</v>
      </c>
      <c r="C121" s="73">
        <f>D106</f>
        <v>796730.04959126131</v>
      </c>
      <c r="D121" s="67" t="s">
        <v>76</v>
      </c>
      <c r="E121" s="67"/>
      <c r="F121" s="66" t="s">
        <v>1</v>
      </c>
      <c r="G121" s="120">
        <f>F106</f>
        <v>795493.45817025402</v>
      </c>
      <c r="H121" s="67" t="s">
        <v>76</v>
      </c>
      <c r="I121" s="67"/>
      <c r="J121" s="67"/>
      <c r="K121" s="68"/>
      <c r="L121" s="77" t="s">
        <v>77</v>
      </c>
      <c r="M121" s="70" t="s">
        <v>1</v>
      </c>
      <c r="N121" s="74">
        <f>O106</f>
        <v>796730.04959126131</v>
      </c>
      <c r="O121" s="71" t="s">
        <v>76</v>
      </c>
      <c r="P121" s="71"/>
      <c r="Q121" s="71" t="s">
        <v>1</v>
      </c>
      <c r="R121" s="152">
        <f>Q106</f>
        <v>795493.45817025402</v>
      </c>
      <c r="S121" s="71" t="s">
        <v>76</v>
      </c>
      <c r="T121" s="71"/>
      <c r="U121" s="71"/>
    </row>
    <row r="122" spans="1:21" ht="16.5" x14ac:dyDescent="0.3">
      <c r="A122" s="75" t="s">
        <v>81</v>
      </c>
      <c r="B122" s="66" t="s">
        <v>1</v>
      </c>
      <c r="C122" s="73">
        <f>((1/3)*B24 * -D6)</f>
        <v>21607498.657241367</v>
      </c>
      <c r="D122" s="67" t="s">
        <v>76</v>
      </c>
      <c r="E122" s="67"/>
      <c r="F122" s="66" t="s">
        <v>1</v>
      </c>
      <c r="G122" s="120">
        <f>ROUND((1/3)*B24 * -D6,-1)</f>
        <v>21607500</v>
      </c>
      <c r="H122" s="67" t="s">
        <v>76</v>
      </c>
      <c r="I122" s="67"/>
      <c r="J122" s="67"/>
      <c r="K122" s="68"/>
      <c r="L122" s="77" t="s">
        <v>307</v>
      </c>
      <c r="M122" s="70" t="s">
        <v>1</v>
      </c>
      <c r="N122" s="74">
        <f>((1/3)*M24 * -O6)</f>
        <v>21607498.657241367</v>
      </c>
      <c r="O122" s="71" t="s">
        <v>76</v>
      </c>
      <c r="P122" s="71"/>
      <c r="Q122" s="71" t="s">
        <v>1</v>
      </c>
      <c r="R122" s="152">
        <f>ROUND((1/3)*M24 * -O6,-1)</f>
        <v>21607500</v>
      </c>
      <c r="S122" s="71" t="s">
        <v>76</v>
      </c>
      <c r="T122" s="71"/>
      <c r="U122" s="71"/>
    </row>
    <row r="123" spans="1:21" x14ac:dyDescent="0.25">
      <c r="A123" s="75" t="s">
        <v>82</v>
      </c>
      <c r="B123" s="66" t="s">
        <v>1</v>
      </c>
      <c r="C123" s="73">
        <f>(B33*-D8)</f>
        <v>1623431.0399402971</v>
      </c>
      <c r="D123" s="67" t="s">
        <v>76</v>
      </c>
      <c r="E123" s="67"/>
      <c r="F123" s="66" t="s">
        <v>1</v>
      </c>
      <c r="G123" s="120">
        <f>ROUND(B33*-D8,-1)</f>
        <v>1623430</v>
      </c>
      <c r="H123" s="67" t="s">
        <v>76</v>
      </c>
      <c r="I123" s="67"/>
      <c r="J123" s="67"/>
      <c r="K123" s="68"/>
      <c r="L123" s="77" t="s">
        <v>82</v>
      </c>
      <c r="M123" s="70" t="s">
        <v>1</v>
      </c>
      <c r="N123" s="74">
        <f>(M33*-O8)</f>
        <v>1623431.0399402971</v>
      </c>
      <c r="O123" s="71" t="s">
        <v>76</v>
      </c>
      <c r="P123" s="71"/>
      <c r="Q123" s="71" t="s">
        <v>1</v>
      </c>
      <c r="R123" s="152">
        <f>ROUND(M33*-O8,-1)</f>
        <v>1623430</v>
      </c>
      <c r="S123" s="71" t="s">
        <v>76</v>
      </c>
      <c r="T123" s="71"/>
      <c r="U123" s="71"/>
    </row>
    <row r="124" spans="1:21" x14ac:dyDescent="0.25">
      <c r="A124" s="75" t="s">
        <v>83</v>
      </c>
      <c r="B124" s="66" t="s">
        <v>1</v>
      </c>
      <c r="C124" s="171">
        <f>B90/2 * -D20</f>
        <v>-1365525</v>
      </c>
      <c r="D124" s="80" t="s">
        <v>76</v>
      </c>
      <c r="E124" s="67"/>
      <c r="F124" s="66" t="s">
        <v>1</v>
      </c>
      <c r="G124" s="125">
        <f>B90/2 * -D20</f>
        <v>-1365525</v>
      </c>
      <c r="H124" s="80" t="s">
        <v>76</v>
      </c>
      <c r="I124" s="67"/>
      <c r="J124" s="67"/>
      <c r="K124" s="68"/>
      <c r="L124" s="77" t="s">
        <v>83</v>
      </c>
      <c r="M124" s="70" t="s">
        <v>1</v>
      </c>
      <c r="N124" s="173">
        <f>M90/2 * -O20</f>
        <v>-1365525</v>
      </c>
      <c r="O124" s="82" t="s">
        <v>76</v>
      </c>
      <c r="P124" s="71"/>
      <c r="Q124" s="71" t="s">
        <v>1</v>
      </c>
      <c r="R124" s="160">
        <f>M90/2 * -O20</f>
        <v>-1365525</v>
      </c>
      <c r="S124" s="82" t="s">
        <v>76</v>
      </c>
      <c r="T124" s="71"/>
      <c r="U124" s="71"/>
    </row>
    <row r="125" spans="1:21" x14ac:dyDescent="0.25">
      <c r="A125" s="67"/>
      <c r="B125" s="66"/>
      <c r="C125" s="73">
        <f>SUM(C120:C124)</f>
        <v>22974896.476440016</v>
      </c>
      <c r="D125" s="67" t="s">
        <v>76</v>
      </c>
      <c r="E125" s="67"/>
      <c r="F125" s="66"/>
      <c r="G125" s="120">
        <f>SUM(G120:G124)</f>
        <v>22972449.096924566</v>
      </c>
      <c r="H125" s="67" t="s">
        <v>76</v>
      </c>
      <c r="I125" s="67"/>
      <c r="J125" s="67"/>
      <c r="K125" s="68"/>
      <c r="L125" s="71"/>
      <c r="M125" s="70"/>
      <c r="N125" s="74">
        <f>SUM(N120:N124)</f>
        <v>22974896.476440016</v>
      </c>
      <c r="O125" s="71" t="s">
        <v>76</v>
      </c>
      <c r="P125" s="71"/>
      <c r="Q125" s="71"/>
      <c r="R125" s="152">
        <f>SUM(R120:R124)</f>
        <v>22972449.096924566</v>
      </c>
      <c r="S125" s="71" t="s">
        <v>76</v>
      </c>
      <c r="T125" s="71"/>
      <c r="U125" s="71"/>
    </row>
    <row r="126" spans="1:21" x14ac:dyDescent="0.25">
      <c r="A126" s="67"/>
      <c r="B126" s="66"/>
      <c r="C126" s="66"/>
      <c r="D126" s="67"/>
      <c r="E126" s="67"/>
      <c r="F126" s="67"/>
      <c r="G126" s="67"/>
      <c r="H126" s="67"/>
      <c r="I126" s="67"/>
      <c r="J126" s="67"/>
      <c r="K126" s="68"/>
      <c r="L126" s="71"/>
      <c r="M126" s="70"/>
      <c r="N126" s="70"/>
      <c r="O126" s="71"/>
      <c r="P126" s="71"/>
      <c r="Q126" s="71"/>
      <c r="R126" s="71"/>
      <c r="S126" s="71"/>
      <c r="T126" s="71"/>
      <c r="U126" s="71"/>
    </row>
    <row r="127" spans="1:21" ht="16.5" customHeight="1" x14ac:dyDescent="0.25">
      <c r="A127" s="67"/>
      <c r="B127" s="101" t="str">
        <f>CONCATENATE("By interpolation, flame temperature is approx: ",ROUND(((C125-D117)/(H117-D117)) * ('Step 1'!H109-'Step 1'!D109) +'Step 1'!D109,0),"°F")</f>
        <v>By interpolation, flame temperature is approx: 2163°F</v>
      </c>
      <c r="C127" s="66"/>
      <c r="D127" s="67"/>
      <c r="E127" s="148"/>
      <c r="F127" s="101" t="str">
        <f>CONCATENATE("By interpolation, flame temperature is approx: ",ROUND(((G125-F117)/(J117-F117)) * ('Step 1'!D109-'Step 1'!H109) +'Step 1'!H109,0),"°F")</f>
        <v>By interpolation, flame temperature is approx: 2173°F</v>
      </c>
      <c r="G127" s="67"/>
      <c r="H127" s="67"/>
      <c r="I127" s="67"/>
      <c r="J127" s="67"/>
      <c r="K127" s="68"/>
      <c r="L127" s="71"/>
      <c r="M127" s="284" t="str">
        <f>CONCATENATE("By interpolation, flame temperature is approx: ",ROUND(((N125-O117)/(S117-O117)) * ('Step 1'!S109-'Step 1'!O109) +'Step 1'!O109,0),"°F")</f>
        <v>By interpolation, flame temperature is approx: 2163°F</v>
      </c>
      <c r="N127" s="70"/>
      <c r="O127" s="71"/>
      <c r="P127" s="153"/>
      <c r="Q127" s="289" t="str">
        <f>CONCATENATE("By interpolation, flame temperature is approx: ",ROUND(((R125-Q117)/(U117-Q117)) * ('Step 1'!O109-'Step 1'!S109) +'Step 1'!S109,0),"°F")</f>
        <v>By interpolation, flame temperature is approx: 2173°F</v>
      </c>
      <c r="R127" s="71"/>
      <c r="S127" s="71"/>
      <c r="T127" s="71"/>
      <c r="U127" s="71"/>
    </row>
    <row r="128" spans="1:21" x14ac:dyDescent="0.25">
      <c r="A128" s="67"/>
      <c r="B128" s="66"/>
      <c r="C128" s="66"/>
      <c r="D128" s="67"/>
      <c r="E128" s="67"/>
      <c r="F128" s="67"/>
      <c r="G128" s="67"/>
      <c r="H128" s="67"/>
      <c r="I128" s="67"/>
      <c r="J128" s="67"/>
      <c r="K128" s="68"/>
      <c r="L128" s="71"/>
      <c r="M128" s="70"/>
      <c r="N128" s="70"/>
      <c r="O128" s="71"/>
      <c r="P128" s="71"/>
      <c r="Q128" s="71"/>
      <c r="R128" s="71"/>
      <c r="S128" s="71"/>
      <c r="T128" s="71"/>
      <c r="U128" s="71"/>
    </row>
    <row r="129" spans="1:21" x14ac:dyDescent="0.25">
      <c r="A129" s="67"/>
      <c r="B129" s="66"/>
      <c r="C129" s="66"/>
      <c r="D129" s="67"/>
      <c r="E129" s="67"/>
      <c r="F129" s="67"/>
      <c r="G129" s="67"/>
      <c r="H129" s="67"/>
      <c r="I129" s="67"/>
      <c r="J129" s="67"/>
      <c r="K129" s="68"/>
      <c r="L129" s="71"/>
      <c r="M129" s="70"/>
      <c r="N129" s="70"/>
      <c r="O129" s="71"/>
      <c r="P129" s="71"/>
      <c r="Q129" s="71"/>
      <c r="R129" s="71"/>
      <c r="S129" s="71"/>
      <c r="T129" s="71"/>
      <c r="U129" s="71"/>
    </row>
    <row r="130" spans="1:21" x14ac:dyDescent="0.25">
      <c r="A130" s="75" t="s">
        <v>72</v>
      </c>
      <c r="B130" s="66">
        <f>B47</f>
        <v>140</v>
      </c>
      <c r="C130" s="66" t="s">
        <v>220</v>
      </c>
      <c r="D130" s="67"/>
      <c r="E130" s="67"/>
      <c r="F130" s="67"/>
      <c r="G130" s="67"/>
      <c r="H130" s="67"/>
      <c r="I130" s="67"/>
      <c r="J130" s="67"/>
      <c r="K130" s="68"/>
      <c r="L130" s="77" t="s">
        <v>72</v>
      </c>
      <c r="M130" s="70">
        <f>M47</f>
        <v>140</v>
      </c>
      <c r="N130" s="70" t="s">
        <v>220</v>
      </c>
      <c r="O130" s="71"/>
      <c r="P130" s="71"/>
      <c r="Q130" s="71"/>
      <c r="R130" s="71"/>
      <c r="S130" s="71"/>
      <c r="T130" s="71"/>
      <c r="U130" s="71"/>
    </row>
    <row r="131" spans="1:21" x14ac:dyDescent="0.25">
      <c r="A131" s="67"/>
      <c r="B131" s="66"/>
      <c r="C131" s="114" t="s">
        <v>73</v>
      </c>
      <c r="D131" s="114"/>
      <c r="E131" s="67"/>
      <c r="F131" s="67"/>
      <c r="G131" s="67"/>
      <c r="H131" s="67"/>
      <c r="I131" s="67"/>
      <c r="J131" s="67"/>
      <c r="K131" s="68"/>
      <c r="L131" s="71"/>
      <c r="M131" s="70"/>
      <c r="N131" s="115" t="s">
        <v>73</v>
      </c>
      <c r="O131" s="115"/>
      <c r="P131" s="71"/>
      <c r="Q131" s="71"/>
      <c r="R131" s="71"/>
      <c r="S131" s="71"/>
      <c r="T131" s="71"/>
      <c r="U131" s="71"/>
    </row>
    <row r="132" spans="1:21" x14ac:dyDescent="0.25">
      <c r="A132" s="67"/>
      <c r="B132" s="66"/>
      <c r="C132" s="116" t="s">
        <v>85</v>
      </c>
      <c r="D132" s="117">
        <f>'Example 22-1 Conditions'!B3</f>
        <v>110</v>
      </c>
      <c r="E132" s="67" t="s">
        <v>303</v>
      </c>
      <c r="F132" s="67"/>
      <c r="G132" s="67"/>
      <c r="H132" s="67"/>
      <c r="I132" s="67"/>
      <c r="J132" s="67"/>
      <c r="K132" s="68"/>
      <c r="L132" s="71"/>
      <c r="M132" s="70"/>
      <c r="N132" s="118" t="s">
        <v>85</v>
      </c>
      <c r="O132" s="97">
        <f>'Example 22-1 Conditions'!M3</f>
        <v>110</v>
      </c>
      <c r="P132" s="71" t="s">
        <v>303</v>
      </c>
      <c r="Q132" s="71"/>
      <c r="R132" s="71"/>
      <c r="S132" s="71"/>
      <c r="T132" s="71"/>
      <c r="U132" s="71"/>
    </row>
    <row r="133" spans="1:21" x14ac:dyDescent="0.25">
      <c r="A133" s="67"/>
      <c r="B133" s="117" t="s">
        <v>74</v>
      </c>
      <c r="C133" s="117" t="s">
        <v>75</v>
      </c>
      <c r="D133" s="117" t="s">
        <v>76</v>
      </c>
      <c r="E133" s="116" t="s">
        <v>75</v>
      </c>
      <c r="F133" s="116" t="s">
        <v>76</v>
      </c>
      <c r="G133" s="67"/>
      <c r="H133" s="67"/>
      <c r="I133" s="67"/>
      <c r="J133" s="67"/>
      <c r="K133" s="68"/>
      <c r="L133" s="71"/>
      <c r="M133" s="97" t="s">
        <v>74</v>
      </c>
      <c r="N133" s="97" t="s">
        <v>75</v>
      </c>
      <c r="O133" s="97" t="s">
        <v>76</v>
      </c>
      <c r="P133" s="71" t="s">
        <v>75</v>
      </c>
      <c r="Q133" s="71" t="s">
        <v>76</v>
      </c>
      <c r="R133" s="71"/>
      <c r="S133" s="71"/>
      <c r="T133" s="71"/>
      <c r="U133" s="71"/>
    </row>
    <row r="134" spans="1:21" ht="16.5" customHeight="1" x14ac:dyDescent="0.3">
      <c r="A134" s="67" t="s">
        <v>42</v>
      </c>
      <c r="B134" s="88">
        <f>B24</f>
        <v>291.07541972035972</v>
      </c>
      <c r="C134" s="66">
        <f>(IF(ROUNDDOWN(D132,-2)=ROUNDUP(D132,-2),VLOOKUP(D132,Enthalpy,19),VLOOKUP(ROUNDDOWN(D132,-2),Enthalpy,19)+(D132-ROUNDDOWN(D132,-2))/(ROUNDUP(D132,-2)-ROUNDDOWN(D132,-2))*(VLOOKUP(ROUNDUP(D132,-2),Enthalpy,19)-VLOOKUP(ROUNDDOWN(D132,-2),Enthalpy,19))))</f>
        <v>628.48</v>
      </c>
      <c r="D134" s="73">
        <f>(B134*C134)</f>
        <v>182935.07978585167</v>
      </c>
      <c r="E134" s="99">
        <f>-241+7.71*D132+0.00125*D132*D132</f>
        <v>622.22500000000002</v>
      </c>
      <c r="F134" s="121">
        <f>+E134*B134</f>
        <v>181114.40303550084</v>
      </c>
      <c r="G134" s="67"/>
      <c r="H134" s="67"/>
      <c r="I134" s="67"/>
      <c r="J134" s="67"/>
      <c r="K134" s="68"/>
      <c r="L134" s="71" t="s">
        <v>295</v>
      </c>
      <c r="M134" s="91">
        <f>M24</f>
        <v>291.07541972035972</v>
      </c>
      <c r="N134" s="70">
        <f>(IF(ROUNDDOWN(O132,-2)=ROUNDUP(O132,-2),VLOOKUP(O132,Enthalpy,19),VLOOKUP(ROUNDDOWN(O132,-2),Enthalpy,19)+(O132-ROUNDDOWN(O132,-2))/(ROUNDUP(O132,-2)-ROUNDDOWN(O132,-2))*(VLOOKUP(ROUNDUP(O132,-2),Enthalpy,19)-VLOOKUP(ROUNDDOWN(O132,-2),Enthalpy,19))))</f>
        <v>628.48</v>
      </c>
      <c r="O134" s="74">
        <f>(M134*N134)</f>
        <v>182935.07978585167</v>
      </c>
      <c r="P134" s="100">
        <f>-241+7.71*O132+0.00125*O132*O132</f>
        <v>622.22500000000002</v>
      </c>
      <c r="Q134" s="174">
        <f>+P134*M134</f>
        <v>181114.40303550084</v>
      </c>
      <c r="R134" s="71"/>
      <c r="S134" s="71"/>
      <c r="T134" s="71"/>
      <c r="U134" s="71"/>
    </row>
    <row r="135" spans="1:21" ht="16.5" x14ac:dyDescent="0.3">
      <c r="A135" s="67" t="s">
        <v>43</v>
      </c>
      <c r="B135" s="88">
        <f>B25</f>
        <v>154.39235370822706</v>
      </c>
      <c r="C135" s="66">
        <f>(IF(ROUNDDOWN(D132,-2)=ROUNDUP(D132,-2),VLOOKUP(D132,Enthalpy,14),VLOOKUP(ROUNDDOWN(D132,-2),Enthalpy,14)+(D132-ROUNDDOWN(D132,-2))/(ROUNDUP(D132,-2)-ROUNDDOWN(D132,-2))*(VLOOKUP(ROUNDUP(D132,-2),Enthalpy,14)-VLOOKUP(ROUNDDOWN(D132,-2),Enthalpy,14))))</f>
        <v>697.54</v>
      </c>
      <c r="D135" s="73">
        <f t="shared" ref="D135:D137" si="31">(B135*C135)</f>
        <v>107694.84240563669</v>
      </c>
      <c r="E135" s="67">
        <f>+-295+8.84*D132+0.002*D132*D132</f>
        <v>701.6</v>
      </c>
      <c r="F135" s="121">
        <f t="shared" ref="F135:F137" si="32">+E135*B135</f>
        <v>108321.67536169211</v>
      </c>
      <c r="G135" s="67"/>
      <c r="H135" s="67"/>
      <c r="I135" s="67"/>
      <c r="J135" s="67"/>
      <c r="K135" s="68"/>
      <c r="L135" s="71" t="s">
        <v>296</v>
      </c>
      <c r="M135" s="91">
        <f>M25</f>
        <v>154.39235370822706</v>
      </c>
      <c r="N135" s="70">
        <f>(IF(ROUNDDOWN(O132,-2)=ROUNDUP(O132,-2),VLOOKUP(O132,Enthalpy,14),VLOOKUP(ROUNDDOWN(O132,-2),Enthalpy,14)+(O132-ROUNDDOWN(O132,-2))/(ROUNDUP(O132,-2)-ROUNDDOWN(O132,-2))*(VLOOKUP(ROUNDUP(O132,-2),Enthalpy,14)-VLOOKUP(ROUNDDOWN(O132,-2),Enthalpy,14))))</f>
        <v>697.54</v>
      </c>
      <c r="O135" s="74">
        <f t="shared" ref="O135:O137" si="33">(M135*N135)</f>
        <v>107694.84240563669</v>
      </c>
      <c r="P135" s="71">
        <f>+-295+8.84*O132+0.002*O132*O132</f>
        <v>701.6</v>
      </c>
      <c r="Q135" s="174">
        <f t="shared" ref="Q135:Q137" si="34">+P135*M135</f>
        <v>108321.67536169211</v>
      </c>
      <c r="R135" s="71"/>
      <c r="S135" s="71"/>
      <c r="T135" s="71"/>
      <c r="U135" s="71"/>
    </row>
    <row r="136" spans="1:21" ht="16.5" x14ac:dyDescent="0.3">
      <c r="A136" s="67" t="s">
        <v>44</v>
      </c>
      <c r="B136" s="88">
        <f>B26</f>
        <v>29.755442741405282</v>
      </c>
      <c r="C136" s="66">
        <f>(IF(ROUNDDOWN(D132,-2)=ROUNDUP(D132,-2),VLOOKUP(D132,Enthalpy,15),VLOOKUP(ROUNDDOWN(D132,-2),Enthalpy,15)+(D132-ROUNDDOWN(D132,-2))/(ROUNDUP(D132,-2)-ROUNDDOWN(D132,-2))*(VLOOKUP(ROUNDUP(D132,-2),Enthalpy,15)-VLOOKUP(ROUNDDOWN(D132,-2),Enthalpy,15))))</f>
        <v>640.19000000000005</v>
      </c>
      <c r="D136" s="73">
        <f t="shared" si="31"/>
        <v>19049.136888620251</v>
      </c>
      <c r="E136" s="99">
        <f>-264+8.19*D132+0.000387*D132*D132</f>
        <v>641.58269999999993</v>
      </c>
      <c r="F136" s="121">
        <f t="shared" si="32"/>
        <v>19090.577293726201</v>
      </c>
      <c r="G136" s="67"/>
      <c r="H136" s="67"/>
      <c r="I136" s="67"/>
      <c r="J136" s="67"/>
      <c r="K136" s="68"/>
      <c r="L136" s="71" t="s">
        <v>297</v>
      </c>
      <c r="M136" s="91">
        <f>M26</f>
        <v>29.755442741405282</v>
      </c>
      <c r="N136" s="70">
        <f>(IF(ROUNDDOWN(O132,-2)=ROUNDUP(O132,-2),VLOOKUP(O132,Enthalpy,15),VLOOKUP(ROUNDDOWN(O132,-2),Enthalpy,15)+(O132-ROUNDDOWN(O132,-2))/(ROUNDUP(O132,-2)-ROUNDDOWN(O132,-2))*(VLOOKUP(ROUNDUP(O132,-2),Enthalpy,15)-VLOOKUP(ROUNDDOWN(O132,-2),Enthalpy,15))))</f>
        <v>640.19000000000005</v>
      </c>
      <c r="O136" s="74">
        <f t="shared" si="33"/>
        <v>19049.136888620251</v>
      </c>
      <c r="P136" s="100">
        <f>-264+8.19*O132+0.000387*O132*O132</f>
        <v>641.58269999999993</v>
      </c>
      <c r="Q136" s="174">
        <f t="shared" si="34"/>
        <v>19090.577293726201</v>
      </c>
      <c r="R136" s="71"/>
      <c r="S136" s="71"/>
      <c r="T136" s="71"/>
      <c r="U136" s="71"/>
    </row>
    <row r="137" spans="1:21" ht="16.5" x14ac:dyDescent="0.3">
      <c r="A137" s="67" t="s">
        <v>45</v>
      </c>
      <c r="B137" s="94">
        <f>B33</f>
        <v>4.7032796591253501</v>
      </c>
      <c r="C137" s="66">
        <f>(IF(ROUNDDOWN(D132,-2)=ROUNDUP(D132,-2),VLOOKUP(D132,EnthalpyData,2),VLOOKUP(ROUNDDOWN(D132,-2),EnthalpyData,2)+(D132-ROUNDDOWN(D132,-2))/(ROUNDUP(D132,-2)-ROUNDDOWN(D132,-2))*(VLOOKUP(ROUNDUP(D132,-2),EnthalpyData,2)-VLOOKUP(ROUNDDOWN(D132,-2),EnthalpyData,2))))</f>
        <v>655.43000000000006</v>
      </c>
      <c r="D137" s="171">
        <f t="shared" si="31"/>
        <v>3082.6705869805287</v>
      </c>
      <c r="E137" s="99">
        <f>-233+7.51*D132+0.00412*D132*D132</f>
        <v>642.952</v>
      </c>
      <c r="F137" s="126">
        <f t="shared" si="32"/>
        <v>3023.9830633939619</v>
      </c>
      <c r="G137" s="67"/>
      <c r="H137" s="67"/>
      <c r="I137" s="67"/>
      <c r="J137" s="67"/>
      <c r="K137" s="68"/>
      <c r="L137" s="71" t="s">
        <v>308</v>
      </c>
      <c r="M137" s="96">
        <f>M33</f>
        <v>4.7032796591253501</v>
      </c>
      <c r="N137" s="70">
        <f>(IF(ROUNDDOWN(O132,-2)=ROUNDUP(O132,-2),VLOOKUP(O132,EnthalpyData,2),VLOOKUP(ROUNDDOWN(O132,-2),EnthalpyData,2)+(O132-ROUNDDOWN(O132,-2))/(ROUNDUP(O132,-2)-ROUNDDOWN(O132,-2))*(VLOOKUP(ROUNDUP(O132,-2),EnthalpyData,2)-VLOOKUP(ROUNDDOWN(O132,-2),EnthalpyData,2))))</f>
        <v>655.43000000000006</v>
      </c>
      <c r="O137" s="173">
        <f t="shared" si="33"/>
        <v>3082.6705869805287</v>
      </c>
      <c r="P137" s="100">
        <f>-233+7.51*O132+0.00412*O132*O132</f>
        <v>642.952</v>
      </c>
      <c r="Q137" s="175">
        <f t="shared" si="34"/>
        <v>3023.9830633939619</v>
      </c>
      <c r="R137" s="71"/>
      <c r="S137" s="71"/>
      <c r="T137" s="71"/>
      <c r="U137" s="71"/>
    </row>
    <row r="138" spans="1:21" x14ac:dyDescent="0.25">
      <c r="A138" s="67"/>
      <c r="B138" s="88">
        <f>SUM(B134:B137)</f>
        <v>479.92649582911741</v>
      </c>
      <c r="C138" s="66"/>
      <c r="D138" s="73">
        <f>SUM(D134:D137)</f>
        <v>312761.72966708918</v>
      </c>
      <c r="E138" s="67"/>
      <c r="F138" s="129">
        <f>SUM(F134:F137)</f>
        <v>311550.63875431311</v>
      </c>
      <c r="G138" s="67"/>
      <c r="H138" s="67"/>
      <c r="I138" s="67"/>
      <c r="J138" s="67"/>
      <c r="K138" s="68"/>
      <c r="L138" s="71"/>
      <c r="M138" s="91">
        <f>SUM(M134:M137)</f>
        <v>479.92649582911741</v>
      </c>
      <c r="N138" s="70"/>
      <c r="O138" s="74">
        <f>SUM(O134:O137)</f>
        <v>312761.72966708918</v>
      </c>
      <c r="P138" s="71"/>
      <c r="Q138" s="174">
        <f>SUM(Q134:Q137)</f>
        <v>311550.63875431311</v>
      </c>
      <c r="R138" s="71"/>
      <c r="S138" s="71"/>
      <c r="T138" s="71"/>
      <c r="U138" s="71"/>
    </row>
    <row r="139" spans="1:21" x14ac:dyDescent="0.25">
      <c r="A139" s="67"/>
      <c r="B139" s="66"/>
      <c r="C139" s="66"/>
      <c r="D139" s="130"/>
      <c r="E139" s="67"/>
      <c r="F139" s="131"/>
      <c r="G139" s="67"/>
      <c r="H139" s="67"/>
      <c r="I139" s="67"/>
      <c r="J139" s="67"/>
      <c r="K139" s="68"/>
      <c r="L139" s="71"/>
      <c r="M139" s="70"/>
      <c r="N139" s="70"/>
      <c r="O139" s="113"/>
      <c r="P139" s="71"/>
      <c r="Q139" s="176"/>
      <c r="R139" s="71"/>
      <c r="S139" s="71"/>
      <c r="T139" s="71"/>
      <c r="U139" s="71"/>
    </row>
    <row r="140" spans="1:21" x14ac:dyDescent="0.25">
      <c r="A140" s="67"/>
      <c r="B140" s="66"/>
      <c r="C140" s="114" t="s">
        <v>77</v>
      </c>
      <c r="D140" s="114"/>
      <c r="E140" s="67"/>
      <c r="F140" s="131"/>
      <c r="G140" s="67"/>
      <c r="H140" s="67"/>
      <c r="I140" s="67"/>
      <c r="J140" s="67"/>
      <c r="K140" s="68"/>
      <c r="L140" s="71"/>
      <c r="M140" s="70"/>
      <c r="N140" s="115" t="s">
        <v>77</v>
      </c>
      <c r="O140" s="115"/>
      <c r="P140" s="71"/>
      <c r="Q140" s="176"/>
      <c r="R140" s="71"/>
      <c r="S140" s="71"/>
      <c r="T140" s="71"/>
      <c r="U140" s="71"/>
    </row>
    <row r="141" spans="1:21" x14ac:dyDescent="0.25">
      <c r="A141" s="67"/>
      <c r="B141" s="66"/>
      <c r="C141" s="116" t="s">
        <v>85</v>
      </c>
      <c r="D141" s="117">
        <f>D62</f>
        <v>180</v>
      </c>
      <c r="E141" s="67" t="s">
        <v>303</v>
      </c>
      <c r="F141" s="67"/>
      <c r="G141" s="67"/>
      <c r="H141" s="67"/>
      <c r="I141" s="67"/>
      <c r="J141" s="67"/>
      <c r="K141" s="68"/>
      <c r="L141" s="71"/>
      <c r="M141" s="70"/>
      <c r="N141" s="118" t="s">
        <v>85</v>
      </c>
      <c r="O141" s="97">
        <f>O62</f>
        <v>180</v>
      </c>
      <c r="P141" s="71" t="s">
        <v>303</v>
      </c>
      <c r="Q141" s="71"/>
      <c r="R141" s="71"/>
      <c r="S141" s="71"/>
      <c r="T141" s="71"/>
      <c r="U141" s="71"/>
    </row>
    <row r="142" spans="1:21" x14ac:dyDescent="0.25">
      <c r="A142" s="67"/>
      <c r="B142" s="117" t="s">
        <v>74</v>
      </c>
      <c r="C142" s="117" t="s">
        <v>78</v>
      </c>
      <c r="D142" s="132" t="s">
        <v>76</v>
      </c>
      <c r="E142" s="116" t="s">
        <v>75</v>
      </c>
      <c r="F142" s="116" t="s">
        <v>76</v>
      </c>
      <c r="G142" s="67"/>
      <c r="H142" s="67"/>
      <c r="I142" s="67"/>
      <c r="J142" s="67"/>
      <c r="K142" s="68"/>
      <c r="L142" s="71"/>
      <c r="M142" s="97" t="s">
        <v>74</v>
      </c>
      <c r="N142" s="97" t="s">
        <v>78</v>
      </c>
      <c r="O142" s="133" t="s">
        <v>76</v>
      </c>
      <c r="P142" s="82" t="s">
        <v>75</v>
      </c>
      <c r="Q142" s="82" t="s">
        <v>76</v>
      </c>
      <c r="R142" s="71"/>
      <c r="S142" s="71"/>
      <c r="T142" s="71"/>
      <c r="U142" s="71"/>
    </row>
    <row r="143" spans="1:21" ht="16.5" x14ac:dyDescent="0.3">
      <c r="A143" s="67" t="s">
        <v>53</v>
      </c>
      <c r="B143" s="88">
        <f>C29</f>
        <v>154.94426917843055</v>
      </c>
      <c r="C143" s="66">
        <f>(IF(ROUNDDOWN(D141,-2)=ROUNDUP(D141,-2),VLOOKUP(D141,Enthalpy,10),VLOOKUP(ROUNDDOWN(D141,-2),Enthalpy,10)+(D141-ROUNDDOWN(D141,-2))/(ROUNDUP(D141,-2)-ROUNDDOWN(D141,-2))*(VLOOKUP(ROUNDUP(D141,-2),Enthalpy,10)-VLOOKUP(ROUNDDOWN(D141,-2),Enthalpy,10))))</f>
        <v>1084.1600000000001</v>
      </c>
      <c r="D143" s="73">
        <f>(B143*C143)</f>
        <v>167984.37887248729</v>
      </c>
      <c r="E143" s="99">
        <f>-238+7.29*D141+0.000387*D141*D141</f>
        <v>1086.7388000000001</v>
      </c>
      <c r="F143" s="121">
        <f t="shared" ref="F143:F145" si="35">+E143*B143</f>
        <v>168383.94915384462</v>
      </c>
      <c r="G143" s="67"/>
      <c r="H143" s="67"/>
      <c r="I143" s="67"/>
      <c r="J143" s="67"/>
      <c r="K143" s="68"/>
      <c r="L143" s="71" t="s">
        <v>298</v>
      </c>
      <c r="M143" s="91">
        <f>N29</f>
        <v>154.94426917843055</v>
      </c>
      <c r="N143" s="70">
        <f>(IF(ROUNDDOWN(O141,-2)=ROUNDUP(O141,-2),VLOOKUP(O141,Enthalpy,10),VLOOKUP(ROUNDDOWN(O141,-2),Enthalpy,10)+(O141-ROUNDDOWN(O141,-2))/(ROUNDUP(O141,-2)-ROUNDDOWN(O141,-2))*(VLOOKUP(ROUNDUP(O141,-2),Enthalpy,10)-VLOOKUP(ROUNDDOWN(O141,-2),Enthalpy,10))))</f>
        <v>1084.1600000000001</v>
      </c>
      <c r="O143" s="74">
        <f>(M143*N143)</f>
        <v>167984.37887248729</v>
      </c>
      <c r="P143" s="100">
        <f>-238+7.29*O141+0.000387*O141*O141</f>
        <v>1086.7388000000001</v>
      </c>
      <c r="Q143" s="152">
        <f t="shared" ref="Q143:Q145" si="36">+P143*M143</f>
        <v>168383.94915384462</v>
      </c>
      <c r="R143" s="71"/>
      <c r="S143" s="71"/>
      <c r="T143" s="71"/>
      <c r="U143" s="71"/>
    </row>
    <row r="144" spans="1:21" ht="16.5" x14ac:dyDescent="0.3">
      <c r="A144" s="67" t="s">
        <v>52</v>
      </c>
      <c r="B144" s="88">
        <f>C28</f>
        <v>582.62585529985779</v>
      </c>
      <c r="C144" s="66">
        <f>(IF(ROUNDDOWN(D141,-2)=ROUNDUP(D141,-2),VLOOKUP(D141,Enthalpy,9),VLOOKUP(ROUNDDOWN(D141,-2),Enthalpy,9)+(D141-ROUNDDOWN(D141,-2))/(ROUNDUP(D141,-2)-ROUNDDOWN(D141,-2))*(VLOOKUP(ROUNDUP(D141,-2),Enthalpy,9)-VLOOKUP(ROUNDDOWN(D141,-2),Enthalpy,9))))</f>
        <v>1033.22</v>
      </c>
      <c r="D144" s="73">
        <f t="shared" ref="D144:D145" si="37">(B144*C144)</f>
        <v>601980.68621291907</v>
      </c>
      <c r="E144" s="99">
        <f>-220+6.91*D141+0.000203*D141*D141</f>
        <v>1030.3771999999999</v>
      </c>
      <c r="F144" s="121">
        <f t="shared" si="35"/>
        <v>600324.39743147255</v>
      </c>
      <c r="G144" s="67"/>
      <c r="H144" s="67"/>
      <c r="I144" s="67"/>
      <c r="J144" s="67"/>
      <c r="K144" s="68"/>
      <c r="L144" s="71" t="s">
        <v>299</v>
      </c>
      <c r="M144" s="91">
        <f>N28</f>
        <v>582.62585529985779</v>
      </c>
      <c r="N144" s="70">
        <f>(IF(ROUNDDOWN(O141,-2)=ROUNDUP(O141,-2),VLOOKUP(O141,Enthalpy,9),VLOOKUP(ROUNDDOWN(O141,-2),Enthalpy,9)+(O141-ROUNDDOWN(O141,-2))/(ROUNDUP(O141,-2)-ROUNDDOWN(O141,-2))*(VLOOKUP(ROUNDUP(O141,-2),Enthalpy,9)-VLOOKUP(ROUNDDOWN(O141,-2),Enthalpy,9))))</f>
        <v>1033.22</v>
      </c>
      <c r="O144" s="74">
        <f t="shared" ref="O144:O145" si="38">(M144*N144)</f>
        <v>601980.68621291907</v>
      </c>
      <c r="P144" s="100">
        <f>-220+6.91*O141+0.000203*O141*O141</f>
        <v>1030.3771999999999</v>
      </c>
      <c r="Q144" s="152">
        <f t="shared" si="36"/>
        <v>600324.39743147255</v>
      </c>
      <c r="R144" s="71"/>
      <c r="S144" s="71"/>
      <c r="T144" s="71"/>
      <c r="U144" s="71"/>
    </row>
    <row r="145" spans="1:21" ht="16.5" x14ac:dyDescent="0.3">
      <c r="A145" s="67" t="s">
        <v>44</v>
      </c>
      <c r="B145" s="94">
        <f>C26</f>
        <v>21.905832697005163</v>
      </c>
      <c r="C145" s="66">
        <f>(IF(ROUNDDOWN(D141,-2)=ROUNDUP(D141,-2),VLOOKUP(D141,Enthalpy,15),VLOOKUP(ROUNDDOWN(D141,-2),Enthalpy,15)+(D141-ROUNDDOWN(D141,-2))/(ROUNDUP(D141,-2)-ROUNDDOWN(D141,-2))*(VLOOKUP(ROUNDUP(D141,-2),Enthalpy,15)-VLOOKUP(ROUNDDOWN(D141,-2),Enthalpy,15))))</f>
        <v>1221.8200000000002</v>
      </c>
      <c r="D145" s="171">
        <f t="shared" si="37"/>
        <v>26764.984505854853</v>
      </c>
      <c r="E145" s="99">
        <f>-264+8.19*D141+0.000387*D141*D141</f>
        <v>1222.7387999999999</v>
      </c>
      <c r="F145" s="126">
        <f t="shared" si="35"/>
        <v>26785.111584936854</v>
      </c>
      <c r="G145" s="67"/>
      <c r="H145" s="67"/>
      <c r="I145" s="67"/>
      <c r="J145" s="67"/>
      <c r="K145" s="68"/>
      <c r="L145" s="71" t="s">
        <v>297</v>
      </c>
      <c r="M145" s="96">
        <f>N26</f>
        <v>21.905832697005163</v>
      </c>
      <c r="N145" s="70">
        <f>(IF(ROUNDDOWN(O141,-2)=ROUNDUP(O141,-2),VLOOKUP(O141,Enthalpy,15),VLOOKUP(ROUNDDOWN(O141,-2),Enthalpy,15)+(O141-ROUNDDOWN(O141,-2))/(ROUNDUP(O141,-2)-ROUNDDOWN(O141,-2))*(VLOOKUP(ROUNDUP(O141,-2),Enthalpy,15)-VLOOKUP(ROUNDDOWN(O141,-2),Enthalpy,15))))</f>
        <v>1221.8200000000002</v>
      </c>
      <c r="O145" s="173">
        <f t="shared" si="38"/>
        <v>26764.984505854853</v>
      </c>
      <c r="P145" s="100">
        <f>-264+8.19*O141+0.000387*O141*O141</f>
        <v>1222.7387999999999</v>
      </c>
      <c r="Q145" s="160">
        <f t="shared" si="36"/>
        <v>26785.111584936854</v>
      </c>
      <c r="R145" s="71"/>
      <c r="S145" s="71"/>
      <c r="T145" s="71"/>
      <c r="U145" s="71"/>
    </row>
    <row r="146" spans="1:21" x14ac:dyDescent="0.25">
      <c r="A146" s="67"/>
      <c r="B146" s="88">
        <f>SUM(B143:B145)</f>
        <v>759.4759571752935</v>
      </c>
      <c r="C146" s="66"/>
      <c r="D146" s="73">
        <f>SUM(D143:D145)</f>
        <v>796730.04959126131</v>
      </c>
      <c r="E146" s="67"/>
      <c r="F146" s="134">
        <f>SUM(F143:F145)</f>
        <v>795493.45817025402</v>
      </c>
      <c r="G146" s="67"/>
      <c r="H146" s="67"/>
      <c r="I146" s="67"/>
      <c r="J146" s="67"/>
      <c r="K146" s="68"/>
      <c r="L146" s="71"/>
      <c r="M146" s="91">
        <f>SUM(M143:M145)</f>
        <v>759.4759571752935</v>
      </c>
      <c r="N146" s="70"/>
      <c r="O146" s="74">
        <f>SUM(O143:O145)</f>
        <v>796730.04959126131</v>
      </c>
      <c r="P146" s="71"/>
      <c r="Q146" s="152">
        <f>SUM(Q143:Q145)</f>
        <v>795493.45817025402</v>
      </c>
      <c r="R146" s="71"/>
      <c r="S146" s="71"/>
      <c r="T146" s="71"/>
      <c r="U146" s="71"/>
    </row>
    <row r="147" spans="1:21" x14ac:dyDescent="0.25">
      <c r="A147" s="67"/>
      <c r="B147" s="66"/>
      <c r="C147" s="66"/>
      <c r="D147" s="130"/>
      <c r="E147" s="67"/>
      <c r="F147" s="67"/>
      <c r="G147" s="67"/>
      <c r="H147" s="67"/>
      <c r="I147" s="67"/>
      <c r="J147" s="67"/>
      <c r="K147" s="68"/>
      <c r="L147" s="71"/>
      <c r="M147" s="70"/>
      <c r="N147" s="70"/>
      <c r="O147" s="113"/>
      <c r="P147" s="71"/>
      <c r="Q147" s="71"/>
      <c r="R147" s="71"/>
      <c r="S147" s="71"/>
      <c r="T147" s="71"/>
      <c r="U147" s="71"/>
    </row>
    <row r="148" spans="1:21" x14ac:dyDescent="0.25">
      <c r="A148" s="67"/>
      <c r="B148" s="66"/>
      <c r="C148" s="114" t="s">
        <v>79</v>
      </c>
      <c r="D148" s="114"/>
      <c r="E148" s="67"/>
      <c r="F148" s="67"/>
      <c r="G148" s="67"/>
      <c r="H148" s="67"/>
      <c r="I148" s="67"/>
      <c r="J148" s="67"/>
      <c r="K148" s="68"/>
      <c r="L148" s="71"/>
      <c r="M148" s="70"/>
      <c r="N148" s="115" t="s">
        <v>79</v>
      </c>
      <c r="O148" s="115"/>
      <c r="P148" s="71"/>
      <c r="Q148" s="71"/>
      <c r="R148" s="71"/>
      <c r="S148" s="71"/>
      <c r="T148" s="71"/>
      <c r="U148" s="71"/>
    </row>
    <row r="149" spans="1:21" x14ac:dyDescent="0.25">
      <c r="A149" s="67"/>
      <c r="B149" s="66"/>
      <c r="C149" s="116" t="s">
        <v>85</v>
      </c>
      <c r="D149" s="135">
        <f>D70</f>
        <v>2100</v>
      </c>
      <c r="E149" s="136" t="s">
        <v>303</v>
      </c>
      <c r="F149" s="137"/>
      <c r="G149" s="138" t="s">
        <v>85</v>
      </c>
      <c r="H149" s="139">
        <f>H70</f>
        <v>2200</v>
      </c>
      <c r="I149" s="136" t="s">
        <v>303</v>
      </c>
      <c r="J149" s="137"/>
      <c r="K149" s="68"/>
      <c r="L149" s="71"/>
      <c r="M149" s="70"/>
      <c r="N149" s="118" t="s">
        <v>85</v>
      </c>
      <c r="O149" s="140">
        <f>O70</f>
        <v>2100</v>
      </c>
      <c r="P149" s="167" t="s">
        <v>303</v>
      </c>
      <c r="Q149" s="140"/>
      <c r="R149" s="177" t="s">
        <v>85</v>
      </c>
      <c r="S149" s="140">
        <f>S70</f>
        <v>2200</v>
      </c>
      <c r="T149" s="82" t="s">
        <v>303</v>
      </c>
      <c r="U149" s="82"/>
    </row>
    <row r="150" spans="1:21" x14ac:dyDescent="0.25">
      <c r="A150" s="67"/>
      <c r="B150" s="117" t="s">
        <v>74</v>
      </c>
      <c r="C150" s="117" t="s">
        <v>75</v>
      </c>
      <c r="D150" s="117" t="s">
        <v>76</v>
      </c>
      <c r="E150" s="143" t="s">
        <v>75</v>
      </c>
      <c r="F150" s="116" t="s">
        <v>76</v>
      </c>
      <c r="G150" s="144" t="s">
        <v>80</v>
      </c>
      <c r="H150" s="117" t="s">
        <v>76</v>
      </c>
      <c r="I150" s="143" t="s">
        <v>75</v>
      </c>
      <c r="J150" s="116" t="s">
        <v>76</v>
      </c>
      <c r="K150" s="68"/>
      <c r="L150" s="71"/>
      <c r="M150" s="97" t="s">
        <v>74</v>
      </c>
      <c r="N150" s="97" t="s">
        <v>75</v>
      </c>
      <c r="O150" s="97" t="s">
        <v>76</v>
      </c>
      <c r="P150" s="145" t="s">
        <v>75</v>
      </c>
      <c r="Q150" s="146" t="s">
        <v>76</v>
      </c>
      <c r="R150" s="169" t="s">
        <v>80</v>
      </c>
      <c r="S150" s="147" t="s">
        <v>76</v>
      </c>
      <c r="T150" s="147" t="s">
        <v>75</v>
      </c>
      <c r="U150" s="147" t="s">
        <v>76</v>
      </c>
    </row>
    <row r="151" spans="1:21" ht="16.5" x14ac:dyDescent="0.3">
      <c r="A151" s="67" t="s">
        <v>42</v>
      </c>
      <c r="B151" s="88">
        <f>E24-B130</f>
        <v>54.050279813573127</v>
      </c>
      <c r="C151" s="66">
        <f>(IF(ROUNDDOWN(D149,-2)=ROUNDUP(D149,-2),VLOOKUP(D149,Enthalpy,19),VLOOKUP(ROUNDDOWN(D149,-2),Enthalpy,19)+(D149-ROUNDDOWN(D149,-2))/(ROUNDUP(D149,-2)-ROUNDDOWN(D149,-2))*(VLOOKUP(ROUNDUP(D149,-2),Enthalpy,19)-VLOOKUP(ROUNDDOWN(D149,-2),Enthalpy,19))))</f>
        <v>20240</v>
      </c>
      <c r="D151" s="73">
        <f>(B151*C151)</f>
        <v>1093977.6634267201</v>
      </c>
      <c r="E151" s="148">
        <f>-1523+9.49*D149+0.000693*D149*D149</f>
        <v>21462.13</v>
      </c>
      <c r="F151" s="149">
        <f>E151*B151</f>
        <v>1160034.1318952823</v>
      </c>
      <c r="G151" s="66">
        <f>(IF(ROUNDDOWN(H149,-2)=ROUNDUP(H149,-2),VLOOKUP(H149,Enthalpy,19),VLOOKUP(ROUNDDOWN(H149,-2),Enthalpy,19)+(H149-ROUNDDOWN(H149,-2))/(ROUNDUP(H149,-2)-ROUNDDOWN(H149,-2))*(VLOOKUP(ROUNDUP(H149,-2),Enthalpy,19)-VLOOKUP(ROUNDDOWN(H149,-2),Enthalpy,19))))</f>
        <v>22720</v>
      </c>
      <c r="H151" s="73">
        <f t="shared" ref="H151:H156" si="39">(B151*G151)</f>
        <v>1228022.3573643814</v>
      </c>
      <c r="I151" s="148">
        <f>-1523+9.49*H149+0.000693*H149*H149</f>
        <v>22709.119999999999</v>
      </c>
      <c r="J151" s="150">
        <f>I151*B151</f>
        <v>1227434.2903200097</v>
      </c>
      <c r="K151" s="68"/>
      <c r="L151" s="71" t="s">
        <v>295</v>
      </c>
      <c r="M151" s="91">
        <f>P24-M130</f>
        <v>54.050279813573127</v>
      </c>
      <c r="N151" s="70">
        <f>(IF(ROUNDDOWN(O149,-2)=ROUNDUP(O149,-2),VLOOKUP(O149,Enthalpy,19),VLOOKUP(ROUNDDOWN(O149,-2),Enthalpy,19)+(O149-ROUNDDOWN(O149,-2))/(ROUNDUP(O149,-2)-ROUNDDOWN(O149,-2))*(VLOOKUP(ROUNDUP(O149,-2),Enthalpy,19)-VLOOKUP(ROUNDDOWN(O149,-2),Enthalpy,19))))</f>
        <v>20240</v>
      </c>
      <c r="O151" s="74">
        <f>(M151*N151)</f>
        <v>1093977.6634267201</v>
      </c>
      <c r="P151" s="113">
        <f>-1523+9.49*O149+0.000693*O149*O149</f>
        <v>21462.13</v>
      </c>
      <c r="Q151" s="170">
        <f>P151*M151</f>
        <v>1160034.1318952823</v>
      </c>
      <c r="R151" s="71">
        <f>(IF(ROUNDDOWN(S149,-2)=ROUNDUP(S149,-2),VLOOKUP(S149,Enthalpy,19),VLOOKUP(ROUNDDOWN(S149,-2),Enthalpy,19)+(S149-ROUNDDOWN(S149,-2))/(ROUNDUP(S149,-2)-ROUNDDOWN(S149,-2))*(VLOOKUP(ROUNDUP(S149,-2),Enthalpy,19)-VLOOKUP(ROUNDDOWN(S149,-2),Enthalpy,19))))</f>
        <v>22720</v>
      </c>
      <c r="S151" s="154">
        <f t="shared" ref="S151:S156" si="40">(M151*R151)</f>
        <v>1228022.3573643814</v>
      </c>
      <c r="T151" s="153">
        <f>-1523+9.49*S149+0.000693*S149*S149</f>
        <v>22709.119999999999</v>
      </c>
      <c r="U151" s="154">
        <f>T151*M151</f>
        <v>1227434.2903200097</v>
      </c>
    </row>
    <row r="152" spans="1:21" ht="16.5" x14ac:dyDescent="0.3">
      <c r="A152" s="67" t="s">
        <v>43</v>
      </c>
      <c r="B152" s="88">
        <f>E25</f>
        <v>159.09563336735241</v>
      </c>
      <c r="C152" s="66">
        <f>(IF(ROUNDDOWN(D149,-2)=ROUNDUP(D149,-2),VLOOKUP(D149,Enthalpy,14),VLOOKUP(ROUNDDOWN(D149,-2),Enthalpy,14)+(D149-ROUNDDOWN(D149,-2))/(ROUNDUP(D149,-2)-ROUNDDOWN(D149,-2))*(VLOOKUP(ROUNDUP(D149,-2),Enthalpy,14)-VLOOKUP(ROUNDDOWN(D149,-2),Enthalpy,14))))</f>
        <v>23560</v>
      </c>
      <c r="D152" s="73">
        <f t="shared" ref="D152:D156" si="41">(B152*C152)</f>
        <v>3748293.1221348229</v>
      </c>
      <c r="E152" s="148">
        <f>-2178+11.97*D149+0.000449*D149*D149</f>
        <v>24939.09</v>
      </c>
      <c r="F152" s="155">
        <f t="shared" ref="F152:F156" si="42">E152*B152</f>
        <v>3967700.3191554048</v>
      </c>
      <c r="G152" s="66">
        <f>(IF(ROUNDDOWN(H149,-2)=ROUNDUP(H149,-2),VLOOKUP(H149,Enthalpy,14),VLOOKUP(ROUNDDOWN(H149,-2),Enthalpy,14)+(H149-ROUNDDOWN(H149,-2))/(ROUNDUP(H149,-2)-ROUNDDOWN(H149,-2))*(VLOOKUP(ROUNDUP(H149,-2),Enthalpy,14)-VLOOKUP(ROUNDDOWN(H149,-2),Enthalpy,14))))</f>
        <v>26330</v>
      </c>
      <c r="H152" s="73">
        <f t="shared" si="39"/>
        <v>4188988.026562389</v>
      </c>
      <c r="I152" s="148">
        <f>-2178+11.97*H149+0.000449*H149*H149</f>
        <v>26329.16</v>
      </c>
      <c r="J152" s="150">
        <f t="shared" ref="J152:J156" si="43">I152*B152</f>
        <v>4188854.3862303603</v>
      </c>
      <c r="K152" s="68"/>
      <c r="L152" s="71" t="s">
        <v>296</v>
      </c>
      <c r="M152" s="91">
        <f>P25</f>
        <v>159.09563336735241</v>
      </c>
      <c r="N152" s="70">
        <f>(IF(ROUNDDOWN(O149,-2)=ROUNDUP(O149,-2),VLOOKUP(O149,Enthalpy,14),VLOOKUP(ROUNDDOWN(O149,-2),Enthalpy,14)+(O149-ROUNDDOWN(O149,-2))/(ROUNDUP(O149,-2)-ROUNDDOWN(O149,-2))*(VLOOKUP(ROUNDUP(O149,-2),Enthalpy,14)-VLOOKUP(ROUNDDOWN(O149,-2),Enthalpy,14))))</f>
        <v>23560</v>
      </c>
      <c r="O152" s="74">
        <f t="shared" ref="O152:O156" si="44">(M152*N152)</f>
        <v>3748293.1221348229</v>
      </c>
      <c r="P152" s="113">
        <f>-2178+11.97*O149+0.000449*O149*O149</f>
        <v>24939.09</v>
      </c>
      <c r="Q152" s="170">
        <f t="shared" ref="Q152:Q156" si="45">P152*M152</f>
        <v>3967700.3191554048</v>
      </c>
      <c r="R152" s="71">
        <f>(IF(ROUNDDOWN(S149,-2)=ROUNDUP(S149,-2),VLOOKUP(S149,Enthalpy,14),VLOOKUP(ROUNDDOWN(S149,-2),Enthalpy,14)+(S149-ROUNDDOWN(S149,-2))/(ROUNDUP(S149,-2)-ROUNDDOWN(S149,-2))*(VLOOKUP(ROUNDUP(S149,-2),Enthalpy,14)-VLOOKUP(ROUNDDOWN(S149,-2),Enthalpy,14))))</f>
        <v>26330</v>
      </c>
      <c r="S152" s="154">
        <f t="shared" si="40"/>
        <v>4188988.026562389</v>
      </c>
      <c r="T152" s="153">
        <f>-2178+11.97*S149+0.000449*S149*S149</f>
        <v>26329.16</v>
      </c>
      <c r="U152" s="154">
        <f t="shared" ref="U152:U156" si="46">T152*M152</f>
        <v>4188854.3862303603</v>
      </c>
    </row>
    <row r="153" spans="1:21" ht="16.5" x14ac:dyDescent="0.3">
      <c r="A153" s="67" t="s">
        <v>44</v>
      </c>
      <c r="B153" s="88">
        <f>E26+B130</f>
        <v>298.09297466344771</v>
      </c>
      <c r="C153" s="66">
        <f>(IF(ROUNDDOWN(D149,-2)=ROUNDUP(D149,-2),VLOOKUP(D149,Enthalpy,15),VLOOKUP(ROUNDDOWN(D149,-2),Enthalpy,15)+(D149-ROUNDDOWN(D149,-2))/(ROUNDUP(D149,-2)-ROUNDDOWN(D149,-2))*(VLOOKUP(ROUNDUP(D149,-2),Enthalpy,15)-VLOOKUP(ROUNDDOWN(D149,-2),Enthalpy,15))))</f>
        <v>18350</v>
      </c>
      <c r="D153" s="73">
        <f t="shared" si="41"/>
        <v>5470006.0850742655</v>
      </c>
      <c r="E153" s="148">
        <f>+-181+7.62*D149+0.000826*D149*D149</f>
        <v>19463.66</v>
      </c>
      <c r="F153" s="155">
        <f t="shared" si="42"/>
        <v>5801980.3072379604</v>
      </c>
      <c r="G153" s="66">
        <f>(IF(ROUNDDOWN(H149,-2)=ROUNDUP(H149,-2),VLOOKUP(H149,Enthalpy,15),VLOOKUP(ROUNDDOWN(H149,-2),Enthalpy,15)+(H149-ROUNDDOWN(H149,-2))/(ROUNDUP(H149,-2)-ROUNDDOWN(H149,-2))*(VLOOKUP(ROUNDUP(H149,-2),Enthalpy,15)-VLOOKUP(ROUNDDOWN(H149,-2),Enthalpy,15))))</f>
        <v>20570</v>
      </c>
      <c r="H153" s="73">
        <f t="shared" si="39"/>
        <v>6131772.4888271196</v>
      </c>
      <c r="I153" s="148">
        <f>+-181+7.62*H149+0.000826*H149*H149</f>
        <v>20580.84</v>
      </c>
      <c r="J153" s="150">
        <f t="shared" si="43"/>
        <v>6135003.8166724714</v>
      </c>
      <c r="K153" s="68"/>
      <c r="L153" s="71" t="s">
        <v>297</v>
      </c>
      <c r="M153" s="91">
        <f>P26+M130</f>
        <v>298.09297466344771</v>
      </c>
      <c r="N153" s="70">
        <f>(IF(ROUNDDOWN(O149,-2)=ROUNDUP(O149,-2),VLOOKUP(O149,Enthalpy,15),VLOOKUP(ROUNDDOWN(O149,-2),Enthalpy,15)+(O149-ROUNDDOWN(O149,-2))/(ROUNDUP(O149,-2)-ROUNDDOWN(O149,-2))*(VLOOKUP(ROUNDUP(O149,-2),Enthalpy,15)-VLOOKUP(ROUNDDOWN(O149,-2),Enthalpy,15))))</f>
        <v>18350</v>
      </c>
      <c r="O153" s="74">
        <f t="shared" si="44"/>
        <v>5470006.0850742655</v>
      </c>
      <c r="P153" s="113">
        <f>+-181+7.62*O149+0.000826*O149*O149</f>
        <v>19463.66</v>
      </c>
      <c r="Q153" s="170">
        <f t="shared" si="45"/>
        <v>5801980.3072379604</v>
      </c>
      <c r="R153" s="71">
        <f>(IF(ROUNDDOWN(S149,-2)=ROUNDUP(S149,-2),VLOOKUP(S149,Enthalpy,15),VLOOKUP(ROUNDDOWN(S149,-2),Enthalpy,15)+(S149-ROUNDDOWN(S149,-2))/(ROUNDUP(S149,-2)-ROUNDDOWN(S149,-2))*(VLOOKUP(ROUNDUP(S149,-2),Enthalpy,15)-VLOOKUP(ROUNDDOWN(S149,-2),Enthalpy,15))))</f>
        <v>20570</v>
      </c>
      <c r="S153" s="154">
        <f t="shared" si="40"/>
        <v>6131772.4888271196</v>
      </c>
      <c r="T153" s="153">
        <f>+-181+7.62*S149+0.000826*S149*S149</f>
        <v>20580.84</v>
      </c>
      <c r="U153" s="154">
        <f t="shared" si="46"/>
        <v>6135003.8166724714</v>
      </c>
    </row>
    <row r="154" spans="1:21" ht="16.5" x14ac:dyDescent="0.3">
      <c r="A154" s="67" t="s">
        <v>51</v>
      </c>
      <c r="B154" s="88">
        <f>E27-(1/2)*B130</f>
        <v>27.025139906786563</v>
      </c>
      <c r="C154" s="66">
        <f>(IF(ROUNDDOWN(D149,-2)=ROUNDUP(D149,-2),VLOOKUP(D149,Enthalpy,17),VLOOKUP(ROUNDDOWN(D149,-2),Enthalpy,17)+(D149-ROUNDDOWN(D149,-2))/(ROUNDUP(D149,-2)-ROUNDDOWN(D149,-2))*(VLOOKUP(ROUNDUP(D149,-2),Enthalpy,17)-VLOOKUP(ROUNDDOWN(D149,-2),Enthalpy,17))))</f>
        <v>24220</v>
      </c>
      <c r="D154" s="73">
        <f t="shared" si="41"/>
        <v>654548.88854237052</v>
      </c>
      <c r="E154" s="148">
        <f>-1652+12.07*D149+0.000434*D149*D149</f>
        <v>25608.94</v>
      </c>
      <c r="F154" s="155">
        <f t="shared" si="42"/>
        <v>692085.18636450265</v>
      </c>
      <c r="G154" s="66">
        <f>(IF(ROUNDDOWN(H149,-2)=ROUNDUP(H149,-2),VLOOKUP(H149,Enthalpy,17),VLOOKUP(ROUNDDOWN(H149,-2),Enthalpy,17)+(H149-ROUNDDOWN(H149,-2))/(ROUNDUP(H149,-2)-ROUNDDOWN(H149,-2))*(VLOOKUP(ROUNDUP(H149,-2),Enthalpy,17)-VLOOKUP(ROUNDDOWN(H149,-2),Enthalpy,17))*0))</f>
        <v>27000</v>
      </c>
      <c r="H154" s="73">
        <f t="shared" si="39"/>
        <v>729678.77748323721</v>
      </c>
      <c r="I154" s="148">
        <f>-1652+12.07*H149+0.000434*H149*H149</f>
        <v>27002.560000000001</v>
      </c>
      <c r="J154" s="150">
        <f t="shared" si="43"/>
        <v>729747.96184139862</v>
      </c>
      <c r="K154" s="68"/>
      <c r="L154" s="71" t="s">
        <v>300</v>
      </c>
      <c r="M154" s="91">
        <f>P27-(1/2)*M130</f>
        <v>27.025139906786563</v>
      </c>
      <c r="N154" s="70">
        <f>(IF(ROUNDDOWN(O149,-2)=ROUNDUP(O149,-2),VLOOKUP(O149,Enthalpy,17),VLOOKUP(ROUNDDOWN(O149,-2),Enthalpy,17)+(O149-ROUNDDOWN(O149,-2))/(ROUNDUP(O149,-2)-ROUNDDOWN(O149,-2))*(VLOOKUP(ROUNDUP(O149,-2),Enthalpy,17)-VLOOKUP(ROUNDDOWN(O149,-2),Enthalpy,17))))</f>
        <v>24220</v>
      </c>
      <c r="O154" s="74">
        <f t="shared" si="44"/>
        <v>654548.88854237052</v>
      </c>
      <c r="P154" s="113">
        <f>-1652+12.07*O149+0.000434*O149*O149</f>
        <v>25608.94</v>
      </c>
      <c r="Q154" s="170">
        <f t="shared" si="45"/>
        <v>692085.18636450265</v>
      </c>
      <c r="R154" s="71">
        <f>(IF(ROUNDDOWN(S149,-2)=ROUNDUP(S149,-2),VLOOKUP(S149,Enthalpy,17),VLOOKUP(ROUNDDOWN(S149,-2),Enthalpy,17)+(S149-ROUNDDOWN(S149,-2))/(ROUNDUP(S149,-2)-ROUNDDOWN(S149,-2))*(VLOOKUP(ROUNDUP(S149,-2),Enthalpy,17)-VLOOKUP(ROUNDDOWN(S149,-2),Enthalpy,17))*0))</f>
        <v>27000</v>
      </c>
      <c r="S154" s="154">
        <f t="shared" si="40"/>
        <v>729678.77748323721</v>
      </c>
      <c r="T154" s="153">
        <f>-1652+12.07*S149+0.000434*S149*S149</f>
        <v>27002.560000000001</v>
      </c>
      <c r="U154" s="154">
        <f t="shared" si="46"/>
        <v>729747.96184139862</v>
      </c>
    </row>
    <row r="155" spans="1:21" ht="16.5" x14ac:dyDescent="0.3">
      <c r="A155" s="67" t="s">
        <v>52</v>
      </c>
      <c r="B155" s="88">
        <f>E28</f>
        <v>582.62585529985779</v>
      </c>
      <c r="C155" s="66">
        <f>(IF(ROUNDDOWN(D149,-2)=ROUNDUP(D149,-2),VLOOKUP(D149,Enthalpy,9),VLOOKUP(ROUNDDOWN(D149,-2),Enthalpy,9)+(D149-ROUNDDOWN(D149,-2))/(ROUNDUP(D149,-2)-ROUNDDOWN(D149,-2))*(VLOOKUP(ROUNDUP(D149,-2),Enthalpy,9)-VLOOKUP(ROUNDDOWN(D149,-2),Enthalpy,9))))</f>
        <v>14820</v>
      </c>
      <c r="D155" s="73">
        <f t="shared" si="41"/>
        <v>8634515.1755438931</v>
      </c>
      <c r="E155" s="148">
        <f>-616+7.24*D149+0.000242*D149*D149</f>
        <v>15655.22</v>
      </c>
      <c r="F155" s="155">
        <f t="shared" si="42"/>
        <v>9121135.9424074385</v>
      </c>
      <c r="G155" s="66">
        <f>(IF(ROUNDDOWN(H149,-2)=ROUNDUP(H149,-2),VLOOKUP(H149,Enthalpy,9),VLOOKUP(ROUNDDOWN(H149,-2),Enthalpy,9)+(H149-ROUNDDOWN(H149,-2))/(ROUNDUP(H149,-2)-ROUNDDOWN(H149,-2))*(VLOOKUP(ROUNDUP(H149,-2),Enthalpy,9)-VLOOKUP(ROUNDDOWN(H149,-2),Enthalpy,9))))</f>
        <v>16480</v>
      </c>
      <c r="H155" s="73">
        <f t="shared" si="39"/>
        <v>9601674.0953416564</v>
      </c>
      <c r="I155" s="148">
        <f>-616+7.24*H149+0.000242*H149*H149</f>
        <v>16483.28</v>
      </c>
      <c r="J155" s="150">
        <f t="shared" si="43"/>
        <v>9603585.10814704</v>
      </c>
      <c r="K155" s="68"/>
      <c r="L155" s="71" t="s">
        <v>299</v>
      </c>
      <c r="M155" s="91">
        <f>P28</f>
        <v>582.62585529985779</v>
      </c>
      <c r="N155" s="70">
        <f>(IF(ROUNDDOWN(O149,-2)=ROUNDUP(O149,-2),VLOOKUP(O149,Enthalpy,9),VLOOKUP(ROUNDDOWN(O149,-2),Enthalpy,9)+(O149-ROUNDDOWN(O149,-2))/(ROUNDUP(O149,-2)-ROUNDDOWN(O149,-2))*(VLOOKUP(ROUNDUP(O149,-2),Enthalpy,9)-VLOOKUP(ROUNDDOWN(O149,-2),Enthalpy,9))))</f>
        <v>14820</v>
      </c>
      <c r="O155" s="74">
        <f t="shared" si="44"/>
        <v>8634515.1755438931</v>
      </c>
      <c r="P155" s="113">
        <f>-616+7.24*O149+0.000242*O149*O149</f>
        <v>15655.22</v>
      </c>
      <c r="Q155" s="170">
        <f t="shared" si="45"/>
        <v>9121135.9424074385</v>
      </c>
      <c r="R155" s="71">
        <f>(IF(ROUNDDOWN(S149,-2)=ROUNDUP(S149,-2),VLOOKUP(S149,Enthalpy,9),VLOOKUP(ROUNDDOWN(S149,-2),Enthalpy,9)+(S149-ROUNDDOWN(S149,-2))/(ROUNDUP(S149,-2)-ROUNDDOWN(S149,-2))*(VLOOKUP(ROUNDUP(S149,-2),Enthalpy,9)-VLOOKUP(ROUNDDOWN(S149,-2),Enthalpy,9))))</f>
        <v>16480</v>
      </c>
      <c r="S155" s="154">
        <f t="shared" si="40"/>
        <v>9601674.0953416564</v>
      </c>
      <c r="T155" s="153">
        <f>-616+7.24*S149+0.000242*S149*S149</f>
        <v>16483.28</v>
      </c>
      <c r="U155" s="154">
        <f t="shared" si="46"/>
        <v>9603585.10814704</v>
      </c>
    </row>
    <row r="156" spans="1:21" ht="16.5" x14ac:dyDescent="0.3">
      <c r="A156" s="67" t="s">
        <v>54</v>
      </c>
      <c r="B156" s="94">
        <f>(3/4)*B130</f>
        <v>105</v>
      </c>
      <c r="C156" s="66">
        <f>(IF(ROUNDDOWN(D149,-2)=ROUNDUP(D149,-2),VLOOKUP(D149,Enthalpy,16),VLOOKUP(ROUNDDOWN(D149,-2),Enthalpy,16)+(D149-ROUNDDOWN(D149,-2))/(ROUNDUP(D149,-2)-ROUNDDOWN(D149,-2))*(VLOOKUP(ROUNDUP(D149,-2),Enthalpy,16)-VLOOKUP(ROUNDDOWN(D149,-2),Enthalpy,16))))</f>
        <v>17110</v>
      </c>
      <c r="D156" s="171">
        <f t="shared" si="41"/>
        <v>1796550</v>
      </c>
      <c r="E156" s="148">
        <f>-479+8.38*D149+0.000207*D149*D149</f>
        <v>18031.87</v>
      </c>
      <c r="F156" s="156">
        <f t="shared" si="42"/>
        <v>1893346.3499999999</v>
      </c>
      <c r="G156" s="66">
        <f>(IF(ROUNDDOWN(H149,-2)=ROUNDUP(H149,-2),VLOOKUP(H149,Enthalpy,16),VLOOKUP(ROUNDDOWN(H149,-2),Enthalpy,16)+(H149-ROUNDDOWN(H149,-2))/(ROUNDUP(H149,-2)-ROUNDDOWN(H149,-2))*(VLOOKUP(ROUNDUP(H149,-2),Enthalpy,16)-VLOOKUP(ROUNDDOWN(H149,-2),Enthalpy,16))))</f>
        <v>18960</v>
      </c>
      <c r="H156" s="171">
        <f t="shared" si="39"/>
        <v>1990800</v>
      </c>
      <c r="I156" s="148">
        <f>-479+8.38*H149+0.000207*H149*H149</f>
        <v>18958.88</v>
      </c>
      <c r="J156" s="158">
        <f t="shared" si="43"/>
        <v>1990682.4000000001</v>
      </c>
      <c r="K156" s="68"/>
      <c r="L156" s="71" t="s">
        <v>301</v>
      </c>
      <c r="M156" s="96">
        <f>(3/4)*M130</f>
        <v>105</v>
      </c>
      <c r="N156" s="70">
        <f>(IF(ROUNDDOWN(O149,-2)=ROUNDUP(O149,-2),VLOOKUP(O149,Enthalpy,16),VLOOKUP(ROUNDDOWN(O149,-2),Enthalpy,16)+(O149-ROUNDDOWN(O149,-2))/(ROUNDUP(O149,-2)-ROUNDDOWN(O149,-2))*(VLOOKUP(ROUNDUP(O149,-2),Enthalpy,16)-VLOOKUP(ROUNDDOWN(O149,-2),Enthalpy,16))))</f>
        <v>17110</v>
      </c>
      <c r="O156" s="173">
        <f t="shared" si="44"/>
        <v>1796550</v>
      </c>
      <c r="P156" s="113">
        <f>-479+8.38*O149+0.000207*O149*O149</f>
        <v>18031.87</v>
      </c>
      <c r="Q156" s="172">
        <f t="shared" si="45"/>
        <v>1893346.3499999999</v>
      </c>
      <c r="R156" s="71">
        <f>(IF(ROUNDDOWN(S149,-2)=ROUNDUP(S149,-2),VLOOKUP(S149,Enthalpy,16),VLOOKUP(ROUNDDOWN(S149,-2),Enthalpy,16)+(S149-ROUNDDOWN(S149,-2))/(ROUNDUP(S149,-2)-ROUNDDOWN(S149,-2))*(VLOOKUP(ROUNDUP(S149,-2),Enthalpy,16)-VLOOKUP(ROUNDDOWN(S149,-2),Enthalpy,16))))</f>
        <v>18960</v>
      </c>
      <c r="S156" s="161">
        <f t="shared" si="40"/>
        <v>1990800</v>
      </c>
      <c r="T156" s="153">
        <f>-479+8.38*S149+0.000207*S149*S149</f>
        <v>18958.88</v>
      </c>
      <c r="U156" s="161">
        <f t="shared" si="46"/>
        <v>1990682.4000000001</v>
      </c>
    </row>
    <row r="157" spans="1:21" x14ac:dyDescent="0.25">
      <c r="A157" s="67"/>
      <c r="B157" s="88">
        <f>SUM(B151:B156)</f>
        <v>1225.8898830510175</v>
      </c>
      <c r="C157" s="66"/>
      <c r="D157" s="73">
        <f>SUM(D151:D156)</f>
        <v>21397890.934722073</v>
      </c>
      <c r="E157" s="67"/>
      <c r="F157" s="155">
        <f>SUM(F151:F156)</f>
        <v>22636282.237060592</v>
      </c>
      <c r="G157" s="66"/>
      <c r="H157" s="73">
        <f>SUM(H151:H156)</f>
        <v>23870935.745578784</v>
      </c>
      <c r="I157" s="67"/>
      <c r="J157" s="150">
        <f>SUM(J151:J156)</f>
        <v>23875307.963211276</v>
      </c>
      <c r="K157" s="68"/>
      <c r="L157" s="71"/>
      <c r="M157" s="91">
        <f>SUM(M151:M156)</f>
        <v>1225.8898830510175</v>
      </c>
      <c r="N157" s="70"/>
      <c r="O157" s="74">
        <f>SUM(O151:O156)</f>
        <v>21397890.934722073</v>
      </c>
      <c r="P157" s="70"/>
      <c r="Q157" s="170">
        <f>SUM(Q151:Q156)</f>
        <v>22636282.237060592</v>
      </c>
      <c r="R157" s="71"/>
      <c r="S157" s="154">
        <f>SUM(S151:S156)</f>
        <v>23870935.745578784</v>
      </c>
      <c r="T157" s="71"/>
      <c r="U157" s="154">
        <f>SUM(U151:U156)</f>
        <v>23875307.963211276</v>
      </c>
    </row>
    <row r="158" spans="1:21" x14ac:dyDescent="0.25">
      <c r="A158" s="67"/>
      <c r="B158" s="66"/>
      <c r="C158" s="66"/>
      <c r="D158" s="66"/>
      <c r="E158" s="66"/>
      <c r="F158" s="66"/>
      <c r="G158" s="67"/>
      <c r="H158" s="67"/>
      <c r="I158" s="67"/>
      <c r="J158" s="67"/>
      <c r="K158" s="68"/>
      <c r="L158" s="71"/>
      <c r="M158" s="70"/>
      <c r="N158" s="70"/>
      <c r="O158" s="70"/>
      <c r="P158" s="70"/>
      <c r="Q158" s="70"/>
      <c r="R158" s="71"/>
      <c r="S158" s="71"/>
      <c r="T158" s="71"/>
      <c r="U158" s="71"/>
    </row>
    <row r="159" spans="1:21" x14ac:dyDescent="0.25">
      <c r="A159" s="162" t="s">
        <v>196</v>
      </c>
      <c r="B159" s="66"/>
      <c r="C159" s="66"/>
      <c r="D159" s="67"/>
      <c r="E159" s="67"/>
      <c r="F159" s="67" t="s">
        <v>249</v>
      </c>
      <c r="G159" s="67"/>
      <c r="H159" s="67"/>
      <c r="I159" s="67"/>
      <c r="J159" s="67"/>
      <c r="K159" s="178"/>
      <c r="L159" s="163" t="s">
        <v>196</v>
      </c>
      <c r="M159" s="70"/>
      <c r="N159" s="70"/>
      <c r="O159" s="71"/>
      <c r="P159" s="71"/>
      <c r="Q159" s="71" t="s">
        <v>249</v>
      </c>
      <c r="R159" s="71"/>
      <c r="S159" s="71"/>
      <c r="T159" s="71"/>
      <c r="U159" s="71"/>
    </row>
    <row r="160" spans="1:21" x14ac:dyDescent="0.25">
      <c r="A160" s="75" t="s">
        <v>73</v>
      </c>
      <c r="B160" s="66" t="s">
        <v>1</v>
      </c>
      <c r="C160" s="73">
        <f>D138</f>
        <v>312761.72966708918</v>
      </c>
      <c r="D160" s="67" t="s">
        <v>76</v>
      </c>
      <c r="E160" s="67"/>
      <c r="F160" s="66" t="s">
        <v>1</v>
      </c>
      <c r="G160" s="120">
        <f>F138</f>
        <v>311550.63875431311</v>
      </c>
      <c r="H160" s="67" t="s">
        <v>76</v>
      </c>
      <c r="I160" s="67"/>
      <c r="J160" s="67"/>
      <c r="K160" s="178"/>
      <c r="L160" s="77" t="s">
        <v>73</v>
      </c>
      <c r="M160" s="70" t="s">
        <v>1</v>
      </c>
      <c r="N160" s="74">
        <f>O138</f>
        <v>312761.72966708918</v>
      </c>
      <c r="O160" s="71" t="s">
        <v>76</v>
      </c>
      <c r="P160" s="71"/>
      <c r="Q160" s="71" t="s">
        <v>1</v>
      </c>
      <c r="R160" s="152">
        <f>Q138</f>
        <v>311550.63875431311</v>
      </c>
      <c r="S160" s="71" t="s">
        <v>76</v>
      </c>
      <c r="T160" s="71"/>
      <c r="U160" s="71"/>
    </row>
    <row r="161" spans="1:21" x14ac:dyDescent="0.25">
      <c r="A161" s="75" t="s">
        <v>77</v>
      </c>
      <c r="B161" s="66" t="s">
        <v>1</v>
      </c>
      <c r="C161" s="73">
        <f>D146</f>
        <v>796730.04959126131</v>
      </c>
      <c r="D161" s="67" t="s">
        <v>76</v>
      </c>
      <c r="E161" s="67"/>
      <c r="F161" s="66" t="s">
        <v>1</v>
      </c>
      <c r="G161" s="120">
        <f>F146</f>
        <v>795493.45817025402</v>
      </c>
      <c r="H161" s="67" t="s">
        <v>76</v>
      </c>
      <c r="I161" s="67"/>
      <c r="J161" s="67"/>
      <c r="K161" s="178"/>
      <c r="L161" s="77" t="s">
        <v>77</v>
      </c>
      <c r="M161" s="70" t="s">
        <v>1</v>
      </c>
      <c r="N161" s="74">
        <f>O146</f>
        <v>796730.04959126131</v>
      </c>
      <c r="O161" s="71" t="s">
        <v>76</v>
      </c>
      <c r="P161" s="71"/>
      <c r="Q161" s="71" t="s">
        <v>1</v>
      </c>
      <c r="R161" s="152">
        <f>Q146</f>
        <v>795493.45817025402</v>
      </c>
      <c r="S161" s="71" t="s">
        <v>76</v>
      </c>
      <c r="T161" s="71"/>
      <c r="U161" s="71"/>
    </row>
    <row r="162" spans="1:21" ht="16.5" x14ac:dyDescent="0.3">
      <c r="A162" s="75" t="s">
        <v>81</v>
      </c>
      <c r="B162" s="66" t="s">
        <v>1</v>
      </c>
      <c r="C162" s="73">
        <f>((1/3)*B24 * -D6)</f>
        <v>21607498.657241367</v>
      </c>
      <c r="D162" s="67" t="s">
        <v>76</v>
      </c>
      <c r="E162" s="67"/>
      <c r="F162" s="66" t="s">
        <v>1</v>
      </c>
      <c r="G162" s="120">
        <f>ROUND((1/3)*B24 * -D6,-1)</f>
        <v>21607500</v>
      </c>
      <c r="H162" s="67" t="s">
        <v>76</v>
      </c>
      <c r="I162" s="67"/>
      <c r="J162" s="67"/>
      <c r="K162" s="178"/>
      <c r="L162" s="77" t="s">
        <v>307</v>
      </c>
      <c r="M162" s="70" t="s">
        <v>1</v>
      </c>
      <c r="N162" s="74">
        <f>((1/3)*M24 * -O6)</f>
        <v>21607498.657241367</v>
      </c>
      <c r="O162" s="71" t="s">
        <v>76</v>
      </c>
      <c r="P162" s="71"/>
      <c r="Q162" s="71" t="s">
        <v>1</v>
      </c>
      <c r="R162" s="152">
        <f>ROUND((1/3)*M24 * -O6,-1)</f>
        <v>21607500</v>
      </c>
      <c r="S162" s="71" t="s">
        <v>76</v>
      </c>
      <c r="T162" s="71"/>
      <c r="U162" s="71"/>
    </row>
    <row r="163" spans="1:21" x14ac:dyDescent="0.25">
      <c r="A163" s="75" t="s">
        <v>82</v>
      </c>
      <c r="B163" s="66" t="s">
        <v>1</v>
      </c>
      <c r="C163" s="73">
        <f>(B33*-D8)</f>
        <v>1623431.0399402971</v>
      </c>
      <c r="D163" s="67" t="s">
        <v>76</v>
      </c>
      <c r="E163" s="67"/>
      <c r="F163" s="66" t="s">
        <v>1</v>
      </c>
      <c r="G163" s="73">
        <f>(B33*-D8)</f>
        <v>1623431.0399402971</v>
      </c>
      <c r="H163" s="67" t="s">
        <v>76</v>
      </c>
      <c r="I163" s="67"/>
      <c r="J163" s="67"/>
      <c r="K163" s="178"/>
      <c r="L163" s="77" t="s">
        <v>82</v>
      </c>
      <c r="M163" s="70" t="s">
        <v>1</v>
      </c>
      <c r="N163" s="74">
        <f>(M33*-O8)</f>
        <v>1623431.0399402971</v>
      </c>
      <c r="O163" s="71" t="s">
        <v>76</v>
      </c>
      <c r="P163" s="71"/>
      <c r="Q163" s="71" t="s">
        <v>1</v>
      </c>
      <c r="R163" s="154">
        <f>(M33*-O8)</f>
        <v>1623431.0399402971</v>
      </c>
      <c r="S163" s="71" t="s">
        <v>76</v>
      </c>
      <c r="T163" s="71"/>
      <c r="U163" s="71"/>
    </row>
    <row r="164" spans="1:21" x14ac:dyDescent="0.25">
      <c r="A164" s="75" t="s">
        <v>83</v>
      </c>
      <c r="B164" s="66" t="s">
        <v>1</v>
      </c>
      <c r="C164" s="171">
        <f>B130/2 * -D20</f>
        <v>-1416100</v>
      </c>
      <c r="D164" s="80" t="s">
        <v>76</v>
      </c>
      <c r="E164" s="67"/>
      <c r="F164" s="66" t="s">
        <v>1</v>
      </c>
      <c r="G164" s="125">
        <f>B130/2 * -D20</f>
        <v>-1416100</v>
      </c>
      <c r="H164" s="80" t="s">
        <v>76</v>
      </c>
      <c r="I164" s="67"/>
      <c r="J164" s="67"/>
      <c r="K164" s="178"/>
      <c r="L164" s="77" t="s">
        <v>83</v>
      </c>
      <c r="M164" s="70" t="s">
        <v>1</v>
      </c>
      <c r="N164" s="173">
        <f>M130/2 * -O20</f>
        <v>-1416100</v>
      </c>
      <c r="O164" s="82" t="s">
        <v>76</v>
      </c>
      <c r="P164" s="71"/>
      <c r="Q164" s="71" t="s">
        <v>1</v>
      </c>
      <c r="R164" s="160">
        <f>M130/2 * -O20</f>
        <v>-1416100</v>
      </c>
      <c r="S164" s="82" t="s">
        <v>76</v>
      </c>
      <c r="T164" s="71"/>
      <c r="U164" s="71"/>
    </row>
    <row r="165" spans="1:21" x14ac:dyDescent="0.25">
      <c r="A165" s="67"/>
      <c r="B165" s="66"/>
      <c r="C165" s="73">
        <f>SUM(C160:C164)</f>
        <v>22924321.476440016</v>
      </c>
      <c r="D165" s="67" t="s">
        <v>76</v>
      </c>
      <c r="E165" s="67"/>
      <c r="F165" s="66"/>
      <c r="G165" s="120">
        <f>SUM(G160:G164)</f>
        <v>22921875.136864863</v>
      </c>
      <c r="H165" s="67" t="s">
        <v>76</v>
      </c>
      <c r="I165" s="67"/>
      <c r="J165" s="67"/>
      <c r="K165" s="178"/>
      <c r="L165" s="71"/>
      <c r="M165" s="70"/>
      <c r="N165" s="74">
        <f>SUM(N160:N164)</f>
        <v>22924321.476440016</v>
      </c>
      <c r="O165" s="71" t="s">
        <v>76</v>
      </c>
      <c r="P165" s="71"/>
      <c r="Q165" s="71"/>
      <c r="R165" s="152">
        <f>SUM(R160:R164)</f>
        <v>22921875.136864863</v>
      </c>
      <c r="S165" s="71" t="s">
        <v>76</v>
      </c>
      <c r="T165" s="71"/>
      <c r="U165" s="71"/>
    </row>
    <row r="166" spans="1:21" x14ac:dyDescent="0.25">
      <c r="A166" s="67"/>
      <c r="B166" s="66"/>
      <c r="C166" s="66"/>
      <c r="D166" s="67"/>
      <c r="E166" s="67"/>
      <c r="F166" s="67"/>
      <c r="G166" s="67"/>
      <c r="H166" s="67"/>
      <c r="I166" s="67"/>
      <c r="J166" s="67"/>
      <c r="K166" s="178"/>
      <c r="L166" s="71"/>
      <c r="M166" s="70"/>
      <c r="N166" s="70"/>
      <c r="O166" s="71"/>
      <c r="P166" s="71"/>
      <c r="Q166" s="71"/>
      <c r="R166" s="71"/>
      <c r="S166" s="71"/>
      <c r="T166" s="71"/>
      <c r="U166" s="71"/>
    </row>
    <row r="167" spans="1:21" x14ac:dyDescent="0.25">
      <c r="A167" s="67"/>
      <c r="B167" s="101" t="str">
        <f>CONCATENATE("By interpolation, flame temperature is approx: ",ROUND(((C165-D157)/(H157-D157)) * ('Step 1'!H149-'Step 1'!D149) +'Step 1'!D149,0),"°F")</f>
        <v>By interpolation, flame temperature is approx: 2162°F</v>
      </c>
      <c r="C167" s="66"/>
      <c r="D167" s="67"/>
      <c r="E167" s="148"/>
      <c r="F167" s="101" t="str">
        <f>CONCATENATE("By interpolation, flame temperature is approx: ",ROUND(((G165-F157)/(J157-F157)) * ('Step 1'!D149-'Step 1'!H149) +'Step 1'!H149,0),"°F")</f>
        <v>By interpolation, flame temperature is approx: 2177°F</v>
      </c>
      <c r="G167" s="67"/>
      <c r="H167" s="67"/>
      <c r="I167" s="67"/>
      <c r="J167" s="67"/>
      <c r="K167" s="178"/>
      <c r="L167" s="71"/>
      <c r="M167" s="284" t="str">
        <f>CONCATENATE("By interpolation, flame temperature is approx: ",ROUND(((N165-O157)/(S157-O157)) * ('Step 1'!S149-'Step 1'!O149) +'Step 1'!O149,0),"°F")</f>
        <v>By interpolation, flame temperature is approx: 2162°F</v>
      </c>
      <c r="N167" s="70"/>
      <c r="O167" s="71"/>
      <c r="P167" s="153"/>
      <c r="Q167" s="289" t="str">
        <f>CONCATENATE("By interpolation, flame temperature is approx: ",ROUND(((R165-Q157)/(U157-Q157)) * ('Step 1'!O149-'Step 1'!S149) +'Step 1'!S149,0),"°F")</f>
        <v>By interpolation, flame temperature is approx: 2177°F</v>
      </c>
      <c r="R167" s="71"/>
      <c r="S167" s="71"/>
      <c r="T167" s="71"/>
      <c r="U167" s="71"/>
    </row>
    <row r="168" spans="1:21" x14ac:dyDescent="0.25">
      <c r="A168" s="103"/>
      <c r="B168" s="179"/>
      <c r="C168" s="179"/>
      <c r="D168" s="179"/>
      <c r="E168" s="67"/>
      <c r="F168" s="67"/>
      <c r="G168" s="67"/>
      <c r="H168" s="67"/>
      <c r="I168" s="67"/>
      <c r="J168" s="67"/>
      <c r="K168" s="178"/>
      <c r="L168" s="180"/>
      <c r="M168" s="181"/>
      <c r="N168" s="181"/>
      <c r="O168" s="181"/>
      <c r="P168" s="71"/>
      <c r="Q168" s="71"/>
      <c r="R168" s="71"/>
      <c r="S168" s="71"/>
      <c r="T168" s="71"/>
      <c r="U168" s="71"/>
    </row>
    <row r="169" spans="1:21" ht="30" customHeight="1" x14ac:dyDescent="0.25">
      <c r="A169" s="182" t="s">
        <v>86</v>
      </c>
      <c r="B169" s="182"/>
      <c r="C169" s="182"/>
      <c r="D169" s="182"/>
      <c r="E169" s="182"/>
      <c r="F169" s="182"/>
      <c r="G169" s="182"/>
      <c r="H169" s="183"/>
      <c r="I169" s="183"/>
      <c r="J169" s="183"/>
      <c r="K169" s="178"/>
      <c r="L169" s="184" t="s">
        <v>86</v>
      </c>
      <c r="M169" s="184"/>
      <c r="N169" s="184"/>
      <c r="O169" s="184"/>
      <c r="P169" s="184"/>
      <c r="Q169" s="184"/>
      <c r="R169" s="184"/>
      <c r="S169" s="185"/>
      <c r="T169" s="185"/>
      <c r="U169" s="185"/>
    </row>
    <row r="170" spans="1:21" x14ac:dyDescent="0.25">
      <c r="A170" s="67"/>
      <c r="B170" s="66"/>
      <c r="C170" s="101"/>
      <c r="D170" s="67"/>
      <c r="E170" s="67"/>
      <c r="F170" s="67"/>
      <c r="G170" s="186"/>
      <c r="H170" s="186"/>
      <c r="I170" s="186"/>
      <c r="J170" s="186"/>
      <c r="K170" s="178"/>
      <c r="L170" s="71"/>
      <c r="M170" s="70"/>
      <c r="N170" s="102"/>
      <c r="O170" s="71"/>
      <c r="P170" s="71"/>
      <c r="Q170" s="71"/>
      <c r="R170" s="187"/>
      <c r="S170" s="187"/>
      <c r="T170" s="187"/>
      <c r="U170" s="187"/>
    </row>
    <row r="171" spans="1:21" ht="30" customHeight="1" x14ac:dyDescent="0.25">
      <c r="A171" s="67"/>
      <c r="B171" s="84" t="s">
        <v>69</v>
      </c>
      <c r="C171" s="84" t="s">
        <v>71</v>
      </c>
      <c r="D171" s="84" t="s">
        <v>87</v>
      </c>
      <c r="E171" s="67"/>
      <c r="F171" s="67"/>
      <c r="G171" s="67"/>
      <c r="H171" s="67"/>
      <c r="I171" s="67"/>
      <c r="J171" s="67"/>
      <c r="K171" s="178"/>
      <c r="L171" s="71"/>
      <c r="M171" s="86" t="s">
        <v>69</v>
      </c>
      <c r="N171" s="86" t="s">
        <v>71</v>
      </c>
      <c r="O171" s="86" t="s">
        <v>87</v>
      </c>
      <c r="P171" s="71"/>
      <c r="Q171" s="71"/>
      <c r="R171" s="71"/>
      <c r="S171" s="71"/>
      <c r="T171" s="71"/>
      <c r="U171" s="71"/>
    </row>
    <row r="172" spans="1:21" x14ac:dyDescent="0.25">
      <c r="A172" s="67"/>
      <c r="B172" s="66">
        <f>B45</f>
        <v>130</v>
      </c>
      <c r="C172" s="66">
        <f>D45</f>
        <v>1880</v>
      </c>
      <c r="D172" s="130">
        <f>(((C85-D78)/(H78-D78)) * ('Step 1'!H70-'Step 1'!D70) +'Step 1'!D70)</f>
        <v>2165.271054639788</v>
      </c>
      <c r="E172" s="67"/>
      <c r="F172" s="67"/>
      <c r="G172" s="67"/>
      <c r="H172" s="67"/>
      <c r="I172" s="67"/>
      <c r="J172" s="67"/>
      <c r="K172" s="178"/>
      <c r="L172" s="71"/>
      <c r="M172" s="70">
        <f>M45</f>
        <v>130</v>
      </c>
      <c r="N172" s="70">
        <f>O45</f>
        <v>1880</v>
      </c>
      <c r="O172" s="113">
        <f>(((N85-O78)/(S78-O78)) * ('Step 1'!S70-'Step 1'!O70) +'Step 1'!O70)</f>
        <v>2165.2714605740211</v>
      </c>
      <c r="P172" s="71"/>
      <c r="Q172" s="71"/>
      <c r="R172" s="71"/>
      <c r="S172" s="71"/>
      <c r="T172" s="71"/>
      <c r="U172" s="71"/>
    </row>
    <row r="173" spans="1:21" x14ac:dyDescent="0.25">
      <c r="A173" s="67"/>
      <c r="B173" s="66">
        <f>B46</f>
        <v>135</v>
      </c>
      <c r="C173" s="66">
        <f>D46</f>
        <v>2090</v>
      </c>
      <c r="D173" s="130">
        <f>(((C125-D117)/(H117-D117)) * ('Step 1'!H109-'Step 1'!D109) +'Step 1'!D109)</f>
        <v>2163.4980257226453</v>
      </c>
      <c r="E173" s="67"/>
      <c r="F173" s="67"/>
      <c r="G173" s="67"/>
      <c r="H173" s="67"/>
      <c r="I173" s="67"/>
      <c r="J173" s="67"/>
      <c r="K173" s="178"/>
      <c r="L173" s="71"/>
      <c r="M173" s="70">
        <f>M46</f>
        <v>135</v>
      </c>
      <c r="N173" s="70">
        <f>O46</f>
        <v>2090</v>
      </c>
      <c r="O173" s="113">
        <f>(((N125-O117)/(S117-O117)) * ('Step 1'!S109-'Step 1'!O109) +'Step 1'!O109)</f>
        <v>2163.4980257226453</v>
      </c>
      <c r="P173" s="71"/>
      <c r="Q173" s="71"/>
      <c r="R173" s="71"/>
      <c r="S173" s="71"/>
      <c r="T173" s="71"/>
      <c r="U173" s="71"/>
    </row>
    <row r="174" spans="1:21" x14ac:dyDescent="0.25">
      <c r="A174" s="67"/>
      <c r="B174" s="66">
        <f>B47</f>
        <v>140</v>
      </c>
      <c r="C174" s="66">
        <f>D47</f>
        <v>2390</v>
      </c>
      <c r="D174" s="130">
        <f>(((C165-D157)/(H157-D157)) * ('Step 1'!H149-'Step 1'!D149) +'Step 1'!D149)</f>
        <v>2161.7227207132232</v>
      </c>
      <c r="E174" s="67"/>
      <c r="F174" s="67"/>
      <c r="G174" s="186"/>
      <c r="H174" s="67"/>
      <c r="I174" s="186"/>
      <c r="J174" s="186"/>
      <c r="K174" s="178"/>
      <c r="L174" s="71"/>
      <c r="M174" s="70">
        <f>M47</f>
        <v>140</v>
      </c>
      <c r="N174" s="70">
        <f>O47</f>
        <v>2390</v>
      </c>
      <c r="O174" s="113">
        <f>(((N165-O157)/(S157-O157)) * ('Step 1'!S149-'Step 1'!O149) +'Step 1'!O149)</f>
        <v>2161.7227207132232</v>
      </c>
      <c r="P174" s="71"/>
      <c r="Q174" s="71"/>
      <c r="R174" s="187"/>
      <c r="S174" s="70"/>
      <c r="T174" s="187"/>
      <c r="U174" s="187"/>
    </row>
    <row r="175" spans="1:21" x14ac:dyDescent="0.25">
      <c r="A175" s="67"/>
      <c r="B175" s="66"/>
      <c r="C175" s="66"/>
      <c r="D175" s="67"/>
      <c r="E175" s="67"/>
      <c r="F175" s="67"/>
      <c r="G175" s="67"/>
      <c r="H175" s="67"/>
      <c r="I175" s="67"/>
      <c r="J175" s="67"/>
      <c r="K175" s="178"/>
      <c r="L175" s="71"/>
      <c r="M175" s="70"/>
      <c r="N175" s="70"/>
      <c r="O175" s="71"/>
      <c r="P175" s="71"/>
      <c r="Q175" s="71"/>
      <c r="R175" s="71"/>
      <c r="S175" s="71"/>
      <c r="T175" s="71"/>
      <c r="U175" s="71"/>
    </row>
    <row r="176" spans="1:21" x14ac:dyDescent="0.25">
      <c r="A176" s="188"/>
      <c r="B176" s="66"/>
      <c r="C176" s="66"/>
      <c r="D176" s="67"/>
      <c r="E176" s="67"/>
      <c r="F176" s="67"/>
      <c r="G176" s="67"/>
      <c r="H176" s="67"/>
      <c r="I176" s="67"/>
      <c r="J176" s="67"/>
      <c r="K176" s="178"/>
      <c r="L176" s="189"/>
      <c r="M176" s="70"/>
      <c r="N176" s="70"/>
      <c r="O176" s="71"/>
      <c r="P176" s="71"/>
      <c r="Q176" s="71"/>
      <c r="R176" s="71"/>
      <c r="S176" s="71"/>
      <c r="T176" s="71"/>
      <c r="U176" s="71"/>
    </row>
    <row r="177" spans="1:21" x14ac:dyDescent="0.25">
      <c r="A177" s="67"/>
      <c r="B177" s="66"/>
      <c r="C177" s="66"/>
      <c r="D177" s="67"/>
      <c r="E177" s="67"/>
      <c r="F177" s="67"/>
      <c r="G177" s="67"/>
      <c r="H177" s="67"/>
      <c r="I177" s="67"/>
      <c r="J177" s="67"/>
      <c r="K177" s="178"/>
      <c r="L177" s="71"/>
      <c r="M177" s="70"/>
      <c r="N177" s="70"/>
      <c r="O177" s="71"/>
      <c r="P177" s="71"/>
      <c r="Q177" s="71"/>
      <c r="R177" s="71"/>
      <c r="S177" s="71"/>
      <c r="T177" s="71"/>
      <c r="U177" s="71"/>
    </row>
    <row r="178" spans="1:21" x14ac:dyDescent="0.25">
      <c r="A178" s="67"/>
      <c r="B178" s="66"/>
      <c r="C178" s="101"/>
      <c r="D178" s="67"/>
      <c r="E178" s="66"/>
      <c r="F178" s="186"/>
      <c r="G178" s="190"/>
      <c r="H178" s="190"/>
      <c r="I178" s="190"/>
      <c r="J178" s="190"/>
      <c r="K178" s="178"/>
      <c r="L178" s="71"/>
      <c r="M178" s="70"/>
      <c r="N178" s="102"/>
      <c r="O178" s="71"/>
      <c r="P178" s="70"/>
      <c r="Q178" s="187"/>
      <c r="R178" s="191"/>
      <c r="S178" s="191"/>
      <c r="T178" s="191"/>
      <c r="U178" s="191"/>
    </row>
    <row r="179" spans="1:21" x14ac:dyDescent="0.25">
      <c r="A179" s="67"/>
      <c r="B179" s="66"/>
      <c r="C179" s="101"/>
      <c r="D179" s="67"/>
      <c r="E179" s="66"/>
      <c r="F179" s="186"/>
      <c r="G179" s="190"/>
      <c r="H179" s="190"/>
      <c r="I179" s="190"/>
      <c r="J179" s="190"/>
      <c r="K179" s="178"/>
      <c r="L179" s="71"/>
      <c r="M179" s="70"/>
      <c r="N179" s="102"/>
      <c r="O179" s="71"/>
      <c r="P179" s="70"/>
      <c r="Q179" s="187"/>
      <c r="R179" s="191"/>
      <c r="S179" s="191"/>
      <c r="T179" s="191"/>
      <c r="U179" s="191"/>
    </row>
    <row r="180" spans="1:21" x14ac:dyDescent="0.25">
      <c r="A180" s="67"/>
      <c r="B180" s="66"/>
      <c r="C180" s="101"/>
      <c r="D180" s="67"/>
      <c r="E180" s="66"/>
      <c r="F180" s="186"/>
      <c r="G180" s="190"/>
      <c r="H180" s="190"/>
      <c r="I180" s="190"/>
      <c r="J180" s="190"/>
      <c r="K180" s="178"/>
      <c r="L180" s="71"/>
      <c r="M180" s="70"/>
      <c r="N180" s="102"/>
      <c r="O180" s="71"/>
      <c r="P180" s="70"/>
      <c r="Q180" s="187"/>
      <c r="R180" s="191"/>
      <c r="S180" s="191"/>
      <c r="T180" s="191"/>
      <c r="U180" s="191"/>
    </row>
    <row r="181" spans="1:21" x14ac:dyDescent="0.25">
      <c r="A181" s="67"/>
      <c r="B181" s="66"/>
      <c r="C181" s="101"/>
      <c r="D181" s="67"/>
      <c r="E181" s="66"/>
      <c r="F181" s="186"/>
      <c r="G181" s="190"/>
      <c r="H181" s="190"/>
      <c r="I181" s="190"/>
      <c r="J181" s="190"/>
      <c r="K181" s="178"/>
      <c r="L181" s="71"/>
      <c r="M181" s="70"/>
      <c r="N181" s="102"/>
      <c r="O181" s="71"/>
      <c r="P181" s="70"/>
      <c r="Q181" s="187"/>
      <c r="R181" s="191"/>
      <c r="S181" s="191"/>
      <c r="T181" s="191"/>
      <c r="U181" s="191"/>
    </row>
    <row r="182" spans="1:21" x14ac:dyDescent="0.25">
      <c r="A182" s="67"/>
      <c r="B182" s="66"/>
      <c r="C182" s="101"/>
      <c r="D182" s="67"/>
      <c r="E182" s="66"/>
      <c r="F182" s="186"/>
      <c r="G182" s="190"/>
      <c r="H182" s="190"/>
      <c r="I182" s="190"/>
      <c r="J182" s="190"/>
      <c r="K182" s="178"/>
      <c r="L182" s="71"/>
      <c r="M182" s="70"/>
      <c r="N182" s="102"/>
      <c r="O182" s="71"/>
      <c r="P182" s="70"/>
      <c r="Q182" s="187"/>
      <c r="R182" s="191"/>
      <c r="S182" s="191"/>
      <c r="T182" s="191"/>
      <c r="U182" s="191"/>
    </row>
    <row r="183" spans="1:21" x14ac:dyDescent="0.25">
      <c r="A183" s="67"/>
      <c r="B183" s="66"/>
      <c r="C183" s="101"/>
      <c r="D183" s="67"/>
      <c r="E183" s="66"/>
      <c r="F183" s="186"/>
      <c r="G183" s="190"/>
      <c r="H183" s="190"/>
      <c r="I183" s="190"/>
      <c r="J183" s="190"/>
      <c r="K183" s="178"/>
      <c r="L183" s="71"/>
      <c r="M183" s="70"/>
      <c r="N183" s="102"/>
      <c r="O183" s="71"/>
      <c r="P183" s="70"/>
      <c r="Q183" s="187"/>
      <c r="R183" s="191"/>
      <c r="S183" s="191"/>
      <c r="T183" s="191"/>
      <c r="U183" s="191"/>
    </row>
    <row r="184" spans="1:21" x14ac:dyDescent="0.25">
      <c r="A184" s="67"/>
      <c r="B184" s="66"/>
      <c r="C184" s="101"/>
      <c r="D184" s="67"/>
      <c r="E184" s="66"/>
      <c r="F184" s="186"/>
      <c r="G184" s="190"/>
      <c r="H184" s="190"/>
      <c r="I184" s="190"/>
      <c r="J184" s="190"/>
      <c r="K184" s="178"/>
      <c r="L184" s="71"/>
      <c r="M184" s="70"/>
      <c r="N184" s="102"/>
      <c r="O184" s="71"/>
      <c r="P184" s="70"/>
      <c r="Q184" s="187"/>
      <c r="R184" s="191"/>
      <c r="S184" s="191"/>
      <c r="T184" s="191"/>
      <c r="U184" s="191"/>
    </row>
    <row r="185" spans="1:21" x14ac:dyDescent="0.25">
      <c r="A185" s="67"/>
      <c r="B185" s="66"/>
      <c r="C185" s="101"/>
      <c r="D185" s="67"/>
      <c r="E185" s="66"/>
      <c r="F185" s="186"/>
      <c r="G185" s="190"/>
      <c r="H185" s="190"/>
      <c r="I185" s="190"/>
      <c r="J185" s="190"/>
      <c r="K185" s="178"/>
      <c r="L185" s="71"/>
      <c r="M185" s="70"/>
      <c r="N185" s="102"/>
      <c r="O185" s="71"/>
      <c r="P185" s="70"/>
      <c r="Q185" s="187"/>
      <c r="R185" s="191"/>
      <c r="S185" s="191"/>
      <c r="T185" s="191"/>
      <c r="U185" s="191"/>
    </row>
    <row r="186" spans="1:21" x14ac:dyDescent="0.25">
      <c r="A186" s="67"/>
      <c r="B186" s="66"/>
      <c r="C186" s="101"/>
      <c r="D186" s="67"/>
      <c r="E186" s="66"/>
      <c r="F186" s="186"/>
      <c r="G186" s="186"/>
      <c r="H186" s="186"/>
      <c r="I186" s="186"/>
      <c r="J186" s="186"/>
      <c r="K186" s="178"/>
      <c r="L186" s="71"/>
      <c r="M186" s="70"/>
      <c r="N186" s="102"/>
      <c r="O186" s="71"/>
      <c r="P186" s="70"/>
      <c r="Q186" s="187"/>
      <c r="R186" s="187"/>
      <c r="S186" s="187"/>
      <c r="T186" s="187"/>
      <c r="U186" s="187"/>
    </row>
    <row r="187" spans="1:21" x14ac:dyDescent="0.25">
      <c r="A187" s="67"/>
      <c r="B187" s="66"/>
      <c r="C187" s="192"/>
      <c r="D187" s="193"/>
      <c r="E187" s="66"/>
      <c r="F187" s="190"/>
      <c r="G187" s="190"/>
      <c r="H187" s="190"/>
      <c r="I187" s="190"/>
      <c r="J187" s="190"/>
      <c r="K187" s="178"/>
      <c r="L187" s="71"/>
      <c r="M187" s="70"/>
      <c r="N187" s="194"/>
      <c r="O187" s="195"/>
      <c r="P187" s="70"/>
      <c r="Q187" s="191"/>
      <c r="R187" s="191"/>
      <c r="S187" s="191"/>
      <c r="T187" s="191"/>
      <c r="U187" s="191"/>
    </row>
    <row r="188" spans="1:21" x14ac:dyDescent="0.25">
      <c r="A188" s="67"/>
      <c r="B188" s="66"/>
      <c r="C188" s="196"/>
      <c r="D188" s="193"/>
      <c r="E188" s="67"/>
      <c r="F188" s="67"/>
      <c r="G188" s="67"/>
      <c r="H188" s="67"/>
      <c r="I188" s="67"/>
      <c r="J188" s="67"/>
      <c r="K188" s="178"/>
      <c r="L188" s="71"/>
      <c r="M188" s="70"/>
      <c r="N188" s="197"/>
      <c r="O188" s="195"/>
      <c r="P188" s="71"/>
      <c r="Q188" s="71"/>
      <c r="R188" s="71"/>
      <c r="S188" s="71"/>
      <c r="T188" s="71"/>
      <c r="U188" s="71"/>
    </row>
    <row r="189" spans="1:21" x14ac:dyDescent="0.25">
      <c r="A189" s="67"/>
      <c r="B189" s="66"/>
      <c r="C189" s="66"/>
      <c r="D189" s="67"/>
      <c r="E189" s="67"/>
      <c r="F189" s="67"/>
      <c r="G189" s="67"/>
      <c r="H189" s="67"/>
      <c r="I189" s="67"/>
      <c r="J189" s="67"/>
      <c r="K189" s="178"/>
      <c r="L189" s="71"/>
      <c r="M189" s="70"/>
      <c r="N189" s="70"/>
      <c r="O189" s="71"/>
      <c r="P189" s="71"/>
      <c r="Q189" s="71"/>
      <c r="R189" s="71"/>
      <c r="S189" s="71"/>
      <c r="T189" s="71"/>
      <c r="U189" s="71"/>
    </row>
    <row r="190" spans="1:21" x14ac:dyDescent="0.25">
      <c r="A190" s="67"/>
      <c r="B190" s="66"/>
      <c r="C190" s="66"/>
      <c r="D190" s="67"/>
      <c r="E190" s="67"/>
      <c r="F190" s="67"/>
      <c r="G190" s="67"/>
      <c r="H190" s="67"/>
      <c r="I190" s="67"/>
      <c r="J190" s="67"/>
      <c r="K190" s="178"/>
      <c r="L190" s="71"/>
      <c r="M190" s="70"/>
      <c r="N190" s="70"/>
      <c r="O190" s="71"/>
      <c r="P190" s="71"/>
      <c r="Q190" s="71"/>
      <c r="R190" s="71"/>
      <c r="S190" s="71"/>
      <c r="T190" s="71"/>
      <c r="U190" s="71"/>
    </row>
    <row r="191" spans="1:21" x14ac:dyDescent="0.25">
      <c r="A191" s="67"/>
      <c r="B191" s="66"/>
      <c r="C191" s="66"/>
      <c r="D191" s="67"/>
      <c r="E191" s="67"/>
      <c r="F191" s="67"/>
      <c r="G191" s="67"/>
      <c r="H191" s="67"/>
      <c r="I191" s="67"/>
      <c r="J191" s="67"/>
      <c r="K191" s="178"/>
      <c r="L191" s="71"/>
      <c r="M191" s="70"/>
      <c r="N191" s="70"/>
      <c r="O191" s="71"/>
      <c r="P191" s="71"/>
      <c r="Q191" s="71"/>
      <c r="R191" s="71"/>
      <c r="S191" s="71"/>
      <c r="T191" s="71"/>
      <c r="U191" s="71"/>
    </row>
    <row r="192" spans="1:21" x14ac:dyDescent="0.25">
      <c r="A192" s="67"/>
      <c r="B192" s="66"/>
      <c r="C192" s="66"/>
      <c r="D192" s="67"/>
      <c r="E192" s="67"/>
      <c r="F192" s="67"/>
      <c r="G192" s="67"/>
      <c r="H192" s="67"/>
      <c r="I192" s="67"/>
      <c r="J192" s="67"/>
      <c r="K192" s="68"/>
      <c r="L192" s="71"/>
      <c r="M192" s="70"/>
      <c r="N192" s="70"/>
      <c r="O192" s="71"/>
      <c r="P192" s="71"/>
      <c r="Q192" s="71"/>
      <c r="R192" s="71"/>
      <c r="S192" s="71"/>
      <c r="T192" s="71"/>
      <c r="U192" s="71"/>
    </row>
    <row r="193" spans="1:21" x14ac:dyDescent="0.25">
      <c r="A193" s="67"/>
      <c r="B193" s="66"/>
      <c r="C193" s="66"/>
      <c r="D193" s="67"/>
      <c r="E193" s="67"/>
      <c r="F193" s="67"/>
      <c r="G193" s="67"/>
      <c r="H193" s="67"/>
      <c r="I193" s="67"/>
      <c r="J193" s="67"/>
      <c r="K193" s="68"/>
      <c r="L193" s="71"/>
      <c r="M193" s="70"/>
      <c r="N193" s="70"/>
      <c r="O193" s="71"/>
      <c r="P193" s="71"/>
      <c r="Q193" s="71"/>
      <c r="R193" s="71"/>
      <c r="S193" s="71"/>
      <c r="T193" s="71"/>
      <c r="U193" s="71"/>
    </row>
    <row r="194" spans="1:21" x14ac:dyDescent="0.25">
      <c r="A194" s="67"/>
      <c r="B194" s="66"/>
      <c r="C194" s="66"/>
      <c r="D194" s="67"/>
      <c r="E194" s="67"/>
      <c r="F194" s="67"/>
      <c r="G194" s="67"/>
      <c r="H194" s="67"/>
      <c r="I194" s="67"/>
      <c r="J194" s="67"/>
      <c r="K194" s="68"/>
      <c r="L194" s="71"/>
      <c r="M194" s="70"/>
      <c r="N194" s="70"/>
      <c r="O194" s="71"/>
      <c r="P194" s="71"/>
      <c r="Q194" s="71"/>
      <c r="R194" s="71"/>
      <c r="S194" s="71"/>
      <c r="T194" s="71"/>
      <c r="U194" s="71"/>
    </row>
    <row r="195" spans="1:21" x14ac:dyDescent="0.25">
      <c r="A195" s="67"/>
      <c r="B195" s="66"/>
      <c r="C195" s="66"/>
      <c r="D195" s="67"/>
      <c r="E195" s="67"/>
      <c r="F195" s="67"/>
      <c r="G195" s="67"/>
      <c r="H195" s="67"/>
      <c r="I195" s="67"/>
      <c r="J195" s="67"/>
      <c r="K195" s="68"/>
      <c r="L195" s="71"/>
      <c r="M195" s="70"/>
      <c r="N195" s="70"/>
      <c r="O195" s="71"/>
      <c r="P195" s="71"/>
      <c r="Q195" s="71"/>
      <c r="R195" s="71"/>
      <c r="S195" s="71"/>
      <c r="T195" s="71"/>
      <c r="U195" s="71"/>
    </row>
    <row r="196" spans="1:21" x14ac:dyDescent="0.25">
      <c r="A196" s="67"/>
      <c r="B196" s="66"/>
      <c r="C196" s="66"/>
      <c r="D196" s="67"/>
      <c r="E196" s="67"/>
      <c r="F196" s="67"/>
      <c r="G196" s="67"/>
      <c r="H196" s="67"/>
      <c r="I196" s="67"/>
      <c r="J196" s="67"/>
      <c r="K196" s="68"/>
      <c r="L196" s="71"/>
      <c r="M196" s="70"/>
      <c r="N196" s="70"/>
      <c r="O196" s="71"/>
      <c r="P196" s="71"/>
      <c r="Q196" s="71"/>
      <c r="R196" s="71"/>
      <c r="S196" s="71"/>
      <c r="T196" s="71"/>
      <c r="U196" s="71"/>
    </row>
    <row r="197" spans="1:21" ht="30" customHeight="1" thickBot="1" x14ac:dyDescent="0.3">
      <c r="A197" s="67"/>
      <c r="B197" s="84" t="s">
        <v>88</v>
      </c>
      <c r="C197" s="198" t="s">
        <v>89</v>
      </c>
      <c r="D197" s="199"/>
      <c r="E197" s="67"/>
      <c r="F197" s="67"/>
      <c r="G197" s="164" t="s">
        <v>305</v>
      </c>
      <c r="H197" s="200"/>
      <c r="I197" s="200"/>
      <c r="J197" s="67"/>
      <c r="K197" s="68"/>
      <c r="L197" s="71"/>
      <c r="M197" s="86" t="s">
        <v>88</v>
      </c>
      <c r="N197" s="201" t="s">
        <v>89</v>
      </c>
      <c r="O197" s="202"/>
      <c r="P197" s="71"/>
      <c r="Q197" s="71"/>
      <c r="R197" s="108"/>
      <c r="S197" s="109"/>
      <c r="T197" s="109"/>
      <c r="U197" s="71"/>
    </row>
    <row r="198" spans="1:21" ht="15.75" thickBot="1" x14ac:dyDescent="0.3">
      <c r="A198" s="75" t="s">
        <v>90</v>
      </c>
      <c r="B198" s="88">
        <f>(( (D172 - SLOPE(D172:D174,B172:B174) * B172) - (C172 - SLOPE(C172:C174,B172:B174) * B172) ) / ( SLOPE(C172:C174,B172:B174) - SLOPE(D172:D174,B172:B174) ))</f>
        <v>135.55490176472037</v>
      </c>
      <c r="C198" s="203">
        <f>SLOPE(C172:C174,B172:B174) * B198 + (C172 - SLOPE(C172:C174,B172:B174) * B172)</f>
        <v>2163.2999900007389</v>
      </c>
      <c r="D198" s="67"/>
      <c r="E198" s="67"/>
      <c r="F198" s="67"/>
      <c r="G198" s="67"/>
      <c r="H198" s="67"/>
      <c r="I198" s="67"/>
      <c r="J198" s="67"/>
      <c r="K198" s="68"/>
      <c r="L198" s="77" t="s">
        <v>90</v>
      </c>
      <c r="M198" s="91">
        <f>(( (O172 - SLOPE(O172:O174,M172:M174) * M172) - (N172 - SLOPE(N172:N174,M172:M174) * M172) ) / ( SLOPE(N172:N174,M172:M174) - SLOPE(O172:O174,M172:M174) ))</f>
        <v>135.55490527834507</v>
      </c>
      <c r="N198" s="204">
        <f>SLOPE(N172:N174,M172:M174) * M198 + (N172 - SLOPE(N172:N174,M172:M174) * M172)</f>
        <v>2163.3001691955988</v>
      </c>
      <c r="O198" s="71"/>
      <c r="P198" s="71"/>
      <c r="Q198" s="71"/>
      <c r="R198" s="71"/>
      <c r="S198" s="71"/>
      <c r="T198" s="71"/>
      <c r="U198" s="71"/>
    </row>
    <row r="199" spans="1:21" x14ac:dyDescent="0.25">
      <c r="A199" s="67" t="s">
        <v>249</v>
      </c>
      <c r="B199" s="66"/>
      <c r="C199" s="66"/>
      <c r="D199" s="67"/>
      <c r="E199" s="67"/>
      <c r="F199" s="67"/>
      <c r="G199" s="67"/>
      <c r="H199" s="67"/>
      <c r="I199" s="67"/>
      <c r="J199" s="67"/>
      <c r="K199" s="68"/>
      <c r="L199" s="71" t="s">
        <v>249</v>
      </c>
      <c r="M199" s="70"/>
      <c r="N199" s="70"/>
      <c r="O199" s="71"/>
      <c r="P199" s="71"/>
      <c r="Q199" s="71"/>
      <c r="R199" s="71"/>
      <c r="S199" s="71"/>
      <c r="T199" s="71"/>
      <c r="U199" s="71"/>
    </row>
    <row r="200" spans="1:21" ht="32.25" customHeight="1" x14ac:dyDescent="0.25">
      <c r="A200" s="182" t="s">
        <v>86</v>
      </c>
      <c r="B200" s="182"/>
      <c r="C200" s="182"/>
      <c r="D200" s="182"/>
      <c r="E200" s="182"/>
      <c r="F200" s="182"/>
      <c r="G200" s="182"/>
      <c r="H200" s="183"/>
      <c r="I200" s="183"/>
      <c r="J200" s="67"/>
      <c r="K200" s="68"/>
      <c r="L200" s="180" t="s">
        <v>86</v>
      </c>
      <c r="M200" s="202"/>
      <c r="N200" s="202"/>
      <c r="O200" s="202"/>
      <c r="P200" s="202"/>
      <c r="Q200" s="202"/>
      <c r="R200" s="202"/>
      <c r="S200" s="71"/>
      <c r="T200" s="71"/>
      <c r="U200" s="71"/>
    </row>
    <row r="201" spans="1:21" x14ac:dyDescent="0.25">
      <c r="A201" s="67"/>
      <c r="B201" s="66"/>
      <c r="C201" s="101"/>
      <c r="D201" s="67"/>
      <c r="E201" s="67"/>
      <c r="F201" s="67"/>
      <c r="G201" s="186"/>
      <c r="H201" s="186"/>
      <c r="I201" s="186"/>
      <c r="J201" s="67"/>
      <c r="K201" s="68"/>
      <c r="L201" s="71"/>
      <c r="M201" s="70"/>
      <c r="N201" s="70"/>
      <c r="O201" s="71"/>
      <c r="P201" s="71"/>
      <c r="Q201" s="71"/>
      <c r="R201" s="205"/>
      <c r="S201" s="205"/>
      <c r="T201" s="205"/>
      <c r="U201" s="71"/>
    </row>
    <row r="202" spans="1:21" ht="45" x14ac:dyDescent="0.25">
      <c r="A202" s="67"/>
      <c r="B202" s="84" t="s">
        <v>69</v>
      </c>
      <c r="C202" s="84" t="s">
        <v>71</v>
      </c>
      <c r="D202" s="84" t="s">
        <v>87</v>
      </c>
      <c r="E202" s="67"/>
      <c r="F202" s="67"/>
      <c r="G202" s="67"/>
      <c r="H202" s="130"/>
      <c r="I202" s="67"/>
      <c r="J202" s="67"/>
      <c r="K202" s="68"/>
      <c r="L202" s="71"/>
      <c r="M202" s="86" t="s">
        <v>69</v>
      </c>
      <c r="N202" s="86" t="s">
        <v>71</v>
      </c>
      <c r="O202" s="86" t="s">
        <v>87</v>
      </c>
      <c r="P202" s="71"/>
      <c r="Q202" s="71"/>
      <c r="R202" s="71"/>
      <c r="S202" s="153"/>
      <c r="T202" s="71"/>
      <c r="U202" s="71"/>
    </row>
    <row r="203" spans="1:21" x14ac:dyDescent="0.25">
      <c r="A203" s="67"/>
      <c r="B203" s="66">
        <f>B45</f>
        <v>130</v>
      </c>
      <c r="C203" s="130">
        <f>E45</f>
        <v>1902.5185459736012</v>
      </c>
      <c r="D203" s="130">
        <f>(((G85-H78)/(L78-H78)) * ('Step 1'!L70-'Step 1'!H70) +'Step 1'!H70)</f>
        <v>2120.5841781406575</v>
      </c>
      <c r="E203" s="67"/>
      <c r="F203" s="67"/>
      <c r="G203" s="67"/>
      <c r="H203" s="130"/>
      <c r="I203" s="67"/>
      <c r="J203" s="67"/>
      <c r="K203" s="68"/>
      <c r="L203" s="71"/>
      <c r="M203" s="70">
        <f>M45</f>
        <v>130</v>
      </c>
      <c r="N203" s="113">
        <f>P45</f>
        <v>1902.5185459736012</v>
      </c>
      <c r="O203" s="113">
        <f>(((R85-S78)/(W78-S78)) * ('Step 1'!W70-'Step 1'!S70) +'Step 1'!S70)</f>
        <v>2120.5841781406575</v>
      </c>
      <c r="P203" s="71"/>
      <c r="Q203" s="71"/>
      <c r="R203" s="71"/>
      <c r="S203" s="153"/>
      <c r="T203" s="71"/>
      <c r="U203" s="71"/>
    </row>
    <row r="204" spans="1:21" x14ac:dyDescent="0.25">
      <c r="A204" s="67"/>
      <c r="B204" s="66">
        <f t="shared" ref="B204:B205" si="47">B46</f>
        <v>135</v>
      </c>
      <c r="C204" s="130">
        <f t="shared" ref="C204:C205" si="48">E46</f>
        <v>2118.148139237825</v>
      </c>
      <c r="D204" s="130">
        <f>(G125-F117)/(J117-F117) * ('Step 1'!D109-'Step 1'!H109) +'Step 1'!H109</f>
        <v>2173.3986999024032</v>
      </c>
      <c r="E204" s="67"/>
      <c r="F204" s="67"/>
      <c r="G204" s="67"/>
      <c r="H204" s="130"/>
      <c r="I204" s="67"/>
      <c r="J204" s="67"/>
      <c r="K204" s="68"/>
      <c r="L204" s="71"/>
      <c r="M204" s="70">
        <f t="shared" ref="M204:M205" si="49">M46</f>
        <v>135</v>
      </c>
      <c r="N204" s="113">
        <f t="shared" ref="N204:N205" si="50">P46</f>
        <v>2118.148139237825</v>
      </c>
      <c r="O204" s="113">
        <f>(R125-Q117)/(U117-Q117) * ('Step 1'!O109-'Step 1'!S109) +'Step 1'!S109</f>
        <v>2173.3986999024032</v>
      </c>
      <c r="P204" s="71"/>
      <c r="Q204" s="71"/>
      <c r="R204" s="71"/>
      <c r="S204" s="153"/>
      <c r="T204" s="71"/>
      <c r="U204" s="71"/>
    </row>
    <row r="205" spans="1:21" x14ac:dyDescent="0.25">
      <c r="A205" s="67"/>
      <c r="B205" s="66">
        <f t="shared" si="47"/>
        <v>140</v>
      </c>
      <c r="C205" s="130">
        <f t="shared" si="48"/>
        <v>2403.025899065673</v>
      </c>
      <c r="D205" s="130">
        <f>((G165-F157)/(J157-F157)) * ('Step 1'!D149-'Step 1'!H149) +'Step 1'!H149</f>
        <v>2176.950204198622</v>
      </c>
      <c r="E205" s="67"/>
      <c r="F205" s="67"/>
      <c r="G205" s="186"/>
      <c r="H205" s="130"/>
      <c r="I205" s="186"/>
      <c r="J205" s="67"/>
      <c r="K205" s="68"/>
      <c r="L205" s="71"/>
      <c r="M205" s="70">
        <f t="shared" si="49"/>
        <v>140</v>
      </c>
      <c r="N205" s="113">
        <f t="shared" si="50"/>
        <v>2403.025899065673</v>
      </c>
      <c r="O205" s="113">
        <f>((R165-Q157)/(U157-Q157)) * ('Step 1'!O149-'Step 1'!S149) +'Step 1'!S149</f>
        <v>2176.950204198622</v>
      </c>
      <c r="P205" s="71"/>
      <c r="Q205" s="71"/>
      <c r="R205" s="205"/>
      <c r="S205" s="153"/>
      <c r="T205" s="205"/>
      <c r="U205" s="71"/>
    </row>
    <row r="206" spans="1:21" x14ac:dyDescent="0.25">
      <c r="A206" s="67" t="s">
        <v>315</v>
      </c>
      <c r="B206" s="66"/>
      <c r="C206" s="130"/>
      <c r="D206" s="130"/>
      <c r="E206" s="67"/>
      <c r="F206" s="67"/>
      <c r="G206" s="186"/>
      <c r="H206" s="130"/>
      <c r="I206" s="186"/>
      <c r="J206" s="67"/>
      <c r="K206" s="68"/>
      <c r="L206" s="71"/>
      <c r="M206" s="70"/>
      <c r="N206" s="113"/>
      <c r="O206" s="113"/>
      <c r="P206" s="71"/>
      <c r="Q206" s="71"/>
      <c r="R206" s="205"/>
      <c r="S206" s="153"/>
      <c r="T206" s="205"/>
      <c r="U206" s="71"/>
    </row>
    <row r="207" spans="1:21" x14ac:dyDescent="0.25">
      <c r="A207" s="67"/>
      <c r="B207" s="66"/>
      <c r="C207" s="66"/>
      <c r="D207" s="67"/>
      <c r="E207" s="67"/>
      <c r="F207" s="67"/>
      <c r="G207" s="67"/>
      <c r="H207" s="67"/>
      <c r="I207" s="67"/>
      <c r="J207" s="67"/>
      <c r="K207" s="68"/>
      <c r="L207" s="71" t="s">
        <v>315</v>
      </c>
      <c r="M207" s="70"/>
      <c r="N207" s="70"/>
      <c r="O207" s="71"/>
      <c r="P207" s="71"/>
      <c r="Q207" s="71"/>
      <c r="R207" s="71"/>
      <c r="S207" s="71"/>
      <c r="T207" s="71"/>
      <c r="U207" s="71"/>
    </row>
    <row r="208" spans="1:21" x14ac:dyDescent="0.25">
      <c r="A208" s="188"/>
      <c r="B208" s="66"/>
      <c r="C208" s="66"/>
      <c r="D208" s="67"/>
      <c r="E208" s="67"/>
      <c r="F208" s="67"/>
      <c r="G208" s="67"/>
      <c r="H208" s="67"/>
      <c r="I208" s="67"/>
      <c r="J208" s="67"/>
      <c r="K208" s="68"/>
      <c r="L208" s="71"/>
      <c r="M208" s="70"/>
      <c r="N208" s="70"/>
      <c r="O208" s="71"/>
      <c r="P208" s="71"/>
      <c r="Q208" s="71"/>
      <c r="R208" s="71"/>
      <c r="S208" s="71"/>
      <c r="T208" s="71"/>
      <c r="U208" s="71"/>
    </row>
    <row r="209" spans="1:21" x14ac:dyDescent="0.25">
      <c r="A209" s="67"/>
      <c r="B209" s="66"/>
      <c r="C209" s="66"/>
      <c r="D209" s="67"/>
      <c r="E209" s="67"/>
      <c r="F209" s="67"/>
      <c r="G209" s="67"/>
      <c r="H209" s="67"/>
      <c r="I209" s="67"/>
      <c r="J209" s="67"/>
      <c r="K209" s="68"/>
      <c r="L209" s="71"/>
      <c r="M209" s="70"/>
      <c r="N209" s="70"/>
      <c r="O209" s="71"/>
      <c r="P209" s="71"/>
      <c r="Q209" s="71"/>
      <c r="R209" s="71"/>
      <c r="S209" s="71"/>
      <c r="T209" s="71"/>
      <c r="U209" s="71"/>
    </row>
    <row r="210" spans="1:21" x14ac:dyDescent="0.25">
      <c r="A210" s="67"/>
      <c r="B210" s="66"/>
      <c r="C210" s="101"/>
      <c r="D210" s="67"/>
      <c r="E210" s="66"/>
      <c r="F210" s="186"/>
      <c r="G210" s="190"/>
      <c r="H210" s="190"/>
      <c r="I210" s="190"/>
      <c r="J210" s="67"/>
      <c r="K210" s="68"/>
      <c r="L210" s="71"/>
      <c r="M210" s="70"/>
      <c r="N210" s="70"/>
      <c r="O210" s="71"/>
      <c r="P210" s="71"/>
      <c r="Q210" s="205"/>
      <c r="R210" s="205"/>
      <c r="S210" s="205"/>
      <c r="T210" s="205"/>
      <c r="U210" s="71"/>
    </row>
    <row r="211" spans="1:21" x14ac:dyDescent="0.25">
      <c r="A211" s="67"/>
      <c r="B211" s="66"/>
      <c r="C211" s="101"/>
      <c r="D211" s="67"/>
      <c r="E211" s="66"/>
      <c r="F211" s="186"/>
      <c r="G211" s="190"/>
      <c r="H211" s="190"/>
      <c r="I211" s="190"/>
      <c r="J211" s="67"/>
      <c r="K211" s="68"/>
      <c r="L211" s="71"/>
      <c r="M211" s="70"/>
      <c r="N211" s="70"/>
      <c r="O211" s="71"/>
      <c r="P211" s="71"/>
      <c r="Q211" s="205"/>
      <c r="R211" s="205"/>
      <c r="S211" s="205"/>
      <c r="T211" s="205"/>
      <c r="U211" s="71"/>
    </row>
    <row r="212" spans="1:21" x14ac:dyDescent="0.25">
      <c r="A212" s="67"/>
      <c r="B212" s="66"/>
      <c r="C212" s="101"/>
      <c r="D212" s="67"/>
      <c r="E212" s="66"/>
      <c r="F212" s="186"/>
      <c r="G212" s="190"/>
      <c r="H212" s="190"/>
      <c r="I212" s="190"/>
      <c r="J212" s="67"/>
      <c r="K212" s="68"/>
      <c r="L212" s="71"/>
      <c r="M212" s="70"/>
      <c r="N212" s="70"/>
      <c r="O212" s="71"/>
      <c r="P212" s="71"/>
      <c r="Q212" s="205"/>
      <c r="R212" s="205"/>
      <c r="S212" s="205"/>
      <c r="T212" s="205"/>
      <c r="U212" s="71"/>
    </row>
    <row r="213" spans="1:21" x14ac:dyDescent="0.25">
      <c r="A213" s="67"/>
      <c r="B213" s="66"/>
      <c r="C213" s="101"/>
      <c r="D213" s="67"/>
      <c r="E213" s="66"/>
      <c r="F213" s="186"/>
      <c r="G213" s="190"/>
      <c r="H213" s="190"/>
      <c r="I213" s="190"/>
      <c r="J213" s="67"/>
      <c r="K213" s="68"/>
      <c r="L213" s="71"/>
      <c r="M213" s="70"/>
      <c r="N213" s="70"/>
      <c r="O213" s="71"/>
      <c r="P213" s="71"/>
      <c r="Q213" s="205"/>
      <c r="R213" s="205"/>
      <c r="S213" s="205"/>
      <c r="T213" s="205"/>
      <c r="U213" s="71"/>
    </row>
    <row r="214" spans="1:21" x14ac:dyDescent="0.25">
      <c r="A214" s="67"/>
      <c r="B214" s="66"/>
      <c r="C214" s="101"/>
      <c r="D214" s="67"/>
      <c r="E214" s="66"/>
      <c r="F214" s="186"/>
      <c r="G214" s="190"/>
      <c r="H214" s="190"/>
      <c r="I214" s="190"/>
      <c r="J214" s="67"/>
      <c r="K214" s="68"/>
      <c r="L214" s="71"/>
      <c r="M214" s="70"/>
      <c r="N214" s="70"/>
      <c r="O214" s="71"/>
      <c r="P214" s="71"/>
      <c r="Q214" s="205"/>
      <c r="R214" s="205"/>
      <c r="S214" s="205"/>
      <c r="T214" s="205"/>
      <c r="U214" s="71"/>
    </row>
    <row r="215" spans="1:21" x14ac:dyDescent="0.25">
      <c r="A215" s="67"/>
      <c r="B215" s="66"/>
      <c r="C215" s="101"/>
      <c r="D215" s="67"/>
      <c r="E215" s="66"/>
      <c r="F215" s="186"/>
      <c r="G215" s="190"/>
      <c r="H215" s="190"/>
      <c r="I215" s="190"/>
      <c r="J215" s="67"/>
      <c r="K215" s="68"/>
      <c r="L215" s="71"/>
      <c r="M215" s="70"/>
      <c r="N215" s="70"/>
      <c r="O215" s="71"/>
      <c r="P215" s="71"/>
      <c r="Q215" s="205"/>
      <c r="R215" s="205"/>
      <c r="S215" s="205"/>
      <c r="T215" s="205"/>
      <c r="U215" s="71"/>
    </row>
    <row r="216" spans="1:21" x14ac:dyDescent="0.25">
      <c r="A216" s="67"/>
      <c r="B216" s="66"/>
      <c r="C216" s="101"/>
      <c r="D216" s="67"/>
      <c r="E216" s="66"/>
      <c r="F216" s="186"/>
      <c r="G216" s="190"/>
      <c r="H216" s="190"/>
      <c r="I216" s="190"/>
      <c r="J216" s="67"/>
      <c r="K216" s="68"/>
      <c r="L216" s="71"/>
      <c r="M216" s="70"/>
      <c r="N216" s="70"/>
      <c r="O216" s="71"/>
      <c r="P216" s="71"/>
      <c r="Q216" s="205"/>
      <c r="R216" s="205"/>
      <c r="S216" s="205"/>
      <c r="T216" s="205"/>
      <c r="U216" s="71"/>
    </row>
    <row r="217" spans="1:21" x14ac:dyDescent="0.25">
      <c r="A217" s="67"/>
      <c r="B217" s="66"/>
      <c r="C217" s="101"/>
      <c r="D217" s="67"/>
      <c r="E217" s="66"/>
      <c r="F217" s="186"/>
      <c r="G217" s="190"/>
      <c r="H217" s="190"/>
      <c r="I217" s="190"/>
      <c r="J217" s="67"/>
      <c r="K217" s="68"/>
      <c r="L217" s="71"/>
      <c r="M217" s="70"/>
      <c r="N217" s="70"/>
      <c r="O217" s="71"/>
      <c r="P217" s="71"/>
      <c r="Q217" s="205"/>
      <c r="R217" s="205"/>
      <c r="S217" s="205"/>
      <c r="T217" s="205"/>
      <c r="U217" s="71"/>
    </row>
    <row r="218" spans="1:21" x14ac:dyDescent="0.25">
      <c r="A218" s="67"/>
      <c r="B218" s="66"/>
      <c r="C218" s="101"/>
      <c r="D218" s="67"/>
      <c r="E218" s="66"/>
      <c r="F218" s="186"/>
      <c r="G218" s="186"/>
      <c r="H218" s="186"/>
      <c r="I218" s="186"/>
      <c r="J218" s="67"/>
      <c r="K218" s="68"/>
      <c r="L218" s="71"/>
      <c r="M218" s="70"/>
      <c r="N218" s="70"/>
      <c r="O218" s="71"/>
      <c r="P218" s="71"/>
      <c r="Q218" s="205"/>
      <c r="R218" s="205"/>
      <c r="S218" s="205"/>
      <c r="T218" s="205"/>
      <c r="U218" s="71"/>
    </row>
    <row r="219" spans="1:21" x14ac:dyDescent="0.25">
      <c r="A219" s="67"/>
      <c r="B219" s="66"/>
      <c r="C219" s="192"/>
      <c r="D219" s="193"/>
      <c r="E219" s="66"/>
      <c r="F219" s="190"/>
      <c r="G219" s="190"/>
      <c r="H219" s="190"/>
      <c r="I219" s="190"/>
      <c r="J219" s="67"/>
      <c r="K219" s="68"/>
      <c r="L219" s="71"/>
      <c r="M219" s="70"/>
      <c r="N219" s="206"/>
      <c r="O219" s="71"/>
      <c r="P219" s="71"/>
      <c r="Q219" s="205"/>
      <c r="R219" s="205"/>
      <c r="S219" s="205"/>
      <c r="T219" s="205"/>
      <c r="U219" s="71"/>
    </row>
    <row r="220" spans="1:21" x14ac:dyDescent="0.25">
      <c r="A220" s="67"/>
      <c r="B220" s="66"/>
      <c r="C220" s="196"/>
      <c r="D220" s="193"/>
      <c r="E220" s="67"/>
      <c r="F220" s="67"/>
      <c r="G220" s="67"/>
      <c r="H220" s="67"/>
      <c r="I220" s="67"/>
      <c r="J220" s="67"/>
      <c r="K220" s="68"/>
      <c r="L220" s="71"/>
      <c r="M220" s="70"/>
      <c r="N220" s="70"/>
      <c r="O220" s="71"/>
      <c r="P220" s="71"/>
      <c r="Q220" s="71"/>
      <c r="R220" s="71"/>
      <c r="S220" s="71"/>
      <c r="T220" s="71"/>
      <c r="U220" s="71"/>
    </row>
    <row r="221" spans="1:21" x14ac:dyDescent="0.25">
      <c r="A221" s="67"/>
      <c r="B221" s="66"/>
      <c r="C221" s="66"/>
      <c r="D221" s="67"/>
      <c r="E221" s="67"/>
      <c r="F221" s="67"/>
      <c r="G221" s="67"/>
      <c r="H221" s="67"/>
      <c r="I221" s="67"/>
      <c r="J221" s="67"/>
      <c r="K221" s="68"/>
      <c r="L221" s="71"/>
      <c r="M221" s="70"/>
      <c r="N221" s="70"/>
      <c r="O221" s="71"/>
      <c r="P221" s="71"/>
      <c r="Q221" s="71"/>
      <c r="R221" s="71"/>
      <c r="S221" s="71"/>
      <c r="T221" s="71"/>
      <c r="U221" s="71"/>
    </row>
    <row r="222" spans="1:21" x14ac:dyDescent="0.25">
      <c r="A222" s="67"/>
      <c r="B222" s="66"/>
      <c r="C222" s="66"/>
      <c r="D222" s="67"/>
      <c r="E222" s="67"/>
      <c r="F222" s="67"/>
      <c r="G222" s="67"/>
      <c r="H222" s="67"/>
      <c r="I222" s="67"/>
      <c r="J222" s="67"/>
      <c r="K222" s="68"/>
      <c r="L222" s="71"/>
      <c r="M222" s="70"/>
      <c r="N222" s="70"/>
      <c r="O222" s="71"/>
      <c r="P222" s="71"/>
      <c r="Q222" s="71"/>
      <c r="R222" s="71"/>
      <c r="S222" s="71"/>
      <c r="T222" s="71"/>
      <c r="U222" s="71"/>
    </row>
    <row r="223" spans="1:21" x14ac:dyDescent="0.25">
      <c r="A223" s="67"/>
      <c r="B223" s="66"/>
      <c r="C223" s="66"/>
      <c r="D223" s="67"/>
      <c r="E223" s="67"/>
      <c r="F223" s="67"/>
      <c r="G223" s="67"/>
      <c r="H223" s="67"/>
      <c r="I223" s="67"/>
      <c r="J223" s="67"/>
      <c r="K223" s="68"/>
      <c r="L223" s="71"/>
      <c r="M223" s="70"/>
      <c r="N223" s="70"/>
      <c r="O223" s="71"/>
      <c r="P223" s="71"/>
      <c r="Q223" s="71"/>
      <c r="R223" s="71"/>
      <c r="S223" s="71"/>
      <c r="T223" s="71"/>
      <c r="U223" s="71"/>
    </row>
    <row r="224" spans="1:21" x14ac:dyDescent="0.25">
      <c r="A224" s="67"/>
      <c r="B224" s="66"/>
      <c r="C224" s="66"/>
      <c r="D224" s="67"/>
      <c r="E224" s="67"/>
      <c r="F224" s="67"/>
      <c r="G224" s="67"/>
      <c r="H224" s="67"/>
      <c r="I224" s="67"/>
      <c r="J224" s="67"/>
      <c r="K224" s="68"/>
      <c r="L224" s="71"/>
      <c r="M224" s="70"/>
      <c r="N224" s="70"/>
      <c r="O224" s="71"/>
      <c r="P224" s="71"/>
      <c r="Q224" s="71"/>
      <c r="R224" s="71"/>
      <c r="S224" s="71"/>
      <c r="T224" s="71"/>
      <c r="U224" s="71"/>
    </row>
    <row r="225" spans="1:21" x14ac:dyDescent="0.25">
      <c r="A225" s="67"/>
      <c r="B225" s="66"/>
      <c r="C225" s="66"/>
      <c r="D225" s="67"/>
      <c r="E225" s="67"/>
      <c r="F225" s="67"/>
      <c r="G225" s="67"/>
      <c r="H225" s="67"/>
      <c r="I225" s="67"/>
      <c r="J225" s="67"/>
      <c r="K225" s="68"/>
      <c r="L225" s="71"/>
      <c r="M225" s="70"/>
      <c r="N225" s="70"/>
      <c r="O225" s="71"/>
      <c r="P225" s="71"/>
      <c r="Q225" s="71"/>
      <c r="R225" s="71"/>
      <c r="S225" s="71"/>
      <c r="T225" s="71"/>
      <c r="U225" s="71"/>
    </row>
    <row r="226" spans="1:21" x14ac:dyDescent="0.25">
      <c r="A226" s="67"/>
      <c r="B226" s="66"/>
      <c r="C226" s="66"/>
      <c r="D226" s="67"/>
      <c r="E226" s="67"/>
      <c r="F226" s="67"/>
      <c r="G226" s="67"/>
      <c r="H226" s="67"/>
      <c r="I226" s="67"/>
      <c r="J226" s="67"/>
      <c r="K226" s="68"/>
      <c r="L226" s="71"/>
      <c r="M226" s="70"/>
      <c r="N226" s="70"/>
      <c r="O226" s="71"/>
      <c r="P226" s="71"/>
      <c r="Q226" s="71"/>
      <c r="R226" s="71"/>
      <c r="S226" s="71"/>
      <c r="T226" s="71"/>
      <c r="U226" s="71"/>
    </row>
    <row r="227" spans="1:21" x14ac:dyDescent="0.25">
      <c r="A227" s="67"/>
      <c r="B227" s="66"/>
      <c r="C227" s="66"/>
      <c r="D227" s="67"/>
      <c r="E227" s="67"/>
      <c r="F227" s="67"/>
      <c r="G227" s="67"/>
      <c r="H227" s="67"/>
      <c r="I227" s="67"/>
      <c r="J227" s="67"/>
      <c r="K227" s="68"/>
      <c r="L227" s="71"/>
      <c r="M227" s="70"/>
      <c r="N227" s="70"/>
      <c r="O227" s="71"/>
      <c r="P227" s="71"/>
      <c r="Q227" s="71"/>
      <c r="R227" s="71"/>
      <c r="S227" s="71"/>
      <c r="T227" s="71"/>
      <c r="U227" s="71"/>
    </row>
    <row r="228" spans="1:21" x14ac:dyDescent="0.25">
      <c r="A228" s="67"/>
      <c r="B228" s="66"/>
      <c r="C228" s="66"/>
      <c r="D228" s="67"/>
      <c r="E228" s="67"/>
      <c r="F228" s="67"/>
      <c r="G228" s="67"/>
      <c r="H228" s="67"/>
      <c r="I228" s="67"/>
      <c r="J228" s="67"/>
      <c r="K228" s="68"/>
      <c r="L228" s="71"/>
      <c r="M228" s="70"/>
      <c r="N228" s="70"/>
      <c r="O228" s="71"/>
      <c r="P228" s="71"/>
      <c r="Q228" s="71"/>
      <c r="R228" s="71"/>
      <c r="S228" s="71"/>
      <c r="T228" s="71"/>
      <c r="U228" s="71"/>
    </row>
    <row r="229" spans="1:21" x14ac:dyDescent="0.25">
      <c r="A229" s="67"/>
      <c r="B229" s="84" t="s">
        <v>88</v>
      </c>
      <c r="C229" s="198" t="s">
        <v>89</v>
      </c>
      <c r="D229" s="199"/>
      <c r="E229" s="207"/>
      <c r="F229" s="67"/>
      <c r="G229" s="164" t="s">
        <v>305</v>
      </c>
      <c r="H229" s="200"/>
      <c r="I229" s="200"/>
      <c r="J229" s="67"/>
      <c r="K229" s="68"/>
      <c r="L229" s="71"/>
      <c r="M229" s="97" t="s">
        <v>88</v>
      </c>
      <c r="N229" s="142" t="s">
        <v>89</v>
      </c>
      <c r="O229" s="82"/>
      <c r="P229" s="71"/>
      <c r="Q229" s="71"/>
      <c r="R229" s="108"/>
      <c r="S229" s="208"/>
      <c r="T229" s="208"/>
      <c r="U229" s="71"/>
    </row>
    <row r="230" spans="1:21" ht="15.75" thickBot="1" x14ac:dyDescent="0.3">
      <c r="A230" s="75" t="s">
        <v>90</v>
      </c>
      <c r="B230" s="88">
        <f>(( (D203 - SLOPE(D203:D205,B203:B205) * B203) - (C203 - SLOPE(C203:C205,B203:B205) * B203) ) / ( SLOPE(C203:C205,B203:B205) - SLOPE(D203:D205,B203:B205) ))</f>
        <v>134.90982529419762</v>
      </c>
      <c r="C230" s="203">
        <f>SLOPE(C203:C205,B203:B205) * B230 + (C203 - SLOPE(C203:C205,B203:B205) * B203)</f>
        <v>2148.2589121879364</v>
      </c>
      <c r="D230" s="67"/>
      <c r="E230" s="67"/>
      <c r="F230" s="67"/>
      <c r="G230" s="104"/>
      <c r="H230" s="104"/>
      <c r="I230" s="104"/>
      <c r="J230" s="67"/>
      <c r="K230" s="68"/>
      <c r="L230" s="71" t="s">
        <v>90</v>
      </c>
      <c r="M230" s="91">
        <f>(( (O203 - SLOPE(O203:O205,M203:M205) * M203) - (N203 - SLOPE(N203:N205,M203:M205) * M203) ) / ( SLOPE(N203:N205,M203:M205) - SLOPE(O203:O205,M203:M205) ))</f>
        <v>134.90982529419762</v>
      </c>
      <c r="N230" s="209">
        <f>SLOPE(N203:N205,M203:M205) * M230 + (N203 - SLOPE(N203:N205,M203:M205) * M203)</f>
        <v>2148.2589121879364</v>
      </c>
      <c r="O230" s="71"/>
      <c r="P230" s="71"/>
      <c r="Q230" s="71"/>
      <c r="R230" s="208"/>
      <c r="S230" s="208"/>
      <c r="T230" s="208"/>
      <c r="U230" s="71"/>
    </row>
    <row r="231" spans="1:21" x14ac:dyDescent="0.25">
      <c r="A231" s="67"/>
      <c r="B231" s="66"/>
      <c r="C231" s="66"/>
      <c r="D231" s="67"/>
      <c r="E231" s="67"/>
      <c r="F231" s="67"/>
      <c r="G231" s="67"/>
      <c r="H231" s="67"/>
      <c r="I231" s="67"/>
      <c r="J231" s="67"/>
    </row>
    <row r="234" spans="1:21" x14ac:dyDescent="0.25">
      <c r="A234" s="58" t="s">
        <v>327</v>
      </c>
    </row>
    <row r="235" spans="1:21" x14ac:dyDescent="0.25">
      <c r="A235" s="58" t="s">
        <v>328</v>
      </c>
    </row>
    <row r="236" spans="1:21" x14ac:dyDescent="0.25">
      <c r="A236" s="58" t="s">
        <v>329</v>
      </c>
    </row>
    <row r="237" spans="1:21" x14ac:dyDescent="0.25">
      <c r="A237" s="58" t="s">
        <v>330</v>
      </c>
    </row>
    <row r="238" spans="1:21" x14ac:dyDescent="0.25">
      <c r="A238" s="58" t="s">
        <v>331</v>
      </c>
    </row>
  </sheetData>
  <sheetProtection password="F030" sheet="1" objects="1" scenarios="1"/>
  <mergeCells count="39">
    <mergeCell ref="C108:D108"/>
    <mergeCell ref="E23:F23"/>
    <mergeCell ref="C100:D100"/>
    <mergeCell ref="N100:O100"/>
    <mergeCell ref="N108:O108"/>
    <mergeCell ref="N91:O91"/>
    <mergeCell ref="C91:D91"/>
    <mergeCell ref="N69:O69"/>
    <mergeCell ref="C69:D69"/>
    <mergeCell ref="I83:J86"/>
    <mergeCell ref="P23:Q23"/>
    <mergeCell ref="C52:D52"/>
    <mergeCell ref="N52:O52"/>
    <mergeCell ref="N61:O61"/>
    <mergeCell ref="C61:D61"/>
    <mergeCell ref="A42:G42"/>
    <mergeCell ref="A43:G43"/>
    <mergeCell ref="G44:I44"/>
    <mergeCell ref="L169:R169"/>
    <mergeCell ref="N131:O131"/>
    <mergeCell ref="A168:D168"/>
    <mergeCell ref="L168:O168"/>
    <mergeCell ref="C148:D148"/>
    <mergeCell ref="R44:T44"/>
    <mergeCell ref="T83:U86"/>
    <mergeCell ref="R197:T197"/>
    <mergeCell ref="R229:T230"/>
    <mergeCell ref="A200:G200"/>
    <mergeCell ref="G229:I230"/>
    <mergeCell ref="C229:E229"/>
    <mergeCell ref="C197:D197"/>
    <mergeCell ref="N197:O197"/>
    <mergeCell ref="G197:I197"/>
    <mergeCell ref="L200:R200"/>
    <mergeCell ref="A169:G169"/>
    <mergeCell ref="C131:D131"/>
    <mergeCell ref="C140:D140"/>
    <mergeCell ref="N140:O140"/>
    <mergeCell ref="N148:O148"/>
  </mergeCells>
  <phoneticPr fontId="21"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
  <sheetViews>
    <sheetView topLeftCell="E1" zoomScale="80" zoomScaleNormal="80" workbookViewId="0">
      <selection activeCell="J23" sqref="J23"/>
    </sheetView>
  </sheetViews>
  <sheetFormatPr defaultRowHeight="15" x14ac:dyDescent="0.25"/>
  <cols>
    <col min="1" max="1" width="16.28515625" style="48" customWidth="1"/>
    <col min="2" max="2" width="14.140625" style="48" customWidth="1"/>
    <col min="3" max="3" width="12.140625" style="48" customWidth="1"/>
    <col min="4" max="4" width="10.140625" style="48" customWidth="1"/>
    <col min="5" max="5" width="12.5703125" style="48" customWidth="1"/>
    <col min="6" max="6" width="12.7109375" style="48" customWidth="1"/>
    <col min="7" max="10" width="13.140625" style="48" customWidth="1"/>
    <col min="11" max="11" width="9.140625" style="48"/>
    <col min="12" max="12" width="16.140625" style="48" customWidth="1"/>
    <col min="13" max="13" width="12.5703125" style="48" customWidth="1"/>
    <col min="14" max="14" width="13.140625" style="48" customWidth="1"/>
    <col min="15" max="15" width="10.7109375" style="48" customWidth="1"/>
    <col min="16" max="16" width="11.85546875" style="48" customWidth="1"/>
    <col min="17" max="17" width="11.42578125" style="48" customWidth="1"/>
    <col min="18" max="21" width="12.5703125" style="48" customWidth="1"/>
    <col min="22" max="16384" width="9.140625" style="48"/>
  </cols>
  <sheetData>
    <row r="1" spans="1:21" ht="20.25" x14ac:dyDescent="0.3">
      <c r="A1" s="65" t="s">
        <v>91</v>
      </c>
      <c r="B1" s="66"/>
      <c r="C1" s="66"/>
      <c r="D1" s="67"/>
      <c r="E1" s="67"/>
      <c r="F1" s="67"/>
      <c r="G1" s="67"/>
      <c r="H1" s="67"/>
      <c r="I1" s="67"/>
      <c r="J1" s="67"/>
      <c r="K1" s="68"/>
      <c r="L1" s="69" t="s">
        <v>91</v>
      </c>
      <c r="M1" s="70"/>
      <c r="N1" s="70"/>
      <c r="O1" s="71"/>
      <c r="P1" s="71"/>
      <c r="Q1" s="71"/>
      <c r="R1" s="71"/>
      <c r="S1" s="71"/>
      <c r="T1" s="71"/>
      <c r="U1" s="71"/>
    </row>
    <row r="2" spans="1:21" x14ac:dyDescent="0.25">
      <c r="A2" s="67"/>
      <c r="B2" s="66"/>
      <c r="C2" s="66"/>
      <c r="D2" s="67"/>
      <c r="E2" s="67"/>
      <c r="F2" s="67"/>
      <c r="G2" s="67"/>
      <c r="H2" s="67"/>
      <c r="I2" s="67"/>
      <c r="J2" s="67"/>
      <c r="K2" s="68"/>
      <c r="L2" s="71"/>
      <c r="M2" s="70"/>
      <c r="N2" s="70"/>
      <c r="O2" s="71"/>
      <c r="P2" s="71"/>
      <c r="Q2" s="71"/>
      <c r="R2" s="71"/>
      <c r="S2" s="71"/>
      <c r="T2" s="71"/>
      <c r="U2" s="71"/>
    </row>
    <row r="3" spans="1:21" x14ac:dyDescent="0.25">
      <c r="A3" s="67" t="s">
        <v>94</v>
      </c>
      <c r="B3" s="66">
        <v>250</v>
      </c>
      <c r="C3" s="101" t="s">
        <v>95</v>
      </c>
      <c r="D3" s="67"/>
      <c r="E3" s="67"/>
      <c r="F3" s="67"/>
      <c r="G3" s="67"/>
      <c r="H3" s="67"/>
      <c r="I3" s="67"/>
      <c r="J3" s="67"/>
      <c r="K3" s="68"/>
      <c r="L3" s="71" t="s">
        <v>94</v>
      </c>
      <c r="M3" s="283">
        <v>250</v>
      </c>
      <c r="N3" s="102" t="s">
        <v>95</v>
      </c>
      <c r="O3" s="71"/>
      <c r="P3" s="71"/>
      <c r="Q3" s="71"/>
      <c r="R3" s="71"/>
      <c r="S3" s="71"/>
      <c r="T3" s="71"/>
      <c r="U3" s="71"/>
    </row>
    <row r="4" spans="1:21" x14ac:dyDescent="0.25">
      <c r="A4" s="67" t="s">
        <v>163</v>
      </c>
      <c r="B4" s="66"/>
      <c r="C4" s="66"/>
      <c r="D4" s="67">
        <v>700</v>
      </c>
      <c r="E4" s="67" t="s">
        <v>17</v>
      </c>
      <c r="F4" s="67"/>
      <c r="G4" s="67"/>
      <c r="H4" s="67"/>
      <c r="I4" s="67"/>
      <c r="J4" s="67"/>
      <c r="K4" s="68"/>
      <c r="L4" s="71" t="s">
        <v>163</v>
      </c>
      <c r="M4" s="70"/>
      <c r="N4" s="70"/>
      <c r="O4" s="289">
        <v>700</v>
      </c>
      <c r="P4" s="71" t="s">
        <v>17</v>
      </c>
      <c r="Q4" s="71"/>
      <c r="R4" s="71"/>
      <c r="S4" s="71"/>
      <c r="T4" s="71"/>
      <c r="U4" s="71"/>
    </row>
    <row r="5" spans="1:21" x14ac:dyDescent="0.25">
      <c r="A5" s="67"/>
      <c r="B5" s="66"/>
      <c r="C5" s="66"/>
      <c r="D5" s="67"/>
      <c r="E5" s="67"/>
      <c r="F5" s="67"/>
      <c r="G5" s="67"/>
      <c r="H5" s="67"/>
      <c r="I5" s="67"/>
      <c r="J5" s="67"/>
      <c r="K5" s="68"/>
      <c r="L5" s="71"/>
      <c r="M5" s="70"/>
      <c r="N5" s="70"/>
      <c r="O5" s="71"/>
      <c r="P5" s="71"/>
      <c r="Q5" s="71"/>
      <c r="R5" s="71"/>
      <c r="S5" s="71"/>
      <c r="T5" s="71"/>
      <c r="U5" s="71"/>
    </row>
    <row r="6" spans="1:21" ht="16.5" x14ac:dyDescent="0.3">
      <c r="A6" s="67" t="s">
        <v>252</v>
      </c>
      <c r="B6" s="66"/>
      <c r="C6" s="66"/>
      <c r="D6" s="67"/>
      <c r="E6" s="67"/>
      <c r="F6" s="67"/>
      <c r="G6" s="67"/>
      <c r="H6" s="67"/>
      <c r="I6" s="67"/>
      <c r="J6" s="67"/>
      <c r="K6" s="68"/>
      <c r="L6" s="71" t="s">
        <v>164</v>
      </c>
      <c r="M6" s="70"/>
      <c r="N6" s="70"/>
      <c r="O6" s="71"/>
      <c r="P6" s="71"/>
      <c r="Q6" s="71"/>
      <c r="R6" s="71"/>
      <c r="S6" s="71"/>
      <c r="T6" s="71"/>
      <c r="U6" s="71"/>
    </row>
    <row r="7" spans="1:21" ht="16.5" x14ac:dyDescent="0.3">
      <c r="A7" s="67"/>
      <c r="B7" s="75">
        <v>0.5</v>
      </c>
      <c r="C7" s="67" t="s">
        <v>96</v>
      </c>
      <c r="D7" s="67"/>
      <c r="E7" s="67"/>
      <c r="F7" s="67"/>
      <c r="G7" s="67" t="s">
        <v>251</v>
      </c>
      <c r="H7" s="67"/>
      <c r="I7" s="67"/>
      <c r="J7" s="67"/>
      <c r="K7" s="68"/>
      <c r="L7" s="71"/>
      <c r="M7" s="290">
        <v>0.5</v>
      </c>
      <c r="N7" s="71" t="s">
        <v>96</v>
      </c>
      <c r="O7" s="71"/>
      <c r="P7" s="71"/>
      <c r="Q7" s="71"/>
      <c r="R7" s="71" t="s">
        <v>251</v>
      </c>
      <c r="S7" s="71"/>
      <c r="T7" s="71"/>
      <c r="U7" s="71"/>
    </row>
    <row r="8" spans="1:21" ht="16.5" x14ac:dyDescent="0.3">
      <c r="A8" s="67"/>
      <c r="B8" s="75">
        <v>45</v>
      </c>
      <c r="C8" s="67" t="s">
        <v>97</v>
      </c>
      <c r="D8" s="67"/>
      <c r="E8" s="67"/>
      <c r="F8" s="67"/>
      <c r="G8" s="67"/>
      <c r="H8" s="67"/>
      <c r="I8" s="67"/>
      <c r="J8" s="67"/>
      <c r="K8" s="68"/>
      <c r="L8" s="71"/>
      <c r="M8" s="290">
        <v>45</v>
      </c>
      <c r="N8" s="71" t="s">
        <v>97</v>
      </c>
      <c r="O8" s="71"/>
      <c r="P8" s="71"/>
      <c r="Q8" s="71"/>
      <c r="R8" s="71"/>
      <c r="S8" s="71"/>
      <c r="T8" s="71"/>
      <c r="U8" s="71"/>
    </row>
    <row r="9" spans="1:21" ht="16.5" x14ac:dyDescent="0.3">
      <c r="A9" s="67"/>
      <c r="B9" s="75">
        <v>54.5</v>
      </c>
      <c r="C9" s="67" t="s">
        <v>98</v>
      </c>
      <c r="D9" s="67"/>
      <c r="E9" s="67"/>
      <c r="F9" s="67"/>
      <c r="G9" s="67"/>
      <c r="H9" s="67"/>
      <c r="I9" s="67"/>
      <c r="J9" s="67"/>
      <c r="K9" s="68"/>
      <c r="L9" s="71"/>
      <c r="M9" s="290">
        <v>54.5</v>
      </c>
      <c r="N9" s="71" t="s">
        <v>98</v>
      </c>
      <c r="O9" s="71"/>
      <c r="P9" s="71"/>
      <c r="Q9" s="71"/>
      <c r="R9" s="71"/>
      <c r="S9" s="71"/>
      <c r="T9" s="71"/>
      <c r="U9" s="71"/>
    </row>
    <row r="10" spans="1:21" x14ac:dyDescent="0.25">
      <c r="A10" s="67"/>
      <c r="B10" s="66"/>
      <c r="C10" s="66"/>
      <c r="D10" s="67"/>
      <c r="E10" s="67"/>
      <c r="F10" s="67"/>
      <c r="G10" s="67"/>
      <c r="H10" s="67"/>
      <c r="I10" s="67"/>
      <c r="J10" s="67"/>
      <c r="K10" s="68"/>
      <c r="L10" s="71"/>
      <c r="M10" s="70"/>
      <c r="N10" s="70"/>
      <c r="O10" s="71"/>
      <c r="P10" s="71"/>
      <c r="Q10" s="71"/>
      <c r="R10" s="71"/>
      <c r="S10" s="71"/>
      <c r="T10" s="71"/>
      <c r="U10" s="71"/>
    </row>
    <row r="11" spans="1:21" x14ac:dyDescent="0.25">
      <c r="A11" s="67"/>
      <c r="B11" s="66"/>
      <c r="C11" s="114" t="s">
        <v>79</v>
      </c>
      <c r="D11" s="114"/>
      <c r="E11" s="67"/>
      <c r="F11" s="114" t="s">
        <v>99</v>
      </c>
      <c r="G11" s="114"/>
      <c r="H11" s="66"/>
      <c r="I11" s="66"/>
      <c r="J11" s="66"/>
      <c r="K11" s="68"/>
      <c r="L11" s="71"/>
      <c r="M11" s="70"/>
      <c r="N11" s="115" t="s">
        <v>79</v>
      </c>
      <c r="O11" s="115"/>
      <c r="P11" s="71"/>
      <c r="Q11" s="115" t="s">
        <v>99</v>
      </c>
      <c r="R11" s="115"/>
      <c r="S11" s="70"/>
      <c r="T11" s="70"/>
      <c r="U11" s="70"/>
    </row>
    <row r="12" spans="1:21" x14ac:dyDescent="0.25">
      <c r="A12" s="67"/>
      <c r="B12" s="66"/>
      <c r="C12" s="116" t="s">
        <v>85</v>
      </c>
      <c r="D12" s="210">
        <f>'Step 1'!C198</f>
        <v>2163.2999900007389</v>
      </c>
      <c r="E12" s="67" t="s">
        <v>17</v>
      </c>
      <c r="F12" s="116" t="s">
        <v>85</v>
      </c>
      <c r="G12" s="139">
        <f>D4</f>
        <v>700</v>
      </c>
      <c r="H12" s="101"/>
      <c r="I12" s="101"/>
      <c r="J12" s="101"/>
      <c r="K12" s="68"/>
      <c r="L12" s="71"/>
      <c r="M12" s="70"/>
      <c r="N12" s="118" t="s">
        <v>85</v>
      </c>
      <c r="O12" s="211">
        <f>'Step 1'!N198</f>
        <v>2163.3001691955988</v>
      </c>
      <c r="P12" s="71"/>
      <c r="Q12" s="118" t="s">
        <v>85</v>
      </c>
      <c r="R12" s="142">
        <f>O4</f>
        <v>700</v>
      </c>
      <c r="S12" s="102"/>
      <c r="T12" s="102"/>
      <c r="U12" s="102"/>
    </row>
    <row r="13" spans="1:21" x14ac:dyDescent="0.25">
      <c r="A13" s="67"/>
      <c r="B13" s="116" t="s">
        <v>74</v>
      </c>
      <c r="C13" s="117" t="s">
        <v>75</v>
      </c>
      <c r="D13" s="80" t="s">
        <v>76</v>
      </c>
      <c r="E13" s="116" t="s">
        <v>74</v>
      </c>
      <c r="F13" s="117" t="s">
        <v>75</v>
      </c>
      <c r="G13" s="117" t="s">
        <v>76</v>
      </c>
      <c r="H13" s="66"/>
      <c r="I13" s="66"/>
      <c r="J13" s="66"/>
      <c r="K13" s="68"/>
      <c r="L13" s="71"/>
      <c r="M13" s="118" t="s">
        <v>74</v>
      </c>
      <c r="N13" s="97" t="s">
        <v>75</v>
      </c>
      <c r="O13" s="82" t="s">
        <v>76</v>
      </c>
      <c r="P13" s="118" t="s">
        <v>74</v>
      </c>
      <c r="Q13" s="97" t="s">
        <v>75</v>
      </c>
      <c r="R13" s="97" t="s">
        <v>76</v>
      </c>
      <c r="S13" s="70"/>
      <c r="T13" s="70"/>
      <c r="U13" s="70"/>
    </row>
    <row r="14" spans="1:21" ht="16.5" x14ac:dyDescent="0.3">
      <c r="A14" s="67" t="s">
        <v>42</v>
      </c>
      <c r="B14" s="88">
        <f>'Step 1'!E24-'Step 1'!B198</f>
        <v>58.495378048852757</v>
      </c>
      <c r="C14" s="130">
        <f>(IF(ROUNDDOWN(D12,-2)=ROUNDUP(D12,-2),VLOOKUP(D12,Enthalpy,19),VLOOKUP(ROUNDDOWN(D12,-2),Enthalpy,19)+(D12-ROUNDDOWN(D12,-2))/(ROUNDUP(D12,-2)-ROUNDDOWN(D12,-2))*(VLOOKUP(ROUNDUP(D12,-2),Enthalpy,19)-VLOOKUP(ROUNDDOWN(D12,-2),Enthalpy,19))))</f>
        <v>21809.839752018324</v>
      </c>
      <c r="D14" s="150">
        <f>(B14*C14)</f>
        <v>1275774.821479209</v>
      </c>
      <c r="E14" s="76">
        <f>B14</f>
        <v>58.495378048852757</v>
      </c>
      <c r="F14" s="66">
        <f>(IF(ROUNDDOWN(G12,-2)=ROUNDUP(G12,-2),VLOOKUP(G12,Enthalpy,19),VLOOKUP(ROUNDDOWN(G12,-2),Enthalpy,19)+(G12-ROUNDDOWN(G12,-2))/(ROUNDUP(G12,-2)-ROUNDDOWN(G12,-2))*(VLOOKUP(ROUNDUP(G12,-2),Enthalpy,19)-VLOOKUP(ROUNDDOWN(G12,-2),Enthalpy,19))))</f>
        <v>5774</v>
      </c>
      <c r="G14" s="73">
        <f>(E14*F14)</f>
        <v>337752.3128540758</v>
      </c>
      <c r="H14" s="73"/>
      <c r="I14" s="73"/>
      <c r="J14" s="73"/>
      <c r="K14" s="68"/>
      <c r="L14" s="71" t="s">
        <v>42</v>
      </c>
      <c r="M14" s="91">
        <f>'Step 1'!P24-'Step 1'!M198</f>
        <v>58.495374535228052</v>
      </c>
      <c r="N14" s="113">
        <f>IF(ROUNDDOWN(O12,-2)=ROUNDUP(O12,-2),VLOOKUP(O12,Enthalpy,19),VLOOKUP(ROUNDDOWN(O12,-2),Enthalpy,19)+(O12-ROUNDDOWN(O12,-2))/(ROUNDUP(O12,-2)-ROUNDDOWN(O12,-2))*(VLOOKUP(ROUNDUP(O12,-2),Enthalpy,19)-VLOOKUP(ROUNDDOWN(O12,-2),Enthalpy,19)))</f>
        <v>21809.84419605085</v>
      </c>
      <c r="O14" s="154">
        <f>M14*N14</f>
        <v>1275775.0048029642</v>
      </c>
      <c r="P14" s="78">
        <f>M14</f>
        <v>58.495374535228052</v>
      </c>
      <c r="Q14" s="70">
        <f>IF(ROUNDDOWN(R12,-2)=ROUNDUP(R12,-2),VLOOKUP(R12,Enthalpy,19),VLOOKUP(ROUNDDOWN(R12,-2),Enthalpy,19)+(R12-ROUNDDOWN(R12,-2))/(ROUNDUP(R12,-2)-ROUNDDOWN(R12,-2))*(VLOOKUP(ROUNDUP(R12,-2),Enthalpy,19)-VLOOKUP(ROUNDDOWN(R12,-2),Enthalpy,19)))</f>
        <v>5774</v>
      </c>
      <c r="R14" s="74">
        <f>P14*Q14</f>
        <v>337752.29256640677</v>
      </c>
      <c r="S14" s="74"/>
      <c r="T14" s="74"/>
      <c r="U14" s="74"/>
    </row>
    <row r="15" spans="1:21" ht="16.5" x14ac:dyDescent="0.3">
      <c r="A15" s="67" t="s">
        <v>43</v>
      </c>
      <c r="B15" s="88">
        <f>'Step 1'!E25</f>
        <v>159.09563336735241</v>
      </c>
      <c r="C15" s="130">
        <f>(IF(ROUNDDOWN(D12,-2)=ROUNDUP(D12,-2),VLOOKUP(D12,Enthalpy,14),VLOOKUP(ROUNDDOWN(D12,-2),Enthalpy,14)+(D12-ROUNDDOWN(D12,-2))/(ROUNDUP(D12,-2)-ROUNDDOWN(D12,-2))*(VLOOKUP(ROUNDUP(D12,-2),Enthalpy,14)-VLOOKUP(ROUNDDOWN(D12,-2),Enthalpy,14))))</f>
        <v>25313.409723020468</v>
      </c>
      <c r="D15" s="150">
        <f t="shared" ref="D15:D19" si="0">(B15*C15)</f>
        <v>4027252.9525712379</v>
      </c>
      <c r="E15" s="76">
        <f>B15</f>
        <v>159.09563336735241</v>
      </c>
      <c r="F15" s="66">
        <f>(IF(ROUNDDOWN(G12,-2)=ROUNDUP(G12,-2),VLOOKUP(G12,Enthalpy,14),VLOOKUP(ROUNDDOWN(G12,-2),Enthalpy,14)+(G12-ROUNDDOWN(G12,-2))/(ROUNDUP(G12,-2)-ROUNDDOWN(G12,-2))*(VLOOKUP(ROUNDUP(G12,-2),Enthalpy,14)-VLOOKUP(ROUNDDOWN(G12,-2),Enthalpy,14))))</f>
        <v>6868</v>
      </c>
      <c r="G15" s="73">
        <f t="shared" ref="G15:G21" si="1">(E15*F15)</f>
        <v>1092668.8099669763</v>
      </c>
      <c r="H15" s="73"/>
      <c r="I15" s="73"/>
      <c r="J15" s="73"/>
      <c r="K15" s="68"/>
      <c r="L15" s="71" t="s">
        <v>43</v>
      </c>
      <c r="M15" s="91">
        <f>'Step 1'!P25</f>
        <v>159.09563336735241</v>
      </c>
      <c r="N15" s="113">
        <f>IF(ROUNDDOWN(O12,-2)=ROUNDUP(O12,-2),VLOOKUP(O12,Enthalpy,14),VLOOKUP(ROUNDDOWN(O12,-2),Enthalpy,14)+(O12-ROUNDDOWN(O12,-2))/(ROUNDUP(O12,-2)-ROUNDDOWN(O12,-2))*(VLOOKUP(ROUNDUP(O12,-2),Enthalpy,14)-VLOOKUP(ROUNDDOWN(O12,-2),Enthalpy,14)))</f>
        <v>25313.414686718086</v>
      </c>
      <c r="O15" s="154">
        <f t="shared" ref="O15:O19" si="2">M15*N15</f>
        <v>4027253.7422738546</v>
      </c>
      <c r="P15" s="78">
        <f>M15</f>
        <v>159.09563336735241</v>
      </c>
      <c r="Q15" s="70">
        <f>IF(ROUNDDOWN(R12,-2)=ROUNDUP(R12,-2),VLOOKUP(R12,Enthalpy,14),VLOOKUP(ROUNDDOWN(R12,-2),Enthalpy,14)+(R12-ROUNDDOWN(R12,-2))/(ROUNDUP(R12,-2)-ROUNDDOWN(R12,-2))*(VLOOKUP(ROUNDUP(R12,-2),Enthalpy,14)-VLOOKUP(ROUNDDOWN(R12,-2),Enthalpy,14)))</f>
        <v>6868</v>
      </c>
      <c r="R15" s="74">
        <f t="shared" ref="R15:R21" si="3">P15*Q15</f>
        <v>1092668.8099669763</v>
      </c>
      <c r="S15" s="74"/>
      <c r="T15" s="74"/>
      <c r="U15" s="74"/>
    </row>
    <row r="16" spans="1:21" ht="16.5" x14ac:dyDescent="0.3">
      <c r="A16" s="67" t="s">
        <v>44</v>
      </c>
      <c r="B16" s="88">
        <f>'Step 1'!E26+'Step 1'!B198</f>
        <v>293.64787642816805</v>
      </c>
      <c r="C16" s="130">
        <f>(IF(ROUNDDOWN(D12,-2)=ROUNDUP(D12,-2),VLOOKUP(D12,Enthalpy,15),VLOOKUP(ROUNDDOWN(D12,-2),Enthalpy,15)+(D12-ROUNDDOWN(D12,-2))/(ROUNDUP(D12,-2)-ROUNDDOWN(D12,-2))*(VLOOKUP(ROUNDUP(D12,-2),Enthalpy,15)-VLOOKUP(ROUNDDOWN(D12,-2),Enthalpy,15))))</f>
        <v>19755.259778016403</v>
      </c>
      <c r="D16" s="150">
        <f t="shared" si="0"/>
        <v>5801090.082101319</v>
      </c>
      <c r="E16" s="76">
        <f>B16</f>
        <v>293.64787642816805</v>
      </c>
      <c r="F16" s="66">
        <f>(IF(ROUNDDOWN(G12,-2)=ROUNDUP(G12,-2),VLOOKUP(G12,Enthalpy,15),VLOOKUP(ROUNDDOWN(G12,-2),Enthalpy,15)+(G12-ROUNDDOWN(G12,-2))/(ROUNDUP(G12,-2)-ROUNDDOWN(G12,-2))*(VLOOKUP(ROUNDUP(G12,-2),Enthalpy,15)-VLOOKUP(ROUNDDOWN(G12,-2),Enthalpy,15))))</f>
        <v>5658</v>
      </c>
      <c r="G16" s="73">
        <f t="shared" si="1"/>
        <v>1661459.6848305748</v>
      </c>
      <c r="H16" s="73"/>
      <c r="I16" s="73"/>
      <c r="J16" s="73"/>
      <c r="K16" s="68"/>
      <c r="L16" s="71" t="s">
        <v>44</v>
      </c>
      <c r="M16" s="91">
        <f>'Step 1'!P26+'Step 1'!M198</f>
        <v>293.64787994179278</v>
      </c>
      <c r="N16" s="113">
        <f>IF(ROUNDDOWN(O12,-2)=ROUNDUP(O12,-2),VLOOKUP(O12,Enthalpy,15),VLOOKUP(ROUNDDOWN(O12,-2),Enthalpy,15)+(O12-ROUNDDOWN(O12,-2))/(ROUNDUP(O12,-2)-ROUNDDOWN(O12,-2))*(VLOOKUP(ROUNDUP(O12,-2),Enthalpy,15)-VLOOKUP(ROUNDDOWN(O12,-2),Enthalpy,15)))</f>
        <v>19755.263756142293</v>
      </c>
      <c r="O16" s="154">
        <f t="shared" si="2"/>
        <v>5801091.3196821222</v>
      </c>
      <c r="P16" s="78">
        <f>M16</f>
        <v>293.64787994179278</v>
      </c>
      <c r="Q16" s="70">
        <f>IF(ROUNDDOWN(R12,-2)=ROUNDUP(R12,-2),VLOOKUP(R12,Enthalpy,15),VLOOKUP(ROUNDDOWN(R12,-2),Enthalpy,15)+(R12-ROUNDDOWN(R12,-2))/(ROUNDUP(R12,-2)-ROUNDDOWN(R12,-2))*(VLOOKUP(ROUNDUP(R12,-2),Enthalpy,15)-VLOOKUP(ROUNDDOWN(R12,-2),Enthalpy,15)))</f>
        <v>5658</v>
      </c>
      <c r="R16" s="74">
        <f t="shared" si="3"/>
        <v>1661459.7047106635</v>
      </c>
      <c r="S16" s="74"/>
      <c r="T16" s="74"/>
      <c r="U16" s="74"/>
    </row>
    <row r="17" spans="1:21" ht="16.5" x14ac:dyDescent="0.3">
      <c r="A17" s="67" t="s">
        <v>51</v>
      </c>
      <c r="B17" s="88">
        <f>'Step 1'!E27-(1/2)*'Step 1'!B198</f>
        <v>29.247689024426379</v>
      </c>
      <c r="C17" s="130">
        <f>(IF(ROUNDDOWN(D12,-2)=ROUNDUP(D12,-2),VLOOKUP(D12,Enthalpy,17),VLOOKUP(ROUNDDOWN(D12,-2),Enthalpy,17)+(D12-ROUNDDOWN(D12,-2))/(ROUNDUP(D12,-2)-ROUNDDOWN(D12,-2))*(VLOOKUP(ROUNDUP(D12,-2),Enthalpy,17)-VLOOKUP(ROUNDDOWN(D12,-2),Enthalpy,17))))</f>
        <v>25979.739722020542</v>
      </c>
      <c r="D17" s="150">
        <f t="shared" si="0"/>
        <v>759847.34832519421</v>
      </c>
      <c r="E17" s="76">
        <f>B17</f>
        <v>29.247689024426379</v>
      </c>
      <c r="F17" s="66">
        <f>(IF(ROUNDDOWN(G12,-2)=ROUNDUP(G12,-2),VLOOKUP(G12,Enthalpy,17),VLOOKUP(ROUNDDOWN(G12,-2),Enthalpy,17)+(G12-ROUNDDOWN(G12,-2))/(ROUNDUP(G12,-2)-ROUNDDOWN(G12,-2))*(VLOOKUP(ROUNDUP(G12,-2),Enthalpy,17)-VLOOKUP(ROUNDDOWN(G12,-2),Enthalpy,17))))</f>
        <v>7309</v>
      </c>
      <c r="G17" s="73">
        <f t="shared" si="1"/>
        <v>213771.35907953241</v>
      </c>
      <c r="H17" s="73"/>
      <c r="I17" s="73"/>
      <c r="J17" s="73"/>
      <c r="K17" s="68"/>
      <c r="L17" s="71" t="s">
        <v>51</v>
      </c>
      <c r="M17" s="91">
        <f>'Step 1'!P27-(1/2)*'Step 1'!M198</f>
        <v>29.247687267614026</v>
      </c>
      <c r="N17" s="113">
        <f>IF(ROUNDDOWN(O12,-2)=ROUNDUP(O12,-2),VLOOKUP(O12,Enthalpy,17),VLOOKUP(ROUNDDOWN(O12,-2),Enthalpy,17)+(O12-ROUNDDOWN(O12,-2))/(ROUNDUP(O12,-2)-ROUNDDOWN(O12,-2))*(VLOOKUP(ROUNDUP(O12,-2),Enthalpy,17)-VLOOKUP(ROUNDDOWN(O12,-2),Enthalpy,17)))</f>
        <v>25979.744703637647</v>
      </c>
      <c r="O17" s="154">
        <f t="shared" si="2"/>
        <v>759847.44838444574</v>
      </c>
      <c r="P17" s="78">
        <f>M17</f>
        <v>29.247687267614026</v>
      </c>
      <c r="Q17" s="70">
        <f>IF(ROUNDDOWN(R12,-2)=ROUNDUP(R12,-2),VLOOKUP(R12,Enthalpy,17),VLOOKUP(ROUNDDOWN(R12,-2),Enthalpy,17)+(R12-ROUNDDOWN(R12,-2))/(ROUNDUP(R12,-2)-ROUNDDOWN(R12,-2))*(VLOOKUP(ROUNDUP(R12,-2),Enthalpy,17)-VLOOKUP(ROUNDDOWN(R12,-2),Enthalpy,17)))</f>
        <v>7309</v>
      </c>
      <c r="R17" s="74">
        <f t="shared" si="3"/>
        <v>213771.34623899093</v>
      </c>
      <c r="S17" s="74"/>
      <c r="T17" s="74"/>
      <c r="U17" s="74"/>
    </row>
    <row r="18" spans="1:21" ht="16.5" x14ac:dyDescent="0.3">
      <c r="A18" s="67" t="s">
        <v>52</v>
      </c>
      <c r="B18" s="88">
        <f>'Step 1'!E28</f>
        <v>582.62585529985779</v>
      </c>
      <c r="C18" s="130">
        <f>(IF(ROUNDDOWN(D12,-2)=ROUNDUP(D12,-2),VLOOKUP(D12,Enthalpy,9),VLOOKUP(ROUNDDOWN(D12,-2),Enthalpy,9)+(D12-ROUNDDOWN(D12,-2))/(ROUNDUP(D12,-2)-ROUNDDOWN(D12,-2))*(VLOOKUP(ROUNDUP(D12,-2),Enthalpy,9)-VLOOKUP(ROUNDDOWN(D12,-2),Enthalpy,9))))</f>
        <v>15870.779834012266</v>
      </c>
      <c r="D18" s="150">
        <f t="shared" si="0"/>
        <v>9246726.6750671323</v>
      </c>
      <c r="E18" s="76">
        <f>B18</f>
        <v>582.62585529985779</v>
      </c>
      <c r="F18" s="66">
        <f>(IF(ROUNDDOWN(G12,-2)=ROUNDUP(G12,-2),VLOOKUP(G12,Enthalpy,9),VLOOKUP(ROUNDDOWN(G12,-2),Enthalpy,9)+(G12-ROUNDDOWN(G12,-2))/(ROUNDUP(G12,-2)-ROUNDDOWN(G12,-2))*(VLOOKUP(ROUNDUP(G12,-2),Enthalpy,9)-VLOOKUP(ROUNDDOWN(G12,-2),Enthalpy,9))))</f>
        <v>4720</v>
      </c>
      <c r="G18" s="73">
        <f t="shared" si="1"/>
        <v>2749994.0370153286</v>
      </c>
      <c r="H18" s="73"/>
      <c r="I18" s="73"/>
      <c r="J18" s="73"/>
      <c r="K18" s="68"/>
      <c r="L18" s="71" t="s">
        <v>52</v>
      </c>
      <c r="M18" s="91">
        <f>'Step 1'!P28</f>
        <v>582.62585529985779</v>
      </c>
      <c r="N18" s="113">
        <f>IF(ROUNDDOWN(O12,-2)=ROUNDUP(O12,-2),VLOOKUP(O12,Enthalpy,9),VLOOKUP(ROUNDDOWN(O12,-2),Enthalpy,9)+(O12-ROUNDDOWN(O12,-2))/(ROUNDUP(O12,-2)-ROUNDDOWN(O12,-2))*(VLOOKUP(ROUNDUP(O12,-2),Enthalpy,9)-VLOOKUP(ROUNDDOWN(O12,-2),Enthalpy,9)))</f>
        <v>15870.78280864694</v>
      </c>
      <c r="O18" s="154">
        <f t="shared" si="2"/>
        <v>9246728.4081662018</v>
      </c>
      <c r="P18" s="78">
        <f>M18</f>
        <v>582.62585529985779</v>
      </c>
      <c r="Q18" s="70">
        <f>IF(ROUNDDOWN(R12,-2)=ROUNDUP(R12,-2),VLOOKUP(R12,Enthalpy,9),VLOOKUP(ROUNDDOWN(R12,-2),Enthalpy,9)+(R12-ROUNDDOWN(R12,-2))/(ROUNDUP(R12,-2)-ROUNDDOWN(R12,-2))*(VLOOKUP(ROUNDUP(R12,-2),Enthalpy,9)-VLOOKUP(ROUNDDOWN(R12,-2),Enthalpy,9)))</f>
        <v>4720</v>
      </c>
      <c r="R18" s="74">
        <f t="shared" si="3"/>
        <v>2749994.0370153286</v>
      </c>
      <c r="S18" s="74"/>
      <c r="T18" s="74"/>
      <c r="U18" s="74"/>
    </row>
    <row r="19" spans="1:21" ht="16.5" x14ac:dyDescent="0.3">
      <c r="A19" s="67" t="s">
        <v>54</v>
      </c>
      <c r="B19" s="88">
        <f>(3/4)*'Step 1'!B198</f>
        <v>101.66617632354027</v>
      </c>
      <c r="C19" s="130">
        <f>(IF(ROUNDDOWN(D12,-2)=ROUNDUP(D12,-2),VLOOKUP(D12,Enthalpy,16),VLOOKUP(ROUNDDOWN(D12,-2),Enthalpy,16)+(D12-ROUNDDOWN(D12,-2))/(ROUNDUP(D12,-2)-ROUNDDOWN(D12,-2))*(VLOOKUP(ROUNDUP(D12,-2),Enthalpy,16)-VLOOKUP(ROUNDDOWN(D12,-2),Enthalpy,16))))</f>
        <v>18281.04981501367</v>
      </c>
      <c r="D19" s="150">
        <f t="shared" si="0"/>
        <v>1858564.4338726031</v>
      </c>
      <c r="E19" s="76">
        <f>2*B19 / (2 + 6*B8/B7 + 8*B9/B7)</f>
        <v>0.14379940074050956</v>
      </c>
      <c r="F19" s="66">
        <f>(IF(ROUNDDOWN(G12,-2)=ROUNDUP(G12,-2),VLOOKUP(G12,Enthalpy,16),VLOOKUP(ROUNDDOWN(G12,-2),Enthalpy,16)+(G12-ROUNDDOWN(G12,-2))/(ROUNDUP(G12,-2)-ROUNDDOWN(G12,-2))*(VLOOKUP(ROUNDUP(G12,-2),Enthalpy,16)-VLOOKUP(ROUNDDOWN(G12,-2),Enthalpy,16))))</f>
        <v>5507</v>
      </c>
      <c r="G19" s="73">
        <f t="shared" si="1"/>
        <v>791.90329987798611</v>
      </c>
      <c r="H19" s="212" t="s">
        <v>311</v>
      </c>
      <c r="I19" s="213"/>
      <c r="J19" s="213"/>
      <c r="K19" s="68"/>
      <c r="L19" s="71" t="s">
        <v>54</v>
      </c>
      <c r="M19" s="91">
        <f>(3/4)*'Step 1'!M198</f>
        <v>101.66617895875881</v>
      </c>
      <c r="N19" s="113">
        <f>IF(ROUNDDOWN(O12,-2)=ROUNDUP(O12,-2),VLOOKUP(O12,Enthalpy,16),VLOOKUP(ROUNDDOWN(O12,-2),Enthalpy,16)+(O12-ROUNDDOWN(O12,-2))/(ROUNDUP(O12,-2)-ROUNDDOWN(O12,-2))*(VLOOKUP(ROUNDUP(O12,-2),Enthalpy,16)-VLOOKUP(ROUNDDOWN(O12,-2),Enthalpy,16)))</f>
        <v>18281.053130118577</v>
      </c>
      <c r="O19" s="154">
        <f t="shared" si="2"/>
        <v>1858564.8190812131</v>
      </c>
      <c r="P19" s="78">
        <f>2*M19 / (2 + 6*M8/M7 + 8*M9/M7)</f>
        <v>0.14379940446783424</v>
      </c>
      <c r="Q19" s="70">
        <f>IF(ROUNDDOWN(R12,-2)=ROUNDUP(R12,-2),VLOOKUP(R12,Enthalpy,16),VLOOKUP(ROUNDDOWN(R12,-2),Enthalpy,16)+(R12-ROUNDDOWN(R12,-2))/(ROUNDUP(R12,-2)-ROUNDDOWN(R12,-2))*(VLOOKUP(ROUNDUP(R12,-2),Enthalpy,16)-VLOOKUP(ROUNDDOWN(R12,-2),Enthalpy,16)))</f>
        <v>5507</v>
      </c>
      <c r="R19" s="74">
        <f t="shared" si="3"/>
        <v>791.90332040436317</v>
      </c>
      <c r="S19" s="74"/>
      <c r="T19" s="74"/>
      <c r="U19" s="74"/>
    </row>
    <row r="20" spans="1:21" ht="16.5" x14ac:dyDescent="0.3">
      <c r="A20" s="67" t="s">
        <v>55</v>
      </c>
      <c r="B20" s="88"/>
      <c r="C20" s="66"/>
      <c r="D20" s="150"/>
      <c r="E20" s="76">
        <f>E19*B8/B7</f>
        <v>12.94194606664586</v>
      </c>
      <c r="F20" s="66">
        <f>(IF(ROUNDDOWN(G12,-2)=ROUNDUP(G12,-2),VLOOKUP(G12,Enthalpy,22),VLOOKUP(ROUNDDOWN(G12,-2),Enthalpy,22)+(G12-ROUNDDOWN(G12,-2))/(ROUNDUP(G12,-2)-ROUNDDOWN(G12,-2))*(VLOOKUP(ROUNDUP(G12,-2),Enthalpy,22)-VLOOKUP(ROUNDDOWN(G12,-2),Enthalpy,22))))</f>
        <v>19510</v>
      </c>
      <c r="G20" s="73">
        <f t="shared" si="1"/>
        <v>252497.36776026073</v>
      </c>
      <c r="H20" s="213"/>
      <c r="I20" s="213"/>
      <c r="J20" s="213"/>
      <c r="K20" s="68"/>
      <c r="L20" s="71" t="s">
        <v>55</v>
      </c>
      <c r="M20" s="91"/>
      <c r="N20" s="70"/>
      <c r="O20" s="154"/>
      <c r="P20" s="78">
        <f>P19*M8/M7</f>
        <v>12.941946402105081</v>
      </c>
      <c r="Q20" s="70">
        <f>IF(ROUNDDOWN(R12,-2)=ROUNDUP(R12,-2),VLOOKUP(R12,Enthalpy,22),VLOOKUP(ROUNDDOWN(R12,-2),Enthalpy,22)+(R12-ROUNDDOWN(R12,-2))/(ROUNDUP(R12,-2)-ROUNDDOWN(R12,-2))*(VLOOKUP(ROUNDUP(R12,-2),Enthalpy,22)-VLOOKUP(ROUNDDOWN(R12,-2),Enthalpy,22)))</f>
        <v>19510</v>
      </c>
      <c r="R20" s="74">
        <f t="shared" si="3"/>
        <v>252497.37430507015</v>
      </c>
      <c r="S20" s="74"/>
      <c r="T20" s="74"/>
      <c r="U20" s="74"/>
    </row>
    <row r="21" spans="1:21" ht="16.5" x14ac:dyDescent="0.3">
      <c r="A21" s="67" t="s">
        <v>56</v>
      </c>
      <c r="B21" s="117"/>
      <c r="C21" s="66"/>
      <c r="D21" s="158"/>
      <c r="E21" s="79">
        <f>E19*B9/B7</f>
        <v>15.674134680715543</v>
      </c>
      <c r="F21" s="66">
        <f>(IF(ROUNDDOWN(G12,-2)=ROUNDUP(G12,-2),VLOOKUP(G12,Enthalpy,23),VLOOKUP(ROUNDDOWN(G12,-2),Enthalpy,23)+(G12-ROUNDDOWN(G12,-2))/(ROUNDUP(G12,-2)-ROUNDDOWN(G12,-2))*(VLOOKUP(ROUNDUP(G12,-2),Enthalpy,23)-VLOOKUP(ROUNDDOWN(G12,-2),Enthalpy,23))))</f>
        <v>27050</v>
      </c>
      <c r="G21" s="171">
        <f t="shared" si="1"/>
        <v>423985.34311335545</v>
      </c>
      <c r="H21" s="104"/>
      <c r="I21" s="104"/>
      <c r="J21" s="104"/>
      <c r="K21" s="68"/>
      <c r="L21" s="71" t="s">
        <v>56</v>
      </c>
      <c r="M21" s="97"/>
      <c r="N21" s="70"/>
      <c r="O21" s="161"/>
      <c r="P21" s="81">
        <f>P19*M9/M7</f>
        <v>15.674135086993932</v>
      </c>
      <c r="Q21" s="70">
        <f>IF(ROUNDDOWN(R12,-2)=ROUNDUP(R12,-2),VLOOKUP(R12,Enthalpy,23),VLOOKUP(ROUNDDOWN(R12,-2),Enthalpy,23)+(R12-ROUNDDOWN(R12,-2))/(ROUNDUP(R12,-2)-ROUNDDOWN(R12,-2))*(VLOOKUP(ROUNDUP(R12,-2),Enthalpy,23)-VLOOKUP(ROUNDDOWN(R12,-2),Enthalpy,23)))</f>
        <v>27050</v>
      </c>
      <c r="R21" s="173">
        <f t="shared" si="3"/>
        <v>423985.35410318588</v>
      </c>
      <c r="S21" s="74"/>
      <c r="T21" s="74"/>
      <c r="U21" s="74"/>
    </row>
    <row r="22" spans="1:21" x14ac:dyDescent="0.25">
      <c r="A22" s="67"/>
      <c r="B22" s="88">
        <f>SUM(B14:B21)</f>
        <v>1224.7786084921977</v>
      </c>
      <c r="C22" s="66"/>
      <c r="D22" s="192">
        <f>SUM(D14:D21)</f>
        <v>22969256.313416697</v>
      </c>
      <c r="E22" s="76">
        <f>ROUND(SUM(E14:E21),2)</f>
        <v>1151.8699999999999</v>
      </c>
      <c r="F22" s="67"/>
      <c r="G22" s="73">
        <f>SUM(G14:G21)</f>
        <v>6732920.8179199826</v>
      </c>
      <c r="H22" s="104"/>
      <c r="I22" s="104"/>
      <c r="J22" s="104"/>
      <c r="K22" s="68"/>
      <c r="L22" s="71"/>
      <c r="M22" s="91">
        <f>SUM(M14:M21)</f>
        <v>1224.778609370604</v>
      </c>
      <c r="N22" s="70"/>
      <c r="O22" s="194">
        <f>SUM(O14:O21)</f>
        <v>22969260.7423908</v>
      </c>
      <c r="P22" s="78">
        <f>ROUND(SUM(P14:P21),2)</f>
        <v>1151.8699999999999</v>
      </c>
      <c r="Q22" s="71"/>
      <c r="R22" s="74">
        <f>SUM(R14:R21)</f>
        <v>6732920.8222270273</v>
      </c>
      <c r="S22" s="74"/>
      <c r="T22" s="74"/>
      <c r="U22" s="74"/>
    </row>
    <row r="23" spans="1:21" x14ac:dyDescent="0.25">
      <c r="A23" s="67"/>
      <c r="B23" s="66"/>
      <c r="C23" s="66"/>
      <c r="D23" s="67"/>
      <c r="E23" s="67"/>
      <c r="F23" s="67"/>
      <c r="G23" s="67"/>
      <c r="H23" s="67"/>
      <c r="I23" s="67"/>
      <c r="J23" s="67"/>
      <c r="K23" s="68"/>
      <c r="L23" s="71"/>
      <c r="M23" s="70"/>
      <c r="N23" s="70"/>
      <c r="O23" s="71"/>
      <c r="P23" s="71"/>
      <c r="Q23" s="71"/>
      <c r="R23" s="71"/>
      <c r="S23" s="71"/>
      <c r="T23" s="71"/>
      <c r="U23" s="71"/>
    </row>
    <row r="24" spans="1:21" x14ac:dyDescent="0.25">
      <c r="A24" s="67"/>
      <c r="B24" s="75" t="s">
        <v>100</v>
      </c>
      <c r="C24" s="214">
        <f>D22-G22</f>
        <v>16236335.495496714</v>
      </c>
      <c r="D24" s="101" t="s">
        <v>76</v>
      </c>
      <c r="E24" s="130"/>
      <c r="F24" s="130"/>
      <c r="G24" s="215"/>
      <c r="H24" s="215"/>
      <c r="I24" s="215"/>
      <c r="J24" s="215"/>
      <c r="K24" s="68"/>
      <c r="L24" s="71"/>
      <c r="M24" s="77" t="s">
        <v>100</v>
      </c>
      <c r="N24" s="216">
        <f>O22-R22</f>
        <v>16236339.920163773</v>
      </c>
      <c r="O24" s="102" t="s">
        <v>76</v>
      </c>
      <c r="P24" s="113"/>
      <c r="Q24" s="113"/>
      <c r="R24" s="217"/>
      <c r="S24" s="217"/>
      <c r="T24" s="217"/>
      <c r="U24" s="217"/>
    </row>
    <row r="25" spans="1:21" x14ac:dyDescent="0.25">
      <c r="A25" s="67"/>
      <c r="B25" s="66"/>
      <c r="C25" s="66"/>
      <c r="D25" s="67"/>
      <c r="E25" s="67"/>
      <c r="F25" s="67"/>
      <c r="G25" s="67"/>
      <c r="H25" s="67"/>
      <c r="I25" s="67"/>
      <c r="J25" s="67"/>
      <c r="K25" s="68"/>
      <c r="L25" s="71"/>
      <c r="M25" s="70"/>
      <c r="N25" s="70"/>
      <c r="O25" s="71"/>
      <c r="P25" s="71"/>
      <c r="Q25" s="71"/>
      <c r="R25" s="71"/>
      <c r="S25" s="71"/>
      <c r="T25" s="71"/>
      <c r="U25" s="71"/>
    </row>
    <row r="26" spans="1:21" ht="16.5" x14ac:dyDescent="0.3">
      <c r="A26" s="67" t="s">
        <v>101</v>
      </c>
      <c r="B26" s="218">
        <v>122500</v>
      </c>
      <c r="C26" s="75" t="s">
        <v>100</v>
      </c>
      <c r="D26" s="150">
        <f>(E20*B26)</f>
        <v>1585388.3931641178</v>
      </c>
      <c r="E26" s="67" t="s">
        <v>76</v>
      </c>
      <c r="F26" s="67"/>
      <c r="G26" s="67" t="s">
        <v>223</v>
      </c>
      <c r="H26" s="67"/>
      <c r="I26" s="67"/>
      <c r="J26" s="67"/>
      <c r="K26" s="68"/>
      <c r="L26" s="71" t="s">
        <v>101</v>
      </c>
      <c r="M26" s="291">
        <v>122500</v>
      </c>
      <c r="N26" s="77" t="s">
        <v>100</v>
      </c>
      <c r="O26" s="154">
        <f>P20*M26</f>
        <v>1585388.4342578724</v>
      </c>
      <c r="P26" s="71" t="s">
        <v>76</v>
      </c>
      <c r="Q26" s="71"/>
      <c r="R26" s="71" t="s">
        <v>223</v>
      </c>
      <c r="S26" s="71"/>
      <c r="T26" s="71"/>
      <c r="U26" s="71"/>
    </row>
    <row r="27" spans="1:21" ht="16.5" x14ac:dyDescent="0.3">
      <c r="A27" s="67" t="s">
        <v>102</v>
      </c>
      <c r="B27" s="218">
        <v>177900</v>
      </c>
      <c r="C27" s="75" t="s">
        <v>100</v>
      </c>
      <c r="D27" s="150">
        <f>(E21*B27)</f>
        <v>2788428.5596992951</v>
      </c>
      <c r="E27" s="67" t="s">
        <v>76</v>
      </c>
      <c r="F27" s="67"/>
      <c r="G27" s="67"/>
      <c r="H27" s="67"/>
      <c r="I27" s="67"/>
      <c r="J27" s="67"/>
      <c r="K27" s="68"/>
      <c r="L27" s="71" t="s">
        <v>102</v>
      </c>
      <c r="M27" s="291">
        <v>177900</v>
      </c>
      <c r="N27" s="77" t="s">
        <v>100</v>
      </c>
      <c r="O27" s="154">
        <f>ROUND(P21*M27,-1)</f>
        <v>2788430</v>
      </c>
      <c r="P27" s="71" t="s">
        <v>76</v>
      </c>
      <c r="Q27" s="71"/>
      <c r="R27" s="71"/>
      <c r="S27" s="71"/>
      <c r="T27" s="71"/>
      <c r="U27" s="71"/>
    </row>
    <row r="28" spans="1:21" x14ac:dyDescent="0.25">
      <c r="A28" s="67"/>
      <c r="B28" s="66"/>
      <c r="C28" s="66"/>
      <c r="D28" s="67"/>
      <c r="E28" s="67"/>
      <c r="F28" s="67"/>
      <c r="G28" s="67"/>
      <c r="H28" s="67"/>
      <c r="I28" s="67"/>
      <c r="J28" s="67"/>
      <c r="K28" s="68"/>
      <c r="L28" s="71"/>
      <c r="M28" s="70"/>
      <c r="N28" s="70"/>
      <c r="O28" s="71"/>
      <c r="P28" s="71"/>
      <c r="Q28" s="71"/>
      <c r="R28" s="71"/>
      <c r="S28" s="71"/>
      <c r="T28" s="71"/>
      <c r="U28" s="71"/>
    </row>
    <row r="29" spans="1:21" ht="15.75" thickBot="1" x14ac:dyDescent="0.3">
      <c r="A29" s="67" t="s">
        <v>103</v>
      </c>
      <c r="B29" s="66"/>
      <c r="C29" s="66"/>
      <c r="D29" s="67"/>
      <c r="E29" s="67"/>
      <c r="F29" s="67"/>
      <c r="G29" s="67"/>
      <c r="H29" s="67"/>
      <c r="I29" s="67"/>
      <c r="J29" s="67"/>
      <c r="K29" s="68"/>
      <c r="L29" s="71" t="s">
        <v>103</v>
      </c>
      <c r="M29" s="70"/>
      <c r="N29" s="70"/>
      <c r="O29" s="71"/>
      <c r="P29" s="71"/>
      <c r="Q29" s="71"/>
      <c r="R29" s="71"/>
      <c r="S29" s="71"/>
      <c r="T29" s="71"/>
      <c r="U29" s="71"/>
    </row>
    <row r="30" spans="1:21" ht="15.75" thickBot="1" x14ac:dyDescent="0.3">
      <c r="A30" s="75" t="s">
        <v>100</v>
      </c>
      <c r="B30" s="219">
        <f>C24+D26+D27</f>
        <v>20610152.44836013</v>
      </c>
      <c r="C30" s="66" t="s">
        <v>76</v>
      </c>
      <c r="D30" s="67"/>
      <c r="E30" s="67"/>
      <c r="F30" s="67"/>
      <c r="G30" s="67"/>
      <c r="H30" s="67"/>
      <c r="I30" s="67"/>
      <c r="J30" s="67"/>
      <c r="K30" s="68"/>
      <c r="L30" s="77" t="s">
        <v>100</v>
      </c>
      <c r="M30" s="220">
        <f>N24+O26+O27</f>
        <v>20610158.354421645</v>
      </c>
      <c r="N30" s="70" t="s">
        <v>76</v>
      </c>
      <c r="O30" s="71"/>
      <c r="P30" s="71"/>
      <c r="Q30" s="71"/>
      <c r="R30" s="71"/>
      <c r="S30" s="71"/>
      <c r="T30" s="71"/>
      <c r="U30" s="71"/>
    </row>
    <row r="31" spans="1:21" x14ac:dyDescent="0.25">
      <c r="A31" s="67"/>
      <c r="B31" s="66"/>
      <c r="C31" s="66"/>
      <c r="D31" s="67"/>
      <c r="E31" s="67"/>
      <c r="F31" s="67"/>
      <c r="G31" s="67"/>
      <c r="H31" s="67"/>
      <c r="I31" s="67"/>
      <c r="J31" s="67"/>
      <c r="K31" s="68"/>
      <c r="L31" s="71"/>
      <c r="M31" s="70"/>
      <c r="N31" s="70"/>
      <c r="O31" s="71"/>
      <c r="P31" s="71"/>
      <c r="Q31" s="71"/>
      <c r="R31" s="71"/>
      <c r="S31" s="71"/>
      <c r="T31" s="71"/>
      <c r="U31" s="71"/>
    </row>
    <row r="32" spans="1:21" x14ac:dyDescent="0.25">
      <c r="A32" s="67" t="s">
        <v>104</v>
      </c>
      <c r="B32" s="66"/>
      <c r="C32" s="66"/>
      <c r="D32" s="67"/>
      <c r="E32" s="67"/>
      <c r="F32" s="67"/>
      <c r="G32" s="67"/>
      <c r="H32" s="67"/>
      <c r="I32" s="67"/>
      <c r="J32" s="67"/>
      <c r="K32" s="68"/>
      <c r="L32" s="71" t="s">
        <v>104</v>
      </c>
      <c r="M32" s="70"/>
      <c r="N32" s="70"/>
      <c r="O32" s="71"/>
      <c r="P32" s="71"/>
      <c r="Q32" s="71"/>
      <c r="R32" s="71"/>
      <c r="S32" s="71"/>
      <c r="T32" s="71"/>
      <c r="U32" s="71"/>
    </row>
    <row r="33" spans="1:21" ht="16.5" x14ac:dyDescent="0.3">
      <c r="A33" s="75" t="s">
        <v>1</v>
      </c>
      <c r="B33" s="67" t="s">
        <v>105</v>
      </c>
      <c r="C33" s="66"/>
      <c r="D33" s="67"/>
      <c r="E33" s="67"/>
      <c r="F33" s="67"/>
      <c r="G33" s="67"/>
      <c r="H33" s="67"/>
      <c r="I33" s="67"/>
      <c r="J33" s="67"/>
      <c r="K33" s="68"/>
      <c r="L33" s="77" t="s">
        <v>1</v>
      </c>
      <c r="M33" s="71" t="s">
        <v>105</v>
      </c>
      <c r="N33" s="70"/>
      <c r="O33" s="71"/>
      <c r="P33" s="71"/>
      <c r="Q33" s="71"/>
      <c r="R33" s="71"/>
      <c r="S33" s="71"/>
      <c r="T33" s="71"/>
      <c r="U33" s="71"/>
    </row>
    <row r="34" spans="1:21" x14ac:dyDescent="0.25">
      <c r="A34" s="75" t="s">
        <v>1</v>
      </c>
      <c r="B34" s="186">
        <f>(E19+E20+E21) / E22 * 'Step 1'!D37</f>
        <v>3.2428427111006249E-2</v>
      </c>
      <c r="C34" s="101" t="s">
        <v>66</v>
      </c>
      <c r="D34" s="67"/>
      <c r="E34" s="67"/>
      <c r="F34" s="67"/>
      <c r="G34" s="67"/>
      <c r="H34" s="67"/>
      <c r="I34" s="67"/>
      <c r="J34" s="67"/>
      <c r="K34" s="68"/>
      <c r="L34" s="77" t="s">
        <v>1</v>
      </c>
      <c r="M34" s="187">
        <f>(P19+P20+P21) / P22 * 'Step 1'!O37</f>
        <v>3.2428427951561048E-2</v>
      </c>
      <c r="N34" s="102" t="s">
        <v>66</v>
      </c>
      <c r="O34" s="71"/>
      <c r="P34" s="71"/>
      <c r="Q34" s="71"/>
      <c r="R34" s="71"/>
      <c r="S34" s="71"/>
      <c r="T34" s="71"/>
      <c r="U34" s="71"/>
    </row>
    <row r="35" spans="1:21" x14ac:dyDescent="0.25">
      <c r="A35" s="101" t="str">
        <f>CONCATENATE("Vapor pressure of sulfur at ", D4, " °F  from Fig. 22-22 =")</f>
        <v>Vapor pressure of sulfur at 700 °F  from Fig. 22-22 =</v>
      </c>
      <c r="B35" s="186"/>
      <c r="C35" s="101"/>
      <c r="D35" s="67"/>
      <c r="E35" s="66">
        <v>0.3</v>
      </c>
      <c r="F35" s="67" t="s">
        <v>224</v>
      </c>
      <c r="G35" s="67"/>
      <c r="H35" s="67"/>
      <c r="I35" s="67"/>
      <c r="J35" s="67"/>
      <c r="K35" s="68"/>
      <c r="L35" s="102" t="str">
        <f>CONCATENATE("Vapor pressure of sulfur at ", O4, " °F  from Fig. 22-22 =")</f>
        <v>Vapor pressure of sulfur at 700 °F  from Fig. 22-22 =</v>
      </c>
      <c r="M35" s="187"/>
      <c r="N35" s="102"/>
      <c r="O35" s="71"/>
      <c r="P35" s="283">
        <v>0.3</v>
      </c>
      <c r="Q35" s="71" t="s">
        <v>224</v>
      </c>
      <c r="R35" s="71"/>
      <c r="S35" s="71"/>
      <c r="T35" s="71"/>
      <c r="U35" s="71"/>
    </row>
    <row r="36" spans="1:21" ht="15.75" thickBot="1" x14ac:dyDescent="0.3">
      <c r="A36" s="75"/>
      <c r="B36" s="186"/>
      <c r="C36" s="101"/>
      <c r="D36" s="67"/>
      <c r="E36" s="67"/>
      <c r="F36" s="67"/>
      <c r="G36" s="67"/>
      <c r="H36" s="67"/>
      <c r="I36" s="67"/>
      <c r="J36" s="67"/>
      <c r="K36" s="68"/>
      <c r="L36" s="77"/>
      <c r="M36" s="187"/>
      <c r="N36" s="102"/>
      <c r="O36" s="71"/>
      <c r="P36" s="71"/>
      <c r="Q36" s="71"/>
      <c r="R36" s="71"/>
      <c r="S36" s="71"/>
      <c r="T36" s="71"/>
      <c r="U36" s="71"/>
    </row>
    <row r="37" spans="1:21" ht="15.75" thickBot="1" x14ac:dyDescent="0.3">
      <c r="A37" s="221" t="str">
        <f>IF(E35&gt;B34,"No sulfur is condensed.","Sulfur condensation is thermodynamically possible.")</f>
        <v>No sulfur is condensed.</v>
      </c>
      <c r="B37" s="222"/>
      <c r="C37" s="222"/>
      <c r="D37" s="223"/>
      <c r="E37" s="223"/>
      <c r="F37" s="223"/>
      <c r="G37" s="224"/>
      <c r="H37" s="67"/>
      <c r="I37" s="67"/>
      <c r="J37" s="67"/>
      <c r="K37" s="68"/>
      <c r="L37" s="225" t="str">
        <f>IF(P35&gt;M34,"No sulfur is condensed.","Sulfur condensation is thermodynamically possible.")</f>
        <v>No sulfur is condensed.</v>
      </c>
      <c r="M37" s="226"/>
      <c r="N37" s="226"/>
      <c r="O37" s="227"/>
      <c r="P37" s="227"/>
      <c r="Q37" s="227"/>
      <c r="R37" s="228"/>
      <c r="S37" s="71"/>
      <c r="T37" s="71"/>
      <c r="U37" s="71"/>
    </row>
    <row r="38" spans="1:21" x14ac:dyDescent="0.25">
      <c r="A38" s="67"/>
      <c r="B38" s="66"/>
      <c r="C38" s="66"/>
      <c r="D38" s="67"/>
      <c r="E38" s="67"/>
      <c r="F38" s="67"/>
      <c r="G38" s="67"/>
      <c r="H38" s="67"/>
      <c r="I38" s="67"/>
      <c r="J38" s="67"/>
      <c r="K38" s="68"/>
      <c r="L38" s="71"/>
      <c r="M38" s="70"/>
      <c r="N38" s="70"/>
      <c r="O38" s="71"/>
      <c r="P38" s="71"/>
      <c r="Q38" s="71"/>
      <c r="R38" s="71"/>
      <c r="S38" s="71"/>
      <c r="T38" s="71"/>
      <c r="U38" s="71"/>
    </row>
    <row r="41" spans="1:21" x14ac:dyDescent="0.25">
      <c r="C41" s="58" t="s">
        <v>327</v>
      </c>
    </row>
    <row r="42" spans="1:21" x14ac:dyDescent="0.25">
      <c r="C42" s="58" t="s">
        <v>328</v>
      </c>
    </row>
    <row r="43" spans="1:21" x14ac:dyDescent="0.25">
      <c r="C43" s="58" t="s">
        <v>329</v>
      </c>
    </row>
    <row r="44" spans="1:21" x14ac:dyDescent="0.25">
      <c r="C44" s="58" t="s">
        <v>330</v>
      </c>
    </row>
    <row r="45" spans="1:21" x14ac:dyDescent="0.25">
      <c r="C45" s="58" t="s">
        <v>331</v>
      </c>
    </row>
  </sheetData>
  <sheetProtection password="F030" sheet="1" objects="1" scenarios="1"/>
  <mergeCells count="5">
    <mergeCell ref="C11:D11"/>
    <mergeCell ref="F11:G11"/>
    <mergeCell ref="N11:O11"/>
    <mergeCell ref="Q11:R11"/>
    <mergeCell ref="H19:J22"/>
  </mergeCells>
  <phoneticPr fontId="21"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topLeftCell="C1" zoomScale="80" zoomScaleNormal="80" workbookViewId="0">
      <selection activeCell="O25" sqref="O25"/>
    </sheetView>
  </sheetViews>
  <sheetFormatPr defaultRowHeight="15" x14ac:dyDescent="0.25"/>
  <cols>
    <col min="1" max="1" width="21.28515625" style="48" customWidth="1"/>
    <col min="2" max="2" width="12.28515625" style="48" customWidth="1"/>
    <col min="3" max="3" width="12.5703125" style="48" customWidth="1"/>
    <col min="4" max="4" width="11.28515625" style="48" customWidth="1"/>
    <col min="5" max="11" width="9.140625" style="48"/>
    <col min="12" max="12" width="21.85546875" style="48" customWidth="1"/>
    <col min="13" max="13" width="12.28515625" style="48" customWidth="1"/>
    <col min="14" max="14" width="12" style="48" customWidth="1"/>
    <col min="15" max="15" width="12.28515625" style="48" customWidth="1"/>
    <col min="16" max="16384" width="9.140625" style="48"/>
  </cols>
  <sheetData>
    <row r="1" spans="1:21" ht="20.25" x14ac:dyDescent="0.3">
      <c r="A1" s="65" t="s">
        <v>92</v>
      </c>
      <c r="B1" s="66"/>
      <c r="C1" s="66"/>
      <c r="D1" s="67"/>
      <c r="E1" s="67"/>
      <c r="F1" s="67"/>
      <c r="G1" s="67"/>
      <c r="H1" s="67"/>
      <c r="I1" s="67"/>
      <c r="J1" s="67"/>
      <c r="K1" s="68"/>
      <c r="L1" s="69" t="s">
        <v>92</v>
      </c>
      <c r="M1" s="70"/>
      <c r="N1" s="70"/>
      <c r="O1" s="71"/>
      <c r="P1" s="71"/>
      <c r="Q1" s="71"/>
      <c r="R1" s="71"/>
      <c r="S1" s="71"/>
      <c r="T1" s="71"/>
      <c r="U1" s="71"/>
    </row>
    <row r="2" spans="1:21" x14ac:dyDescent="0.25">
      <c r="A2" s="67"/>
      <c r="B2" s="66"/>
      <c r="C2" s="66"/>
      <c r="D2" s="67"/>
      <c r="E2" s="67"/>
      <c r="F2" s="67"/>
      <c r="G2" s="67"/>
      <c r="H2" s="67"/>
      <c r="I2" s="67"/>
      <c r="J2" s="67"/>
      <c r="K2" s="68"/>
      <c r="L2" s="71"/>
      <c r="M2" s="70"/>
      <c r="N2" s="70"/>
      <c r="O2" s="71"/>
      <c r="P2" s="71"/>
      <c r="Q2" s="71"/>
      <c r="R2" s="71"/>
      <c r="S2" s="71"/>
      <c r="T2" s="71"/>
      <c r="U2" s="71"/>
    </row>
    <row r="3" spans="1:21" x14ac:dyDescent="0.25">
      <c r="A3" s="67" t="s">
        <v>106</v>
      </c>
      <c r="B3" s="66"/>
      <c r="C3" s="66"/>
      <c r="D3" s="67">
        <v>0.5</v>
      </c>
      <c r="E3" s="67" t="s">
        <v>62</v>
      </c>
      <c r="F3" s="67"/>
      <c r="G3" s="67"/>
      <c r="H3" s="67"/>
      <c r="I3" s="67"/>
      <c r="J3" s="67"/>
      <c r="K3" s="68"/>
      <c r="L3" s="71" t="s">
        <v>106</v>
      </c>
      <c r="M3" s="70"/>
      <c r="N3" s="70"/>
      <c r="O3" s="289">
        <v>0.5</v>
      </c>
      <c r="P3" s="71" t="s">
        <v>62</v>
      </c>
      <c r="Q3" s="71"/>
      <c r="R3" s="71"/>
      <c r="S3" s="71"/>
      <c r="T3" s="71"/>
      <c r="U3" s="71"/>
    </row>
    <row r="4" spans="1:21" x14ac:dyDescent="0.25">
      <c r="A4" s="67" t="s">
        <v>107</v>
      </c>
      <c r="B4" s="66"/>
      <c r="C4" s="66"/>
      <c r="D4" s="75">
        <v>350</v>
      </c>
      <c r="E4" s="67" t="s">
        <v>17</v>
      </c>
      <c r="F4" s="67"/>
      <c r="G4" s="67"/>
      <c r="H4" s="67"/>
      <c r="I4" s="67"/>
      <c r="J4" s="67"/>
      <c r="K4" s="68"/>
      <c r="L4" s="71" t="s">
        <v>107</v>
      </c>
      <c r="M4" s="70"/>
      <c r="N4" s="70"/>
      <c r="O4" s="290">
        <v>350</v>
      </c>
      <c r="P4" s="71" t="s">
        <v>17</v>
      </c>
      <c r="Q4" s="71"/>
      <c r="R4" s="71"/>
      <c r="S4" s="71"/>
      <c r="T4" s="71"/>
      <c r="U4" s="71"/>
    </row>
    <row r="5" spans="1:21" x14ac:dyDescent="0.25">
      <c r="A5" s="67" t="s">
        <v>253</v>
      </c>
      <c r="B5" s="66"/>
      <c r="C5" s="66"/>
      <c r="D5" s="67"/>
      <c r="E5" s="67"/>
      <c r="F5" s="67">
        <v>1.1000000000000001E-3</v>
      </c>
      <c r="G5" s="67" t="s">
        <v>108</v>
      </c>
      <c r="H5" s="67"/>
      <c r="I5" s="67"/>
      <c r="J5" s="67"/>
      <c r="K5" s="68"/>
      <c r="L5" s="71" t="s">
        <v>253</v>
      </c>
      <c r="M5" s="70"/>
      <c r="N5" s="70"/>
      <c r="O5" s="71"/>
      <c r="P5" s="71"/>
      <c r="Q5" s="289">
        <v>1.1000000000000001E-3</v>
      </c>
      <c r="R5" s="71" t="s">
        <v>108</v>
      </c>
      <c r="S5" s="71"/>
      <c r="T5" s="71"/>
      <c r="U5" s="71"/>
    </row>
    <row r="6" spans="1:21" x14ac:dyDescent="0.25">
      <c r="A6" s="67" t="s">
        <v>162</v>
      </c>
      <c r="B6" s="66"/>
      <c r="C6" s="66"/>
      <c r="D6" s="67"/>
      <c r="E6" s="67"/>
      <c r="F6" s="67"/>
      <c r="G6" s="67"/>
      <c r="H6" s="67"/>
      <c r="I6" s="67"/>
      <c r="J6" s="67"/>
      <c r="K6" s="68"/>
      <c r="L6" s="71" t="s">
        <v>162</v>
      </c>
      <c r="M6" s="70"/>
      <c r="N6" s="70"/>
      <c r="O6" s="71"/>
      <c r="P6" s="71"/>
      <c r="Q6" s="71"/>
      <c r="R6" s="71"/>
      <c r="S6" s="71"/>
      <c r="T6" s="71"/>
      <c r="U6" s="71"/>
    </row>
    <row r="7" spans="1:21" ht="16.5" x14ac:dyDescent="0.3">
      <c r="A7" s="67"/>
      <c r="B7" s="75">
        <v>14.5</v>
      </c>
      <c r="C7" s="67" t="s">
        <v>97</v>
      </c>
      <c r="D7" s="67"/>
      <c r="E7" s="67"/>
      <c r="F7" s="67"/>
      <c r="G7" s="67" t="s">
        <v>222</v>
      </c>
      <c r="H7" s="67"/>
      <c r="I7" s="67"/>
      <c r="J7" s="67"/>
      <c r="K7" s="68"/>
      <c r="L7" s="71"/>
      <c r="M7" s="290">
        <v>14.5</v>
      </c>
      <c r="N7" s="71" t="s">
        <v>97</v>
      </c>
      <c r="O7" s="71"/>
      <c r="P7" s="71"/>
      <c r="Q7" s="71" t="s">
        <v>222</v>
      </c>
      <c r="R7" s="71"/>
      <c r="S7" s="71"/>
      <c r="T7" s="71"/>
      <c r="U7" s="71"/>
    </row>
    <row r="8" spans="1:21" ht="16.5" x14ac:dyDescent="0.3">
      <c r="A8" s="67"/>
      <c r="B8" s="75">
        <v>85.5</v>
      </c>
      <c r="C8" s="67" t="s">
        <v>98</v>
      </c>
      <c r="D8" s="67"/>
      <c r="E8" s="67"/>
      <c r="F8" s="67"/>
      <c r="G8" s="67"/>
      <c r="H8" s="67"/>
      <c r="I8" s="67"/>
      <c r="J8" s="67"/>
      <c r="K8" s="68"/>
      <c r="L8" s="71"/>
      <c r="M8" s="290">
        <v>85.5</v>
      </c>
      <c r="N8" s="71" t="s">
        <v>98</v>
      </c>
      <c r="O8" s="71"/>
      <c r="P8" s="71"/>
      <c r="Q8" s="71"/>
      <c r="R8" s="71"/>
      <c r="S8" s="71"/>
      <c r="T8" s="71"/>
      <c r="U8" s="71"/>
    </row>
    <row r="9" spans="1:21" x14ac:dyDescent="0.25">
      <c r="A9" s="67" t="s">
        <v>109</v>
      </c>
      <c r="B9" s="66"/>
      <c r="C9" s="66"/>
      <c r="D9" s="67"/>
      <c r="E9" s="67"/>
      <c r="F9" s="67"/>
      <c r="G9" s="67"/>
      <c r="H9" s="67"/>
      <c r="I9" s="67"/>
      <c r="J9" s="67"/>
      <c r="K9" s="68"/>
      <c r="L9" s="71" t="s">
        <v>109</v>
      </c>
      <c r="M9" s="70"/>
      <c r="N9" s="70"/>
      <c r="O9" s="71"/>
      <c r="P9" s="71"/>
      <c r="Q9" s="71"/>
      <c r="R9" s="71"/>
      <c r="S9" s="71"/>
      <c r="T9" s="71"/>
      <c r="U9" s="71"/>
    </row>
    <row r="10" spans="1:21" ht="16.5" x14ac:dyDescent="0.3">
      <c r="A10" s="67"/>
      <c r="B10" s="76">
        <f>(B7/B8*B11)</f>
        <v>3.8240196023121498</v>
      </c>
      <c r="C10" s="67" t="s">
        <v>110</v>
      </c>
      <c r="D10" s="67"/>
      <c r="E10" s="67"/>
      <c r="F10" s="67"/>
      <c r="G10" s="67"/>
      <c r="H10" s="67"/>
      <c r="I10" s="67"/>
      <c r="J10" s="67"/>
      <c r="K10" s="68"/>
      <c r="L10" s="71"/>
      <c r="M10" s="78">
        <f>M7/M8*M11</f>
        <v>3.8240197014319128</v>
      </c>
      <c r="N10" s="71" t="s">
        <v>110</v>
      </c>
      <c r="O10" s="71"/>
      <c r="P10" s="71"/>
      <c r="Q10" s="71"/>
      <c r="R10" s="71"/>
      <c r="S10" s="71"/>
      <c r="T10" s="71"/>
      <c r="U10" s="71"/>
    </row>
    <row r="11" spans="1:21" ht="16.5" x14ac:dyDescent="0.3">
      <c r="A11" s="67"/>
      <c r="B11" s="76">
        <f>((2*'Step 2'!B19) / (8+6*B7/B8))</f>
        <v>22.548529379150953</v>
      </c>
      <c r="C11" s="67" t="s">
        <v>111</v>
      </c>
      <c r="D11" s="67"/>
      <c r="E11" s="67"/>
      <c r="F11" s="67"/>
      <c r="G11" s="67"/>
      <c r="H11" s="67"/>
      <c r="I11" s="67"/>
      <c r="J11" s="67"/>
      <c r="K11" s="68"/>
      <c r="L11" s="71"/>
      <c r="M11" s="78">
        <f>(2*'Step 2'!M19) / (8+6*M7/M8)</f>
        <v>22.548529963615763</v>
      </c>
      <c r="N11" s="71" t="s">
        <v>111</v>
      </c>
      <c r="O11" s="71"/>
      <c r="P11" s="71"/>
      <c r="Q11" s="71"/>
      <c r="R11" s="71"/>
      <c r="S11" s="71"/>
      <c r="T11" s="71"/>
      <c r="U11" s="71"/>
    </row>
    <row r="12" spans="1:21" x14ac:dyDescent="0.25">
      <c r="A12" s="67" t="s">
        <v>112</v>
      </c>
      <c r="B12" s="66"/>
      <c r="C12" s="66"/>
      <c r="D12" s="67"/>
      <c r="E12" s="67"/>
      <c r="F12" s="67"/>
      <c r="G12" s="67"/>
      <c r="H12" s="67"/>
      <c r="I12" s="67"/>
      <c r="J12" s="67"/>
      <c r="K12" s="68"/>
      <c r="L12" s="71" t="s">
        <v>112</v>
      </c>
      <c r="M12" s="70"/>
      <c r="N12" s="70"/>
      <c r="O12" s="71"/>
      <c r="P12" s="71"/>
      <c r="Q12" s="71"/>
      <c r="R12" s="71"/>
      <c r="S12" s="71"/>
      <c r="T12" s="71"/>
      <c r="U12" s="71"/>
    </row>
    <row r="13" spans="1:21" x14ac:dyDescent="0.25">
      <c r="A13" s="75" t="s">
        <v>1</v>
      </c>
      <c r="B13" s="101" t="str">
        <f>CONCATENATE("(",F5,"*14.7 / (",'Step 1'!B37-D3," - ",F5,"*14.7)) * (",'Step 2'!E22," - (",ROUND(B10,2)," + ",ROUND(B11,2),"))")</f>
        <v>(0.0011*14.7 / (18.6 - 0.0011*14.7)) * (1151.87 - (3.82 + 22.55))</v>
      </c>
      <c r="C13" s="66"/>
      <c r="D13" s="67"/>
      <c r="E13" s="67"/>
      <c r="F13" s="67"/>
      <c r="G13" s="67"/>
      <c r="H13" s="67"/>
      <c r="I13" s="67"/>
      <c r="J13" s="67"/>
      <c r="K13" s="68"/>
      <c r="L13" s="77" t="s">
        <v>1</v>
      </c>
      <c r="M13" s="102" t="str">
        <f>CONCATENATE("(",Q5,"*14.7 / (",'Step 1'!M37-O3," - ",Q5,"*14.7)) * (",'Step 2'!P22," - (",ROUND(M10,2)," + ",ROUND(M11,2),"))")</f>
        <v>(0.0011*14.7 / (18.6 - 0.0011*14.7)) * (1151.87 - (3.82 + 22.55))</v>
      </c>
      <c r="N13" s="70"/>
      <c r="O13" s="71"/>
      <c r="P13" s="71"/>
      <c r="Q13" s="71"/>
      <c r="R13" s="71"/>
      <c r="S13" s="71"/>
      <c r="T13" s="71"/>
      <c r="U13" s="71"/>
    </row>
    <row r="14" spans="1:21" x14ac:dyDescent="0.25">
      <c r="A14" s="75" t="s">
        <v>1</v>
      </c>
      <c r="B14" s="88">
        <f>F5*14.7/('Step 1'!B37-'Step 3'!D3-'Step 3'!F5*14.7) * ('Step 2'!E22 - (B10+B11))</f>
        <v>0.97930802116516036</v>
      </c>
      <c r="C14" s="66" t="s">
        <v>74</v>
      </c>
      <c r="D14" s="67"/>
      <c r="E14" s="67"/>
      <c r="F14" s="67"/>
      <c r="G14" s="67"/>
      <c r="H14" s="67"/>
      <c r="I14" s="67"/>
      <c r="J14" s="67"/>
      <c r="K14" s="68"/>
      <c r="L14" s="77" t="s">
        <v>1</v>
      </c>
      <c r="M14" s="91">
        <f>Q5*14.7/('Step 1'!M37-'Step 3'!O3-'Step 3'!Q5*14.7) * ('Step 2'!P22 - (M10+M11))</f>
        <v>0.97930802057036559</v>
      </c>
      <c r="N14" s="70" t="s">
        <v>74</v>
      </c>
      <c r="O14" s="71"/>
      <c r="P14" s="71"/>
      <c r="Q14" s="71"/>
      <c r="R14" s="71"/>
      <c r="S14" s="71"/>
      <c r="T14" s="71"/>
      <c r="U14" s="71"/>
    </row>
    <row r="15" spans="1:21" x14ac:dyDescent="0.25">
      <c r="A15" s="75"/>
      <c r="B15" s="88"/>
      <c r="C15" s="66"/>
      <c r="D15" s="67"/>
      <c r="E15" s="67"/>
      <c r="F15" s="67"/>
      <c r="G15" s="67"/>
      <c r="H15" s="67"/>
      <c r="I15" s="67"/>
      <c r="J15" s="67"/>
      <c r="K15" s="68"/>
      <c r="L15" s="77"/>
      <c r="M15" s="91"/>
      <c r="N15" s="70"/>
      <c r="O15" s="71"/>
      <c r="P15" s="71"/>
      <c r="Q15" s="71"/>
      <c r="R15" s="71"/>
      <c r="S15" s="71"/>
      <c r="T15" s="71"/>
      <c r="U15" s="71"/>
    </row>
    <row r="16" spans="1:21" ht="16.5" x14ac:dyDescent="0.3">
      <c r="A16" s="75" t="s">
        <v>55</v>
      </c>
      <c r="B16" s="76">
        <f>(B7/100*B14)</f>
        <v>0.14199966306894823</v>
      </c>
      <c r="C16" s="101" t="s">
        <v>113</v>
      </c>
      <c r="D16" s="67"/>
      <c r="E16" s="67"/>
      <c r="F16" s="67"/>
      <c r="G16" s="67"/>
      <c r="H16" s="67"/>
      <c r="I16" s="67"/>
      <c r="J16" s="67"/>
      <c r="K16" s="68"/>
      <c r="L16" s="77" t="s">
        <v>55</v>
      </c>
      <c r="M16" s="78">
        <f>M7/100*M14</f>
        <v>0.141999662982703</v>
      </c>
      <c r="N16" s="102" t="s">
        <v>113</v>
      </c>
      <c r="O16" s="71"/>
      <c r="P16" s="71"/>
      <c r="Q16" s="71"/>
      <c r="R16" s="71"/>
      <c r="S16" s="71"/>
      <c r="T16" s="71"/>
      <c r="U16" s="71"/>
    </row>
    <row r="17" spans="1:21" x14ac:dyDescent="0.25">
      <c r="A17" s="75"/>
      <c r="B17" s="79">
        <f>B10-B16</f>
        <v>3.6820199392432014</v>
      </c>
      <c r="C17" s="139" t="s">
        <v>114</v>
      </c>
      <c r="D17" s="67"/>
      <c r="E17" s="67"/>
      <c r="F17" s="67"/>
      <c r="G17" s="67"/>
      <c r="H17" s="67"/>
      <c r="I17" s="67"/>
      <c r="J17" s="67"/>
      <c r="K17" s="68"/>
      <c r="L17" s="77"/>
      <c r="M17" s="81">
        <f>M10-M16</f>
        <v>3.6820200384492097</v>
      </c>
      <c r="N17" s="142" t="s">
        <v>114</v>
      </c>
      <c r="O17" s="71"/>
      <c r="P17" s="71"/>
      <c r="Q17" s="71"/>
      <c r="R17" s="71"/>
      <c r="S17" s="71"/>
      <c r="T17" s="71"/>
      <c r="U17" s="71"/>
    </row>
    <row r="18" spans="1:21" ht="16.5" x14ac:dyDescent="0.3">
      <c r="A18" s="75" t="s">
        <v>56</v>
      </c>
      <c r="B18" s="76">
        <f>(B8/100*B14)</f>
        <v>0.83730835809621207</v>
      </c>
      <c r="C18" s="101" t="s">
        <v>113</v>
      </c>
      <c r="D18" s="67"/>
      <c r="E18" s="67"/>
      <c r="F18" s="67"/>
      <c r="G18" s="67"/>
      <c r="H18" s="67"/>
      <c r="I18" s="67"/>
      <c r="J18" s="67"/>
      <c r="K18" s="68"/>
      <c r="L18" s="77" t="s">
        <v>56</v>
      </c>
      <c r="M18" s="78">
        <f>ROUND(M8/100*M14,2)</f>
        <v>0.84</v>
      </c>
      <c r="N18" s="102" t="s">
        <v>113</v>
      </c>
      <c r="O18" s="71"/>
      <c r="P18" s="71"/>
      <c r="Q18" s="71"/>
      <c r="R18" s="71"/>
      <c r="S18" s="71"/>
      <c r="T18" s="71"/>
      <c r="U18" s="71"/>
    </row>
    <row r="19" spans="1:21" x14ac:dyDescent="0.25">
      <c r="A19" s="67"/>
      <c r="B19" s="76">
        <f>B11-B18</f>
        <v>21.71122102105474</v>
      </c>
      <c r="C19" s="101" t="s">
        <v>114</v>
      </c>
      <c r="D19" s="67"/>
      <c r="E19" s="67"/>
      <c r="F19" s="67"/>
      <c r="G19" s="67"/>
      <c r="H19" s="67"/>
      <c r="I19" s="67"/>
      <c r="J19" s="67"/>
      <c r="K19" s="68"/>
      <c r="L19" s="71"/>
      <c r="M19" s="78">
        <f>M11-M18</f>
        <v>21.708529963615764</v>
      </c>
      <c r="N19" s="102" t="s">
        <v>114</v>
      </c>
      <c r="O19" s="71"/>
      <c r="P19" s="71"/>
      <c r="Q19" s="71"/>
      <c r="R19" s="71"/>
      <c r="S19" s="71"/>
      <c r="T19" s="71"/>
      <c r="U19" s="71"/>
    </row>
    <row r="20" spans="1:21" x14ac:dyDescent="0.25">
      <c r="A20" s="67"/>
      <c r="B20" s="66"/>
      <c r="C20" s="66"/>
      <c r="D20" s="67"/>
      <c r="E20" s="67"/>
      <c r="F20" s="67"/>
      <c r="G20" s="67"/>
      <c r="H20" s="67"/>
      <c r="I20" s="67"/>
      <c r="J20" s="67"/>
      <c r="K20" s="68"/>
      <c r="L20" s="71"/>
      <c r="M20" s="70"/>
      <c r="N20" s="70"/>
      <c r="O20" s="71"/>
      <c r="P20" s="71"/>
      <c r="Q20" s="71"/>
      <c r="R20" s="71"/>
      <c r="S20" s="71"/>
      <c r="T20" s="71"/>
      <c r="U20" s="71"/>
    </row>
    <row r="21" spans="1:21" x14ac:dyDescent="0.25">
      <c r="A21" s="67"/>
      <c r="B21" s="66"/>
      <c r="C21" s="114" t="s">
        <v>115</v>
      </c>
      <c r="D21" s="114"/>
      <c r="E21" s="67"/>
      <c r="F21" s="67"/>
      <c r="G21" s="67"/>
      <c r="H21" s="67"/>
      <c r="I21" s="67"/>
      <c r="J21" s="67"/>
      <c r="K21" s="68"/>
      <c r="L21" s="71"/>
      <c r="M21" s="70"/>
      <c r="N21" s="115" t="s">
        <v>115</v>
      </c>
      <c r="O21" s="115"/>
      <c r="P21" s="71"/>
      <c r="Q21" s="71"/>
      <c r="R21" s="71"/>
      <c r="S21" s="71"/>
      <c r="T21" s="71"/>
      <c r="U21" s="71"/>
    </row>
    <row r="22" spans="1:21" x14ac:dyDescent="0.25">
      <c r="A22" s="67"/>
      <c r="B22" s="66"/>
      <c r="C22" s="116" t="s">
        <v>85</v>
      </c>
      <c r="D22" s="117">
        <f>D4</f>
        <v>350</v>
      </c>
      <c r="E22" s="67" t="s">
        <v>17</v>
      </c>
      <c r="F22" s="67"/>
      <c r="G22" s="67"/>
      <c r="H22" s="67"/>
      <c r="I22" s="67"/>
      <c r="J22" s="67"/>
      <c r="K22" s="68"/>
      <c r="L22" s="71"/>
      <c r="M22" s="70"/>
      <c r="N22" s="118" t="s">
        <v>85</v>
      </c>
      <c r="O22" s="97">
        <f>O4</f>
        <v>350</v>
      </c>
      <c r="P22" s="71" t="s">
        <v>17</v>
      </c>
      <c r="Q22" s="71"/>
      <c r="R22" s="71"/>
      <c r="S22" s="71"/>
      <c r="T22" s="71"/>
      <c r="U22" s="71"/>
    </row>
    <row r="23" spans="1:21" x14ac:dyDescent="0.25">
      <c r="A23" s="67"/>
      <c r="B23" s="117" t="s">
        <v>74</v>
      </c>
      <c r="C23" s="117" t="s">
        <v>75</v>
      </c>
      <c r="D23" s="117" t="s">
        <v>76</v>
      </c>
      <c r="E23" s="67"/>
      <c r="F23" s="67"/>
      <c r="G23" s="67"/>
      <c r="H23" s="67"/>
      <c r="I23" s="67"/>
      <c r="J23" s="67"/>
      <c r="K23" s="68"/>
      <c r="L23" s="71"/>
      <c r="M23" s="97" t="s">
        <v>74</v>
      </c>
      <c r="N23" s="97" t="s">
        <v>75</v>
      </c>
      <c r="O23" s="97" t="s">
        <v>76</v>
      </c>
      <c r="P23" s="71"/>
      <c r="Q23" s="71"/>
      <c r="R23" s="71"/>
      <c r="S23" s="71"/>
      <c r="T23" s="71"/>
      <c r="U23" s="71"/>
    </row>
    <row r="24" spans="1:21" ht="16.5" x14ac:dyDescent="0.3">
      <c r="A24" s="67" t="s">
        <v>42</v>
      </c>
      <c r="B24" s="88">
        <f>'Step 2'!E14</f>
        <v>58.495378048852757</v>
      </c>
      <c r="C24" s="130">
        <f>(IF(ROUNDDOWN(D22,-2)=ROUNDUP(D22,-2),VLOOKUP(D22,Enthalpy,19),VLOOKUP(ROUNDDOWN(D22,-2),Enthalpy,19)+(D22-ROUNDDOWN(D22,-2))/(ROUNDUP(D22,-2)-ROUNDDOWN(D22,-2))*(VLOOKUP(ROUNDUP(D22,-2),Enthalpy,19)-VLOOKUP(ROUNDDOWN(D22,-2),Enthalpy,19))))</f>
        <v>2614</v>
      </c>
      <c r="D24" s="150">
        <f>(B24*C24)</f>
        <v>152906.9182197011</v>
      </c>
      <c r="E24" s="67"/>
      <c r="F24" s="67"/>
      <c r="G24" s="67"/>
      <c r="H24" s="67"/>
      <c r="I24" s="67"/>
      <c r="J24" s="67"/>
      <c r="K24" s="68"/>
      <c r="L24" s="71" t="s">
        <v>42</v>
      </c>
      <c r="M24" s="91">
        <f>'Step 2'!P14</f>
        <v>58.495374535228052</v>
      </c>
      <c r="N24" s="113">
        <f>IF(ROUNDDOWN(O22,-2)=ROUNDUP(O22,-2),VLOOKUP(O22,Enthalpy,19),VLOOKUP(ROUNDDOWN(O22,-2),Enthalpy,19)+(O22-ROUNDDOWN(O22,-2))/(ROUNDUP(O22,-2)-ROUNDDOWN(O22,-2))*(VLOOKUP(ROUNDUP(O22,-2),Enthalpy,19)-VLOOKUP(ROUNDDOWN(O22,-2),Enthalpy,19)))</f>
        <v>2614</v>
      </c>
      <c r="O24" s="154">
        <f>M24*N24</f>
        <v>152906.90903508614</v>
      </c>
      <c r="P24" s="71"/>
      <c r="Q24" s="71"/>
      <c r="R24" s="71"/>
      <c r="S24" s="71"/>
      <c r="T24" s="71"/>
      <c r="U24" s="71"/>
    </row>
    <row r="25" spans="1:21" ht="16.5" x14ac:dyDescent="0.3">
      <c r="A25" s="67" t="s">
        <v>43</v>
      </c>
      <c r="B25" s="88">
        <f>'Step 2'!E15</f>
        <v>159.09563336735241</v>
      </c>
      <c r="C25" s="130">
        <f>(IF(ROUNDDOWN(D22,-2)=ROUNDUP(D22,-2),VLOOKUP(D22,Enthalpy,14),VLOOKUP(ROUNDDOWN(D22,-2),Enthalpy,14)+(D22-ROUNDDOWN(D22,-2))/(ROUNDUP(D22,-2)-ROUNDDOWN(D22,-2))*(VLOOKUP(ROUNDUP(D22,-2),Enthalpy,14)-VLOOKUP(ROUNDDOWN(D22,-2),Enthalpy,14))))</f>
        <v>3050</v>
      </c>
      <c r="D25" s="150">
        <f t="shared" ref="D25:D31" si="0">(B25*C25)</f>
        <v>485241.68177042482</v>
      </c>
      <c r="E25" s="67"/>
      <c r="F25" s="67"/>
      <c r="G25" s="67"/>
      <c r="H25" s="67"/>
      <c r="I25" s="67"/>
      <c r="J25" s="67"/>
      <c r="K25" s="68"/>
      <c r="L25" s="71" t="s">
        <v>43</v>
      </c>
      <c r="M25" s="91">
        <f>'Step 2'!P15</f>
        <v>159.09563336735241</v>
      </c>
      <c r="N25" s="113">
        <f>IF(ROUNDDOWN(O22,-2)=ROUNDUP(O22,-2),VLOOKUP(O22,Enthalpy,14),VLOOKUP(ROUNDDOWN(O22,-2),Enthalpy,14)+(O22-ROUNDDOWN(O22,-2))/(ROUNDUP(O22,-2)-ROUNDDOWN(O22,-2))*(VLOOKUP(ROUNDUP(O22,-2),Enthalpy,14)-VLOOKUP(ROUNDDOWN(O22,-2),Enthalpy,14)))</f>
        <v>3050</v>
      </c>
      <c r="O25" s="154">
        <f t="shared" ref="O25:O31" si="1">M25*N25</f>
        <v>485241.68177042482</v>
      </c>
      <c r="P25" s="71"/>
      <c r="Q25" s="71"/>
      <c r="R25" s="71"/>
      <c r="S25" s="71"/>
      <c r="T25" s="71"/>
      <c r="U25" s="71"/>
    </row>
    <row r="26" spans="1:21" ht="16.5" x14ac:dyDescent="0.3">
      <c r="A26" s="67" t="s">
        <v>44</v>
      </c>
      <c r="B26" s="88">
        <f>'Step 2'!E16</f>
        <v>293.64787642816805</v>
      </c>
      <c r="C26" s="130">
        <f>(IF(ROUNDDOWN(D22,-2)=ROUNDUP(D22,-2),VLOOKUP(D22,Enthalpy,15),VLOOKUP(ROUNDDOWN(D22,-2),Enthalpy,15)+(D22-ROUNDDOWN(D22,-2))/(ROUNDUP(D22,-2)-ROUNDDOWN(D22,-2))*(VLOOKUP(ROUNDUP(D22,-2),Enthalpy,15)-VLOOKUP(ROUNDDOWN(D22,-2),Enthalpy,15))))</f>
        <v>2651.5</v>
      </c>
      <c r="D26" s="150">
        <f t="shared" si="0"/>
        <v>778607.34434928757</v>
      </c>
      <c r="E26" s="67"/>
      <c r="F26" s="67"/>
      <c r="G26" s="67"/>
      <c r="H26" s="67"/>
      <c r="I26" s="67"/>
      <c r="J26" s="67"/>
      <c r="K26" s="68"/>
      <c r="L26" s="71" t="s">
        <v>44</v>
      </c>
      <c r="M26" s="91">
        <f>'Step 2'!P16</f>
        <v>293.64787994179278</v>
      </c>
      <c r="N26" s="113">
        <f>IF(ROUNDDOWN(O22,-2)=ROUNDUP(O22,-2),VLOOKUP(O22,Enthalpy,15),VLOOKUP(ROUNDDOWN(O22,-2),Enthalpy,15)+(O22-ROUNDDOWN(O22,-2))/(ROUNDUP(O22,-2)-ROUNDDOWN(O22,-2))*(VLOOKUP(ROUNDUP(O22,-2),Enthalpy,15)-VLOOKUP(ROUNDDOWN(O22,-2),Enthalpy,15)))</f>
        <v>2651.5</v>
      </c>
      <c r="O26" s="154">
        <f t="shared" si="1"/>
        <v>778607.35366566351</v>
      </c>
      <c r="P26" s="71"/>
      <c r="Q26" s="71"/>
      <c r="R26" s="71"/>
      <c r="S26" s="71"/>
      <c r="T26" s="71"/>
      <c r="U26" s="71"/>
    </row>
    <row r="27" spans="1:21" ht="16.5" x14ac:dyDescent="0.3">
      <c r="A27" s="67" t="s">
        <v>51</v>
      </c>
      <c r="B27" s="88">
        <f>'Step 2'!E17</f>
        <v>29.247689024426379</v>
      </c>
      <c r="C27" s="130">
        <f>(IF(ROUNDDOWN(D22,-2)=ROUNDUP(D22,-2),VLOOKUP(D22,Enthalpy,17),VLOOKUP(ROUNDDOWN(D22,-2),Enthalpy,17)+(D22-ROUNDDOWN(D22,-2))/(ROUNDUP(D22,-2)-ROUNDDOWN(D22,-2))*(VLOOKUP(ROUNDUP(D22,-2),Enthalpy,17)-VLOOKUP(ROUNDDOWN(D22,-2),Enthalpy,17))))</f>
        <v>3272</v>
      </c>
      <c r="D27" s="150">
        <f t="shared" si="0"/>
        <v>95698.438487923107</v>
      </c>
      <c r="E27" s="67"/>
      <c r="F27" s="67"/>
      <c r="G27" s="67"/>
      <c r="H27" s="67"/>
      <c r="I27" s="67"/>
      <c r="J27" s="67"/>
      <c r="K27" s="68"/>
      <c r="L27" s="71" t="s">
        <v>51</v>
      </c>
      <c r="M27" s="91">
        <f>'Step 2'!P17</f>
        <v>29.247687267614026</v>
      </c>
      <c r="N27" s="113">
        <f>IF(ROUNDDOWN(O22,-2)=ROUNDUP(O22,-2),VLOOKUP(O22,Enthalpy,17),VLOOKUP(ROUNDDOWN(O22,-2),Enthalpy,17)+(O22-ROUNDDOWN(O22,-2))/(ROUNDUP(O22,-2)-ROUNDDOWN(O22,-2))*(VLOOKUP(ROUNDUP(O22,-2),Enthalpy,17)-VLOOKUP(ROUNDDOWN(O22,-2),Enthalpy,17)))</f>
        <v>3272</v>
      </c>
      <c r="O27" s="154">
        <f t="shared" si="1"/>
        <v>95698.432739633092</v>
      </c>
      <c r="P27" s="71"/>
      <c r="Q27" s="71"/>
      <c r="R27" s="71"/>
      <c r="S27" s="71"/>
      <c r="T27" s="71"/>
      <c r="U27" s="71"/>
    </row>
    <row r="28" spans="1:21" ht="16.5" x14ac:dyDescent="0.3">
      <c r="A28" s="67" t="s">
        <v>52</v>
      </c>
      <c r="B28" s="88">
        <f>'Step 2'!E18</f>
        <v>582.62585529985779</v>
      </c>
      <c r="C28" s="130">
        <f>(IF(ROUNDDOWN(D22,-2)=ROUNDUP(D22,-2),VLOOKUP(D22,Enthalpy,9),VLOOKUP(ROUNDDOWN(D22,-2),Enthalpy,9)+(D22-ROUNDDOWN(D22,-2))/(ROUNDUP(D22,-2)-ROUNDDOWN(D22,-2))*(VLOOKUP(ROUNDUP(D22,-2),Enthalpy,9)-VLOOKUP(ROUNDDOWN(D22,-2),Enthalpy,9))))</f>
        <v>2225</v>
      </c>
      <c r="D28" s="150">
        <f t="shared" si="0"/>
        <v>1296342.5280421835</v>
      </c>
      <c r="E28" s="67"/>
      <c r="F28" s="67"/>
      <c r="G28" s="67"/>
      <c r="H28" s="67"/>
      <c r="I28" s="67"/>
      <c r="J28" s="67"/>
      <c r="K28" s="68"/>
      <c r="L28" s="71" t="s">
        <v>52</v>
      </c>
      <c r="M28" s="91">
        <f>'Step 2'!P18</f>
        <v>582.62585529985779</v>
      </c>
      <c r="N28" s="113">
        <f>IF(ROUNDDOWN(O22,-2)=ROUNDUP(O22,-2),VLOOKUP(O22,Enthalpy,9),VLOOKUP(ROUNDDOWN(O22,-2),Enthalpy,9)+(O22-ROUNDDOWN(O22,-2))/(ROUNDUP(O22,-2)-ROUNDDOWN(O22,-2))*(VLOOKUP(ROUNDUP(O22,-2),Enthalpy,9)-VLOOKUP(ROUNDDOWN(O22,-2),Enthalpy,9)))</f>
        <v>2225</v>
      </c>
      <c r="O28" s="154">
        <f t="shared" si="1"/>
        <v>1296342.5280421835</v>
      </c>
      <c r="P28" s="71"/>
      <c r="Q28" s="71"/>
      <c r="R28" s="71"/>
      <c r="S28" s="71"/>
      <c r="T28" s="71"/>
      <c r="U28" s="71"/>
    </row>
    <row r="29" spans="1:21" ht="16.5" x14ac:dyDescent="0.3">
      <c r="A29" s="229" t="s">
        <v>116</v>
      </c>
      <c r="B29" s="66"/>
      <c r="C29" s="130"/>
      <c r="D29" s="150"/>
      <c r="E29" s="67"/>
      <c r="F29" s="67"/>
      <c r="G29" s="67"/>
      <c r="H29" s="67"/>
      <c r="I29" s="67"/>
      <c r="J29" s="67"/>
      <c r="K29" s="68"/>
      <c r="L29" s="230" t="s">
        <v>116</v>
      </c>
      <c r="M29" s="70"/>
      <c r="N29" s="113"/>
      <c r="O29" s="154"/>
      <c r="P29" s="71"/>
      <c r="Q29" s="71"/>
      <c r="R29" s="71"/>
      <c r="S29" s="71"/>
      <c r="T29" s="71"/>
      <c r="U29" s="71"/>
    </row>
    <row r="30" spans="1:21" ht="16.5" x14ac:dyDescent="0.3">
      <c r="A30" s="229" t="s">
        <v>117</v>
      </c>
      <c r="B30" s="88">
        <f>B10</f>
        <v>3.8240196023121498</v>
      </c>
      <c r="C30" s="130">
        <f>ROUND(IF(ROUNDDOWN(D22,-2)=ROUNDUP(D22,-2),VLOOKUP(D22,Enthalpy,22),VLOOKUP(ROUNDDOWN(D22,-2),Enthalpy,22)+(D22-ROUNDDOWN(D22,-2))/(ROUNDUP(D22,-2)-ROUNDDOWN(D22,-2))*(VLOOKUP(ROUNDUP(D22,-2),Enthalpy,22)-VLOOKUP(ROUNDDOWN(D22,-2),Enthalpy,22))),0)</f>
        <v>8976</v>
      </c>
      <c r="D30" s="150">
        <f t="shared" si="0"/>
        <v>34324.399950353858</v>
      </c>
      <c r="E30" s="67"/>
      <c r="F30" s="67"/>
      <c r="G30" s="67"/>
      <c r="H30" s="67"/>
      <c r="I30" s="67"/>
      <c r="J30" s="67"/>
      <c r="K30" s="68"/>
      <c r="L30" s="230" t="s">
        <v>117</v>
      </c>
      <c r="M30" s="91">
        <f>M10</f>
        <v>3.8240197014319128</v>
      </c>
      <c r="N30" s="113">
        <f>IF(ROUNDDOWN(O22,-2)=ROUNDUP(O22,-2),VLOOKUP(O22,Enthalpy,22),VLOOKUP(ROUNDDOWN(O22,-2),Enthalpy,22)+(O22-ROUNDDOWN(O22,-2))/(ROUNDUP(O22,-2)-ROUNDDOWN(O22,-2))*(VLOOKUP(ROUNDUP(O22,-2),Enthalpy,22)-VLOOKUP(ROUNDDOWN(O22,-2),Enthalpy,22)))</f>
        <v>8975.5</v>
      </c>
      <c r="O30" s="154">
        <f t="shared" si="1"/>
        <v>34322.488830202135</v>
      </c>
      <c r="P30" s="71"/>
      <c r="Q30" s="71"/>
      <c r="R30" s="71"/>
      <c r="S30" s="71"/>
      <c r="T30" s="71"/>
      <c r="U30" s="71"/>
    </row>
    <row r="31" spans="1:21" ht="16.5" x14ac:dyDescent="0.3">
      <c r="A31" s="229" t="s">
        <v>118</v>
      </c>
      <c r="B31" s="94">
        <f>B11</f>
        <v>22.548529379150953</v>
      </c>
      <c r="C31" s="130">
        <f>ROUND(IF(ROUNDDOWN(D22,-2)=ROUNDUP(D22,-2),VLOOKUP(D22,Enthalpy,23),VLOOKUP(ROUNDDOWN(D22,-2),Enthalpy,23)+(D22-ROUNDDOWN(D22,-2))/(ROUNDUP(D22,-2)-ROUNDDOWN(D22,-2))*(VLOOKUP(ROUNDUP(D22,-2),Enthalpy,23)-VLOOKUP(ROUNDDOWN(D22,-2),Enthalpy,23))),0)</f>
        <v>12395</v>
      </c>
      <c r="D31" s="158">
        <f t="shared" si="0"/>
        <v>279489.02165457606</v>
      </c>
      <c r="E31" s="67"/>
      <c r="F31" s="67"/>
      <c r="G31" s="67"/>
      <c r="H31" s="67"/>
      <c r="I31" s="67"/>
      <c r="J31" s="67"/>
      <c r="K31" s="68"/>
      <c r="L31" s="230" t="s">
        <v>118</v>
      </c>
      <c r="M31" s="96">
        <f>M11</f>
        <v>22.548529963615763</v>
      </c>
      <c r="N31" s="113">
        <f>IF(ROUNDDOWN(O22,-2)=ROUNDUP(O22,-2),VLOOKUP(O22,Enthalpy,23),VLOOKUP(ROUNDDOWN(O22,-2),Enthalpy,23)+(O22-ROUNDDOWN(O22,-2))/(ROUNDUP(O22,-2)-ROUNDDOWN(O22,-2))*(VLOOKUP(ROUNDUP(O22,-2),Enthalpy,23)-VLOOKUP(ROUNDDOWN(O22,-2),Enthalpy,23)))</f>
        <v>12395</v>
      </c>
      <c r="O31" s="161">
        <f t="shared" si="1"/>
        <v>279489.02889901737</v>
      </c>
      <c r="P31" s="71"/>
      <c r="Q31" s="71"/>
      <c r="R31" s="71"/>
      <c r="S31" s="71"/>
      <c r="T31" s="71"/>
      <c r="U31" s="71"/>
    </row>
    <row r="32" spans="1:21" x14ac:dyDescent="0.25">
      <c r="A32" s="67"/>
      <c r="B32" s="88">
        <f>SUM(B24:B31)</f>
        <v>1149.4849811501206</v>
      </c>
      <c r="C32" s="66"/>
      <c r="D32" s="150">
        <f>SUM(D24:D31)</f>
        <v>3122610.3324744501</v>
      </c>
      <c r="E32" s="67"/>
      <c r="F32" s="67"/>
      <c r="G32" s="67"/>
      <c r="H32" s="67"/>
      <c r="I32" s="67"/>
      <c r="J32" s="67"/>
      <c r="K32" s="68"/>
      <c r="L32" s="71"/>
      <c r="M32" s="91">
        <f>SUM(M24:M31)</f>
        <v>1149.484980076893</v>
      </c>
      <c r="N32" s="70"/>
      <c r="O32" s="154">
        <f>SUM(O24:O31)</f>
        <v>3122608.4229822108</v>
      </c>
      <c r="P32" s="71"/>
      <c r="Q32" s="71"/>
      <c r="R32" s="71"/>
      <c r="S32" s="71"/>
      <c r="T32" s="71"/>
      <c r="U32" s="71"/>
    </row>
    <row r="33" spans="1:21" x14ac:dyDescent="0.25">
      <c r="A33" s="67"/>
      <c r="B33" s="75" t="s">
        <v>100</v>
      </c>
      <c r="C33" s="218">
        <f>'Step 2'!G22-'Step 3'!D32</f>
        <v>3610310.4854455325</v>
      </c>
      <c r="D33" s="101" t="s">
        <v>76</v>
      </c>
      <c r="E33" s="67"/>
      <c r="F33" s="67"/>
      <c r="G33" s="67"/>
      <c r="H33" s="67"/>
      <c r="I33" s="67"/>
      <c r="J33" s="67"/>
      <c r="K33" s="68"/>
      <c r="L33" s="71"/>
      <c r="M33" s="77" t="s">
        <v>100</v>
      </c>
      <c r="N33" s="113">
        <f>'Step 2'!R22-'Step 3'!O32</f>
        <v>3610312.3992448165</v>
      </c>
      <c r="O33" s="102" t="s">
        <v>76</v>
      </c>
      <c r="P33" s="71"/>
      <c r="Q33" s="71"/>
      <c r="R33" s="71"/>
      <c r="S33" s="71"/>
      <c r="T33" s="71"/>
      <c r="U33" s="71"/>
    </row>
    <row r="34" spans="1:21" x14ac:dyDescent="0.25">
      <c r="A34" s="67"/>
      <c r="B34" s="66"/>
      <c r="C34" s="66"/>
      <c r="D34" s="67"/>
      <c r="E34" s="67"/>
      <c r="F34" s="67"/>
      <c r="G34" s="67"/>
      <c r="H34" s="67"/>
      <c r="I34" s="67"/>
      <c r="J34" s="67"/>
      <c r="K34" s="68"/>
      <c r="L34" s="71"/>
      <c r="M34" s="70"/>
      <c r="N34" s="70"/>
      <c r="O34" s="71"/>
      <c r="P34" s="71"/>
      <c r="Q34" s="71"/>
      <c r="R34" s="71"/>
      <c r="S34" s="71"/>
      <c r="T34" s="71"/>
      <c r="U34" s="71"/>
    </row>
    <row r="35" spans="1:21" x14ac:dyDescent="0.25">
      <c r="A35" s="67" t="s">
        <v>225</v>
      </c>
      <c r="B35" s="66"/>
      <c r="C35" s="66"/>
      <c r="D35" s="67"/>
      <c r="E35" s="67"/>
      <c r="F35" s="67"/>
      <c r="G35" s="67"/>
      <c r="H35" s="67"/>
      <c r="I35" s="67"/>
      <c r="J35" s="67"/>
      <c r="K35" s="68"/>
      <c r="L35" s="71" t="s">
        <v>225</v>
      </c>
      <c r="M35" s="70"/>
      <c r="N35" s="70"/>
      <c r="O35" s="71"/>
      <c r="P35" s="71"/>
      <c r="Q35" s="71"/>
      <c r="R35" s="71"/>
      <c r="S35" s="71"/>
      <c r="T35" s="71"/>
      <c r="U35" s="71"/>
    </row>
    <row r="36" spans="1:21" ht="16.5" x14ac:dyDescent="0.3">
      <c r="A36" s="231" t="s">
        <v>120</v>
      </c>
      <c r="B36" s="66">
        <v>178.8</v>
      </c>
      <c r="C36" s="101" t="s">
        <v>254</v>
      </c>
      <c r="D36" s="150">
        <f>(B17*B36*6*32.04)</f>
        <v>126560.27454587622</v>
      </c>
      <c r="E36" s="67" t="s">
        <v>76</v>
      </c>
      <c r="F36" s="67"/>
      <c r="G36" s="67"/>
      <c r="H36" s="67"/>
      <c r="I36" s="67"/>
      <c r="J36" s="67"/>
      <c r="K36" s="68"/>
      <c r="L36" s="232" t="s">
        <v>120</v>
      </c>
      <c r="M36" s="283">
        <v>178.8</v>
      </c>
      <c r="N36" s="102" t="s">
        <v>254</v>
      </c>
      <c r="O36" s="124">
        <f>M17*M36*6*32.04</f>
        <v>126560.27795583592</v>
      </c>
      <c r="P36" s="71" t="s">
        <v>76</v>
      </c>
      <c r="Q36" s="71"/>
      <c r="R36" s="71"/>
      <c r="S36" s="71"/>
      <c r="T36" s="71"/>
      <c r="U36" s="71"/>
    </row>
    <row r="37" spans="1:21" ht="16.5" x14ac:dyDescent="0.3">
      <c r="A37" s="231" t="s">
        <v>121</v>
      </c>
      <c r="B37" s="66">
        <v>123.6</v>
      </c>
      <c r="C37" s="101" t="s">
        <v>254</v>
      </c>
      <c r="D37" s="150">
        <f>(B19*B37*8*32.04)</f>
        <v>687836.49327363039</v>
      </c>
      <c r="E37" s="67" t="s">
        <v>76</v>
      </c>
      <c r="F37" s="67"/>
      <c r="G37" s="67"/>
      <c r="H37" s="67"/>
      <c r="I37" s="67"/>
      <c r="J37" s="67"/>
      <c r="K37" s="68"/>
      <c r="L37" s="232" t="s">
        <v>121</v>
      </c>
      <c r="M37" s="283">
        <v>123.6</v>
      </c>
      <c r="N37" s="102" t="s">
        <v>254</v>
      </c>
      <c r="O37" s="124">
        <f>M19*M37*8*32.04</f>
        <v>687751.23747386539</v>
      </c>
      <c r="P37" s="71" t="s">
        <v>76</v>
      </c>
      <c r="Q37" s="71"/>
      <c r="R37" s="71"/>
      <c r="S37" s="71"/>
      <c r="T37" s="71"/>
      <c r="U37" s="71"/>
    </row>
    <row r="38" spans="1:21" x14ac:dyDescent="0.25">
      <c r="A38" s="67" t="s">
        <v>119</v>
      </c>
      <c r="B38" s="66"/>
      <c r="C38" s="101"/>
      <c r="D38" s="150"/>
      <c r="E38" s="67"/>
      <c r="F38" s="67"/>
      <c r="G38" s="67"/>
      <c r="H38" s="67"/>
      <c r="I38" s="67"/>
      <c r="J38" s="67"/>
      <c r="K38" s="68"/>
      <c r="L38" s="71" t="s">
        <v>119</v>
      </c>
      <c r="M38" s="70"/>
      <c r="N38" s="102"/>
      <c r="O38" s="154"/>
      <c r="P38" s="71"/>
      <c r="Q38" s="71"/>
      <c r="R38" s="71"/>
      <c r="S38" s="71"/>
      <c r="T38" s="71"/>
      <c r="U38" s="71"/>
    </row>
    <row r="39" spans="1:21" ht="16.5" x14ac:dyDescent="0.3">
      <c r="A39" s="231" t="s">
        <v>122</v>
      </c>
      <c r="B39" s="218">
        <v>122500</v>
      </c>
      <c r="C39" s="101" t="s">
        <v>255</v>
      </c>
      <c r="D39" s="150">
        <f>((B7/B8 * D40/B40) *B39)</f>
        <v>662.57765386596645</v>
      </c>
      <c r="E39" s="67" t="s">
        <v>76</v>
      </c>
      <c r="F39" s="67"/>
      <c r="G39" s="67"/>
      <c r="H39" s="67"/>
      <c r="I39" s="67"/>
      <c r="J39" s="67"/>
      <c r="K39" s="68"/>
      <c r="L39" s="232" t="s">
        <v>122</v>
      </c>
      <c r="M39" s="291">
        <v>122500</v>
      </c>
      <c r="N39" s="102" t="s">
        <v>75</v>
      </c>
      <c r="O39" s="154">
        <f>(M7/M8 * O40/M40) *M39</f>
        <v>662.57767104018285</v>
      </c>
      <c r="P39" s="71" t="s">
        <v>76</v>
      </c>
      <c r="Q39" s="71"/>
      <c r="R39" s="71"/>
      <c r="S39" s="71"/>
      <c r="T39" s="71"/>
      <c r="U39" s="71"/>
    </row>
    <row r="40" spans="1:21" ht="16.5" x14ac:dyDescent="0.3">
      <c r="A40" s="231" t="s">
        <v>123</v>
      </c>
      <c r="B40" s="218">
        <v>177900</v>
      </c>
      <c r="C40" s="101" t="s">
        <v>255</v>
      </c>
      <c r="D40" s="150">
        <f>((2*'Step 2'!E19 / (8+ 6*'Step 3'!B7/'Step 3'!B8)) * B40)</f>
        <v>5673.8095849377005</v>
      </c>
      <c r="E40" s="67" t="s">
        <v>76</v>
      </c>
      <c r="F40" s="67"/>
      <c r="G40" s="67"/>
      <c r="H40" s="67"/>
      <c r="I40" s="67"/>
      <c r="J40" s="67"/>
      <c r="K40" s="68"/>
      <c r="L40" s="232" t="s">
        <v>123</v>
      </c>
      <c r="M40" s="291">
        <v>177900</v>
      </c>
      <c r="N40" s="102" t="s">
        <v>75</v>
      </c>
      <c r="O40" s="154">
        <f>(2*'Step 2'!P19 / (8+ 6*'Step 3'!M7/'Step 3'!M8)) * M40</f>
        <v>5673.809732004589</v>
      </c>
      <c r="P40" s="71" t="s">
        <v>76</v>
      </c>
      <c r="Q40" s="71"/>
      <c r="R40" s="71"/>
      <c r="S40" s="71"/>
      <c r="T40" s="71"/>
      <c r="U40" s="71"/>
    </row>
    <row r="41" spans="1:21" ht="15.75" thickBot="1" x14ac:dyDescent="0.3">
      <c r="A41" s="67"/>
      <c r="B41" s="66"/>
      <c r="C41" s="66"/>
      <c r="D41" s="67"/>
      <c r="E41" s="67"/>
      <c r="F41" s="67"/>
      <c r="G41" s="67"/>
      <c r="H41" s="67"/>
      <c r="I41" s="67"/>
      <c r="J41" s="67"/>
      <c r="K41" s="68"/>
      <c r="L41" s="71"/>
      <c r="M41" s="70"/>
      <c r="N41" s="70"/>
      <c r="O41" s="71"/>
      <c r="P41" s="71"/>
      <c r="Q41" s="71"/>
      <c r="R41" s="71"/>
      <c r="S41" s="71"/>
      <c r="T41" s="71"/>
      <c r="U41" s="71"/>
    </row>
    <row r="42" spans="1:21" ht="15.75" thickBot="1" x14ac:dyDescent="0.3">
      <c r="A42" s="67" t="s">
        <v>127</v>
      </c>
      <c r="B42" s="233">
        <f>C33+D36+D37+D39+D40</f>
        <v>4431043.6405038433</v>
      </c>
      <c r="C42" s="101" t="s">
        <v>76</v>
      </c>
      <c r="D42" s="67"/>
      <c r="E42" s="67"/>
      <c r="F42" s="67"/>
      <c r="G42" s="67"/>
      <c r="H42" s="67"/>
      <c r="I42" s="67"/>
      <c r="J42" s="67"/>
      <c r="K42" s="68"/>
      <c r="L42" s="71" t="s">
        <v>127</v>
      </c>
      <c r="M42" s="234">
        <f>N33+O36+O37+O39+O40</f>
        <v>4430960.3020775625</v>
      </c>
      <c r="N42" s="102" t="s">
        <v>76</v>
      </c>
      <c r="O42" s="71"/>
      <c r="P42" s="71"/>
      <c r="Q42" s="71"/>
      <c r="R42" s="71"/>
      <c r="S42" s="71"/>
      <c r="T42" s="71"/>
      <c r="U42" s="71"/>
    </row>
    <row r="43" spans="1:21" x14ac:dyDescent="0.25">
      <c r="A43" s="67"/>
      <c r="B43" s="66"/>
      <c r="C43" s="66"/>
      <c r="D43" s="67"/>
      <c r="E43" s="67"/>
      <c r="F43" s="67"/>
      <c r="G43" s="67"/>
      <c r="H43" s="67"/>
      <c r="I43" s="67"/>
      <c r="J43" s="67"/>
      <c r="K43" s="68"/>
      <c r="L43" s="71"/>
      <c r="M43" s="70"/>
      <c r="N43" s="70"/>
      <c r="O43" s="71"/>
      <c r="P43" s="71"/>
      <c r="Q43" s="71"/>
      <c r="R43" s="71"/>
      <c r="S43" s="71"/>
      <c r="T43" s="71"/>
      <c r="U43" s="71"/>
    </row>
    <row r="46" spans="1:21" x14ac:dyDescent="0.25">
      <c r="B46" s="58" t="s">
        <v>327</v>
      </c>
    </row>
    <row r="47" spans="1:21" x14ac:dyDescent="0.25">
      <c r="B47" s="58" t="s">
        <v>328</v>
      </c>
    </row>
    <row r="48" spans="1:21" x14ac:dyDescent="0.25">
      <c r="B48" s="58" t="s">
        <v>329</v>
      </c>
    </row>
    <row r="49" spans="2:2" x14ac:dyDescent="0.25">
      <c r="B49" s="58" t="s">
        <v>330</v>
      </c>
    </row>
    <row r="50" spans="2:2" x14ac:dyDescent="0.25">
      <c r="B50" s="58" t="s">
        <v>331</v>
      </c>
    </row>
  </sheetData>
  <sheetProtection password="F030" sheet="1" objects="1" scenarios="1"/>
  <mergeCells count="2">
    <mergeCell ref="C21:D21"/>
    <mergeCell ref="N21:O21"/>
  </mergeCells>
  <phoneticPr fontId="21"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topLeftCell="E1" zoomScale="80" zoomScaleNormal="80" workbookViewId="0">
      <selection activeCell="N27" sqref="N27"/>
    </sheetView>
  </sheetViews>
  <sheetFormatPr defaultColWidth="13" defaultRowHeight="15" x14ac:dyDescent="0.25"/>
  <cols>
    <col min="1" max="16384" width="13" style="48"/>
  </cols>
  <sheetData>
    <row r="1" spans="1:21" ht="20.25" x14ac:dyDescent="0.3">
      <c r="A1" s="65" t="s">
        <v>226</v>
      </c>
      <c r="B1" s="66"/>
      <c r="C1" s="66"/>
      <c r="D1" s="67"/>
      <c r="E1" s="67"/>
      <c r="F1" s="67"/>
      <c r="G1" s="67"/>
      <c r="H1" s="67"/>
      <c r="I1" s="67"/>
      <c r="J1" s="67"/>
      <c r="K1" s="68"/>
      <c r="L1" s="69" t="s">
        <v>226</v>
      </c>
      <c r="M1" s="70"/>
      <c r="N1" s="70"/>
      <c r="O1" s="71"/>
      <c r="P1" s="71"/>
      <c r="Q1" s="71"/>
      <c r="R1" s="71"/>
      <c r="S1" s="71"/>
      <c r="T1" s="71"/>
      <c r="U1" s="71"/>
    </row>
    <row r="2" spans="1:21" ht="36.75" customHeight="1" x14ac:dyDescent="0.25">
      <c r="A2" s="235" t="s">
        <v>227</v>
      </c>
      <c r="B2" s="236"/>
      <c r="C2" s="236"/>
      <c r="D2" s="236"/>
      <c r="E2" s="236"/>
      <c r="F2" s="236"/>
      <c r="G2" s="236"/>
      <c r="H2" s="67"/>
      <c r="I2" s="67"/>
      <c r="J2" s="67"/>
      <c r="K2" s="68"/>
      <c r="L2" s="237" t="s">
        <v>228</v>
      </c>
      <c r="M2" s="238"/>
      <c r="N2" s="238"/>
      <c r="O2" s="238"/>
      <c r="P2" s="238"/>
      <c r="Q2" s="238"/>
      <c r="R2" s="238"/>
      <c r="S2" s="71"/>
      <c r="T2" s="71"/>
      <c r="U2" s="71"/>
    </row>
    <row r="3" spans="1:21" ht="16.5" x14ac:dyDescent="0.3">
      <c r="A3" s="67" t="s">
        <v>128</v>
      </c>
      <c r="B3" s="66">
        <v>20</v>
      </c>
      <c r="C3" s="101" t="s">
        <v>129</v>
      </c>
      <c r="D3" s="101"/>
      <c r="E3" s="67"/>
      <c r="F3" s="67"/>
      <c r="G3" s="67"/>
      <c r="H3" s="67"/>
      <c r="I3" s="67"/>
      <c r="J3" s="67"/>
      <c r="K3" s="68"/>
      <c r="L3" s="71" t="s">
        <v>128</v>
      </c>
      <c r="M3" s="283">
        <v>20</v>
      </c>
      <c r="N3" s="102" t="s">
        <v>129</v>
      </c>
      <c r="O3" s="102"/>
      <c r="P3" s="71"/>
      <c r="Q3" s="71"/>
      <c r="R3" s="71"/>
      <c r="S3" s="71"/>
      <c r="T3" s="71"/>
      <c r="U3" s="71"/>
    </row>
    <row r="4" spans="1:21" x14ac:dyDescent="0.25">
      <c r="A4" s="67"/>
      <c r="B4" s="66"/>
      <c r="C4" s="66"/>
      <c r="D4" s="67"/>
      <c r="E4" s="67"/>
      <c r="F4" s="67"/>
      <c r="G4" s="67"/>
      <c r="H4" s="67"/>
      <c r="I4" s="67"/>
      <c r="J4" s="67"/>
      <c r="K4" s="68"/>
      <c r="L4" s="71"/>
      <c r="M4" s="70"/>
      <c r="N4" s="70"/>
      <c r="O4" s="71"/>
      <c r="P4" s="71"/>
      <c r="Q4" s="71"/>
      <c r="R4" s="71"/>
      <c r="S4" s="71"/>
      <c r="T4" s="71"/>
      <c r="U4" s="71"/>
    </row>
    <row r="5" spans="1:21" ht="16.5" x14ac:dyDescent="0.3">
      <c r="A5" s="67" t="s">
        <v>133</v>
      </c>
      <c r="B5" s="66"/>
      <c r="C5" s="88">
        <f>(6*'Step 3'!B16 + 8*'Step 3'!B18 + 'Step 4'!B3/100 * 'Example 22-1 Conditions'!C8)</f>
        <v>65.765548787255341</v>
      </c>
      <c r="D5" s="67" t="s">
        <v>74</v>
      </c>
      <c r="E5" s="67"/>
      <c r="F5" s="67"/>
      <c r="G5" s="67"/>
      <c r="H5" s="67"/>
      <c r="I5" s="67"/>
      <c r="J5" s="67"/>
      <c r="K5" s="68"/>
      <c r="L5" s="71" t="s">
        <v>133</v>
      </c>
      <c r="M5" s="70"/>
      <c r="N5" s="91">
        <f>6*'Step 3'!M16 + 8*'Step 3'!M18 + 'Step 4'!M3/100 * 'Example 22-1 Conditions'!N8</f>
        <v>65.787081921968166</v>
      </c>
      <c r="O5" s="71" t="s">
        <v>74</v>
      </c>
      <c r="P5" s="71"/>
      <c r="Q5" s="71"/>
      <c r="R5" s="71"/>
      <c r="S5" s="71"/>
      <c r="T5" s="71"/>
      <c r="U5" s="71"/>
    </row>
    <row r="6" spans="1:21" x14ac:dyDescent="0.25">
      <c r="A6" s="67" t="s">
        <v>135</v>
      </c>
      <c r="B6" s="66"/>
      <c r="C6" s="66"/>
      <c r="D6" s="67">
        <v>1</v>
      </c>
      <c r="E6" s="67" t="s">
        <v>62</v>
      </c>
      <c r="F6" s="67"/>
      <c r="G6" s="67"/>
      <c r="H6" s="67"/>
      <c r="I6" s="67"/>
      <c r="J6" s="67"/>
      <c r="K6" s="68"/>
      <c r="L6" s="71" t="s">
        <v>135</v>
      </c>
      <c r="M6" s="70"/>
      <c r="N6" s="70"/>
      <c r="O6" s="289">
        <v>1</v>
      </c>
      <c r="P6" s="71" t="s">
        <v>62</v>
      </c>
      <c r="Q6" s="71"/>
      <c r="R6" s="71"/>
      <c r="S6" s="71"/>
      <c r="T6" s="71"/>
      <c r="U6" s="71"/>
    </row>
    <row r="7" spans="1:21" x14ac:dyDescent="0.25">
      <c r="A7" s="67" t="s">
        <v>134</v>
      </c>
      <c r="B7" s="119">
        <f>'Step 1'!B37 - 'Step 3'!D3 - 'Step 4'!D6</f>
        <v>17.599999999999998</v>
      </c>
      <c r="C7" s="66"/>
      <c r="D7" s="67"/>
      <c r="E7" s="67"/>
      <c r="F7" s="67"/>
      <c r="G7" s="67"/>
      <c r="H7" s="67"/>
      <c r="I7" s="67"/>
      <c r="J7" s="67"/>
      <c r="K7" s="68"/>
      <c r="L7" s="71" t="s">
        <v>134</v>
      </c>
      <c r="M7" s="122">
        <f>'Step 1'!M37 - 'Step 3'!O3 - 'Step 4'!O6</f>
        <v>17.599999999999998</v>
      </c>
      <c r="N7" s="70"/>
      <c r="O7" s="71"/>
      <c r="P7" s="71"/>
      <c r="Q7" s="71"/>
      <c r="R7" s="71"/>
      <c r="S7" s="71"/>
      <c r="T7" s="71"/>
      <c r="U7" s="71"/>
    </row>
    <row r="8" spans="1:21" ht="16.5" x14ac:dyDescent="0.3">
      <c r="A8" s="67" t="s">
        <v>136</v>
      </c>
      <c r="B8" s="66"/>
      <c r="C8" s="114" t="str">
        <f>CONCATENATE(ROUND(C5,2),"/",ROUND('Step 3'!B24+'Step 3'!B25+'Step 3'!B26+'Step 3'!B27+'Step 3'!B28+'Step 3'!B16*6+'Step 3'!B18*8,2)," * ",ROUND('Step 4'!B7,2)," = ")</f>
        <v xml:space="preserve">65.77/1130.66 * 17.6 = </v>
      </c>
      <c r="D8" s="114"/>
      <c r="E8" s="88">
        <f>C5/('Step 3'!B24+'Step 3'!B25+'Step 3'!B26+'Step 3'!B27+'Step 3'!B28+'Step 3'!B16*6+'Step 3'!B18*8) * 'Step 4'!B7</f>
        <v>1.02371242720948</v>
      </c>
      <c r="F8" s="67" t="s">
        <v>62</v>
      </c>
      <c r="G8" s="67"/>
      <c r="H8" s="67"/>
      <c r="I8" s="67"/>
      <c r="J8" s="67"/>
      <c r="K8" s="68"/>
      <c r="L8" s="71" t="s">
        <v>136</v>
      </c>
      <c r="M8" s="70"/>
      <c r="N8" s="115" t="str">
        <f>CONCATENATE(ROUND(N5,2),"/",ROUND('Step 3'!M24+'Step 3'!M25+'Step 3'!M26+'Step 3'!M27+'Step 3'!M28+'Step 3'!M16*6+'Step 3'!M18*8,2)," * ",ROUND('Step 4'!M7,2)," = ")</f>
        <v xml:space="preserve">65.79/1130.68 * 17.6 = </v>
      </c>
      <c r="O8" s="115"/>
      <c r="P8" s="91">
        <f>N5/('Step 3'!M24+'Step 3'!M25+'Step 3'!M26+'Step 3'!M27+'Step 3'!M28+'Step 3'!M16*6+'Step 3'!M18*8) * 'Step 4'!M7</f>
        <v>1.0240281131982949</v>
      </c>
      <c r="Q8" s="71" t="s">
        <v>62</v>
      </c>
      <c r="R8" s="71"/>
      <c r="S8" s="71"/>
      <c r="T8" s="71"/>
      <c r="U8" s="71"/>
    </row>
    <row r="9" spans="1:21" x14ac:dyDescent="0.25">
      <c r="A9" s="67"/>
      <c r="B9" s="75" t="s">
        <v>1</v>
      </c>
      <c r="C9" s="239">
        <f>E8*0.068</f>
        <v>6.9612445050244637E-2</v>
      </c>
      <c r="D9" s="67" t="s">
        <v>108</v>
      </c>
      <c r="E9" s="67"/>
      <c r="F9" s="67"/>
      <c r="G9" s="67"/>
      <c r="H9" s="67"/>
      <c r="I9" s="67"/>
      <c r="J9" s="67"/>
      <c r="K9" s="68"/>
      <c r="L9" s="71"/>
      <c r="M9" s="77" t="s">
        <v>1</v>
      </c>
      <c r="N9" s="240">
        <f>P8*0.068</f>
        <v>6.9633911697484063E-2</v>
      </c>
      <c r="O9" s="71" t="s">
        <v>108</v>
      </c>
      <c r="P9" s="71"/>
      <c r="Q9" s="71"/>
      <c r="R9" s="71"/>
      <c r="S9" s="71"/>
      <c r="T9" s="71"/>
      <c r="U9" s="71"/>
    </row>
    <row r="10" spans="1:21" x14ac:dyDescent="0.25">
      <c r="A10" s="67" t="s">
        <v>256</v>
      </c>
      <c r="B10" s="66"/>
      <c r="C10" s="66"/>
      <c r="D10" s="67"/>
      <c r="E10" s="67"/>
      <c r="F10" s="67">
        <v>445</v>
      </c>
      <c r="G10" s="67" t="s">
        <v>17</v>
      </c>
      <c r="H10" s="67"/>
      <c r="I10" s="67"/>
      <c r="J10" s="67"/>
      <c r="K10" s="68"/>
      <c r="L10" s="71" t="s">
        <v>256</v>
      </c>
      <c r="M10" s="70"/>
      <c r="N10" s="70"/>
      <c r="O10" s="71"/>
      <c r="P10" s="71"/>
      <c r="Q10" s="289">
        <v>445</v>
      </c>
      <c r="R10" s="71" t="s">
        <v>17</v>
      </c>
      <c r="S10" s="71"/>
      <c r="T10" s="71"/>
      <c r="U10" s="71"/>
    </row>
    <row r="11" spans="1:21" x14ac:dyDescent="0.25">
      <c r="A11" s="67" t="s">
        <v>316</v>
      </c>
      <c r="B11" s="66"/>
      <c r="C11" s="66"/>
      <c r="D11" s="67">
        <v>30</v>
      </c>
      <c r="E11" s="67" t="s">
        <v>230</v>
      </c>
      <c r="F11" s="67"/>
      <c r="G11" s="67"/>
      <c r="H11" s="67"/>
      <c r="I11" s="67"/>
      <c r="J11" s="67"/>
      <c r="K11" s="68"/>
      <c r="L11" s="71" t="s">
        <v>229</v>
      </c>
      <c r="M11" s="70"/>
      <c r="N11" s="70"/>
      <c r="O11" s="289">
        <v>30</v>
      </c>
      <c r="P11" s="71" t="s">
        <v>230</v>
      </c>
      <c r="Q11" s="71"/>
      <c r="R11" s="71"/>
      <c r="S11" s="71"/>
      <c r="T11" s="71"/>
      <c r="U11" s="71"/>
    </row>
    <row r="12" spans="1:21" x14ac:dyDescent="0.25">
      <c r="A12" s="67" t="s">
        <v>137</v>
      </c>
      <c r="B12" s="66"/>
      <c r="C12" s="66"/>
      <c r="D12" s="75">
        <f>F10+D11</f>
        <v>475</v>
      </c>
      <c r="E12" s="67" t="s">
        <v>17</v>
      </c>
      <c r="F12" s="67"/>
      <c r="G12" s="67"/>
      <c r="H12" s="67"/>
      <c r="I12" s="67"/>
      <c r="J12" s="67"/>
      <c r="K12" s="68"/>
      <c r="L12" s="71" t="s">
        <v>137</v>
      </c>
      <c r="M12" s="70"/>
      <c r="N12" s="70"/>
      <c r="O12" s="77">
        <f>Q10+O11</f>
        <v>475</v>
      </c>
      <c r="P12" s="71" t="s">
        <v>17</v>
      </c>
      <c r="Q12" s="71"/>
      <c r="R12" s="71"/>
      <c r="S12" s="71"/>
      <c r="T12" s="71"/>
      <c r="U12" s="71"/>
    </row>
    <row r="13" spans="1:21" ht="16.5" x14ac:dyDescent="0.3">
      <c r="A13" s="67" t="s">
        <v>231</v>
      </c>
      <c r="B13" s="66"/>
      <c r="C13" s="66">
        <v>0.255</v>
      </c>
      <c r="D13" s="67" t="s">
        <v>97</v>
      </c>
      <c r="E13" s="67"/>
      <c r="F13" s="67"/>
      <c r="G13" s="67" t="s">
        <v>251</v>
      </c>
      <c r="H13" s="67"/>
      <c r="I13" s="67"/>
      <c r="J13" s="67"/>
      <c r="K13" s="68"/>
      <c r="L13" s="71" t="s">
        <v>138</v>
      </c>
      <c r="M13" s="70"/>
      <c r="N13" s="283">
        <v>0.255</v>
      </c>
      <c r="O13" s="71" t="s">
        <v>97</v>
      </c>
      <c r="P13" s="71"/>
      <c r="Q13" s="71"/>
      <c r="R13" s="71" t="s">
        <v>251</v>
      </c>
      <c r="S13" s="71"/>
      <c r="T13" s="71"/>
      <c r="U13" s="71"/>
    </row>
    <row r="14" spans="1:21" ht="16.5" x14ac:dyDescent="0.3">
      <c r="A14" s="67"/>
      <c r="B14" s="66"/>
      <c r="C14" s="66">
        <v>0.745</v>
      </c>
      <c r="D14" s="67" t="s">
        <v>98</v>
      </c>
      <c r="E14" s="67"/>
      <c r="F14" s="67"/>
      <c r="G14" s="67"/>
      <c r="H14" s="67"/>
      <c r="I14" s="67"/>
      <c r="J14" s="67"/>
      <c r="K14" s="68"/>
      <c r="L14" s="71"/>
      <c r="M14" s="70"/>
      <c r="N14" s="283">
        <v>0.745</v>
      </c>
      <c r="O14" s="71" t="s">
        <v>98</v>
      </c>
      <c r="P14" s="71"/>
      <c r="Q14" s="71"/>
      <c r="R14" s="71"/>
      <c r="S14" s="71"/>
      <c r="T14" s="71"/>
      <c r="U14" s="71"/>
    </row>
    <row r="15" spans="1:21" x14ac:dyDescent="0.25">
      <c r="A15" s="67"/>
      <c r="B15" s="66"/>
      <c r="C15" s="66"/>
      <c r="D15" s="67"/>
      <c r="E15" s="67"/>
      <c r="F15" s="67"/>
      <c r="G15" s="67"/>
      <c r="H15" s="67"/>
      <c r="I15" s="67"/>
      <c r="J15" s="67"/>
      <c r="K15" s="68"/>
      <c r="L15" s="71"/>
      <c r="M15" s="70"/>
      <c r="N15" s="70"/>
      <c r="O15" s="71"/>
      <c r="P15" s="71"/>
      <c r="Q15" s="71"/>
      <c r="R15" s="71"/>
      <c r="S15" s="71"/>
      <c r="T15" s="71"/>
      <c r="U15" s="71"/>
    </row>
    <row r="16" spans="1:21" x14ac:dyDescent="0.25">
      <c r="A16" s="67"/>
      <c r="B16" s="66"/>
      <c r="C16" s="116" t="s">
        <v>85</v>
      </c>
      <c r="D16" s="135">
        <f>D12</f>
        <v>475</v>
      </c>
      <c r="E16" s="138" t="s">
        <v>85</v>
      </c>
      <c r="F16" s="117">
        <f>'Step 3'!D4</f>
        <v>350</v>
      </c>
      <c r="G16" s="67" t="s">
        <v>17</v>
      </c>
      <c r="H16" s="67"/>
      <c r="I16" s="67"/>
      <c r="J16" s="67"/>
      <c r="K16" s="68"/>
      <c r="L16" s="71"/>
      <c r="M16" s="70"/>
      <c r="N16" s="118" t="s">
        <v>85</v>
      </c>
      <c r="O16" s="140">
        <f>O12</f>
        <v>475</v>
      </c>
      <c r="P16" s="177" t="s">
        <v>85</v>
      </c>
      <c r="Q16" s="142">
        <f>'Step 3'!O4</f>
        <v>350</v>
      </c>
      <c r="R16" s="71" t="s">
        <v>17</v>
      </c>
      <c r="S16" s="71"/>
      <c r="T16" s="71"/>
      <c r="U16" s="71"/>
    </row>
    <row r="17" spans="1:21" x14ac:dyDescent="0.25">
      <c r="A17" s="67"/>
      <c r="B17" s="117" t="s">
        <v>74</v>
      </c>
      <c r="C17" s="117" t="s">
        <v>75</v>
      </c>
      <c r="D17" s="80" t="s">
        <v>76</v>
      </c>
      <c r="E17" s="67"/>
      <c r="F17" s="80" t="s">
        <v>76</v>
      </c>
      <c r="G17" s="67"/>
      <c r="H17" s="67"/>
      <c r="I17" s="67"/>
      <c r="J17" s="67"/>
      <c r="K17" s="68"/>
      <c r="L17" s="71"/>
      <c r="M17" s="97" t="s">
        <v>74</v>
      </c>
      <c r="N17" s="97" t="s">
        <v>75</v>
      </c>
      <c r="O17" s="82" t="s">
        <v>76</v>
      </c>
      <c r="P17" s="71"/>
      <c r="Q17" s="82" t="s">
        <v>76</v>
      </c>
      <c r="R17" s="71"/>
      <c r="S17" s="71"/>
      <c r="T17" s="71"/>
      <c r="U17" s="71"/>
    </row>
    <row r="18" spans="1:21" ht="16.5" x14ac:dyDescent="0.3">
      <c r="A18" s="67" t="s">
        <v>42</v>
      </c>
      <c r="B18" s="88">
        <f>'Step 3'!B24</f>
        <v>58.495378048852757</v>
      </c>
      <c r="C18" s="130">
        <f>(IF(ROUNDDOWN(D16,-2)=ROUNDUP(D16,-2),VLOOKUP(D16,Enthalpy,19),VLOOKUP(ROUNDDOWN(D16,-2),Enthalpy,19)+(D16-ROUNDDOWN(D16,-2))/(ROUNDUP(D16,-2)-ROUNDDOWN(D16,-2))*(VLOOKUP(ROUNDUP(D16,-2),Enthalpy,19)-VLOOKUP(ROUNDDOWN(D16,-2),Enthalpy,19))))</f>
        <v>3700</v>
      </c>
      <c r="D18" s="150">
        <f>(B18*C18)</f>
        <v>216432.8987807552</v>
      </c>
      <c r="E18" s="67"/>
      <c r="F18" s="150">
        <f>(B18*'Step 3'!C24)</f>
        <v>152906.9182197011</v>
      </c>
      <c r="G18" s="67"/>
      <c r="H18" s="67"/>
      <c r="I18" s="67"/>
      <c r="J18" s="67"/>
      <c r="K18" s="68"/>
      <c r="L18" s="71" t="s">
        <v>42</v>
      </c>
      <c r="M18" s="91">
        <f>'Step 3'!M24</f>
        <v>58.495374535228052</v>
      </c>
      <c r="N18" s="113">
        <f>IF(ROUNDDOWN(O16,-2)=ROUNDUP(O16,-2),VLOOKUP(O16,Enthalpy,19),VLOOKUP(ROUNDDOWN(O16,-2),Enthalpy,19)+(O16-ROUNDDOWN(O16,-2))/(ROUNDUP(O16,-2)-ROUNDDOWN(O16,-2))*(VLOOKUP(ROUNDUP(O16,-2),Enthalpy,19)-VLOOKUP(ROUNDDOWN(O16,-2),Enthalpy,19)))</f>
        <v>3700</v>
      </c>
      <c r="O18" s="154">
        <f>M18*N18</f>
        <v>216432.88578034379</v>
      </c>
      <c r="P18" s="71"/>
      <c r="Q18" s="154">
        <f>M18*'Step 3'!N24</f>
        <v>152906.90903508614</v>
      </c>
      <c r="R18" s="71"/>
      <c r="S18" s="71"/>
      <c r="T18" s="71"/>
      <c r="U18" s="71"/>
    </row>
    <row r="19" spans="1:21" ht="16.5" x14ac:dyDescent="0.3">
      <c r="A19" s="67" t="s">
        <v>43</v>
      </c>
      <c r="B19" s="88">
        <f>'Step 3'!B25</f>
        <v>159.09563336735241</v>
      </c>
      <c r="C19" s="130">
        <f>(IF(ROUNDDOWN(D16,-2)=ROUNDUP(D16,-2),VLOOKUP(D16,Enthalpy,14),VLOOKUP(ROUNDDOWN(D16,-2),Enthalpy,14)+(D16-ROUNDDOWN(D16,-2))/(ROUNDUP(D16,-2)-ROUNDDOWN(D16,-2))*(VLOOKUP(ROUNDUP(D16,-2),Enthalpy,14)-VLOOKUP(ROUNDDOWN(D16,-2),Enthalpy,14))))</f>
        <v>4367.75</v>
      </c>
      <c r="D19" s="150">
        <f t="shared" ref="D19:D24" si="0">(B19*C19)</f>
        <v>694889.95264025347</v>
      </c>
      <c r="E19" s="67"/>
      <c r="F19" s="150">
        <f>(B19*'Step 3'!C25)</f>
        <v>485241.68177042482</v>
      </c>
      <c r="G19" s="67"/>
      <c r="H19" s="67"/>
      <c r="I19" s="67"/>
      <c r="J19" s="67"/>
      <c r="K19" s="68"/>
      <c r="L19" s="71" t="s">
        <v>43</v>
      </c>
      <c r="M19" s="91">
        <f>'Step 3'!M25</f>
        <v>159.09563336735241</v>
      </c>
      <c r="N19" s="113">
        <f>IF(ROUNDDOWN(O16,-2)=ROUNDUP(O16,-2),VLOOKUP(O16,Enthalpy,14),VLOOKUP(ROUNDDOWN(O16,-2),Enthalpy,14)+(O16-ROUNDDOWN(O16,-2))/(ROUNDUP(O16,-2)-ROUNDDOWN(O16,-2))*(VLOOKUP(ROUNDUP(O16,-2),Enthalpy,14)-VLOOKUP(ROUNDDOWN(O16,-2),Enthalpy,14)))</f>
        <v>4367.75</v>
      </c>
      <c r="O19" s="154">
        <f t="shared" ref="O19:O24" si="1">M19*N19</f>
        <v>694889.95264025347</v>
      </c>
      <c r="P19" s="71"/>
      <c r="Q19" s="154">
        <f>M19*'Step 3'!N25</f>
        <v>485241.68177042482</v>
      </c>
      <c r="R19" s="71"/>
      <c r="S19" s="71"/>
      <c r="T19" s="71"/>
      <c r="U19" s="71"/>
    </row>
    <row r="20" spans="1:21" ht="16.5" x14ac:dyDescent="0.3">
      <c r="A20" s="67" t="s">
        <v>44</v>
      </c>
      <c r="B20" s="88">
        <f>'Step 3'!B26</f>
        <v>293.64787642816805</v>
      </c>
      <c r="C20" s="130">
        <f>(IF(ROUNDDOWN(D16,-2)=ROUNDUP(D16,-2),VLOOKUP(D16,Enthalpy,15),VLOOKUP(ROUNDDOWN(D16,-2),Enthalpy,15)+(D16-ROUNDDOWN(D16,-2))/(ROUNDUP(D16,-2)-ROUNDDOWN(D16,-2))*(VLOOKUP(ROUNDUP(D16,-2),Enthalpy,15)-VLOOKUP(ROUNDDOWN(D16,-2),Enthalpy,15))))</f>
        <v>3714.75</v>
      </c>
      <c r="D20" s="150">
        <f t="shared" si="0"/>
        <v>1090828.4489615373</v>
      </c>
      <c r="E20" s="67"/>
      <c r="F20" s="150">
        <f>(B20*'Step 3'!C26)</f>
        <v>778607.34434928757</v>
      </c>
      <c r="G20" s="67"/>
      <c r="H20" s="67"/>
      <c r="I20" s="67"/>
      <c r="J20" s="67"/>
      <c r="K20" s="68"/>
      <c r="L20" s="71" t="s">
        <v>44</v>
      </c>
      <c r="M20" s="91">
        <f>'Step 3'!M26</f>
        <v>293.64787994179278</v>
      </c>
      <c r="N20" s="113">
        <f>IF(ROUNDDOWN(O16,-2)=ROUNDUP(O16,-2),VLOOKUP(O16,Enthalpy,15),VLOOKUP(ROUNDDOWN(O16,-2),Enthalpy,15)+(O16-ROUNDDOWN(O16,-2))/(ROUNDUP(O16,-2)-ROUNDDOWN(O16,-2))*(VLOOKUP(ROUNDUP(O16,-2),Enthalpy,15)-VLOOKUP(ROUNDDOWN(O16,-2),Enthalpy,15)))</f>
        <v>3714.75</v>
      </c>
      <c r="O20" s="154">
        <f t="shared" si="1"/>
        <v>1090828.4620137748</v>
      </c>
      <c r="P20" s="71"/>
      <c r="Q20" s="154">
        <f>M20*'Step 3'!N26</f>
        <v>778607.35366566351</v>
      </c>
      <c r="R20" s="71"/>
      <c r="S20" s="71"/>
      <c r="T20" s="71"/>
      <c r="U20" s="71"/>
    </row>
    <row r="21" spans="1:21" ht="16.5" x14ac:dyDescent="0.3">
      <c r="A21" s="67" t="s">
        <v>51</v>
      </c>
      <c r="B21" s="88">
        <f>'Step 3'!B27</f>
        <v>29.247689024426379</v>
      </c>
      <c r="C21" s="130">
        <f>(IF(ROUNDDOWN(D16,-2)=ROUNDUP(D16,-2),VLOOKUP(D16,Enthalpy,17),VLOOKUP(ROUNDDOWN(D16,-2),Enthalpy,17)+(D16-ROUNDDOWN(D16,-2))/(ROUNDUP(D16,-2)-ROUNDDOWN(D16,-2))*(VLOOKUP(ROUNDUP(D16,-2),Enthalpy,17)-VLOOKUP(ROUNDDOWN(D16,-2),Enthalpy,17))))</f>
        <v>4676.75</v>
      </c>
      <c r="D21" s="150">
        <f t="shared" si="0"/>
        <v>136784.12964498607</v>
      </c>
      <c r="E21" s="67"/>
      <c r="F21" s="150">
        <f>(B21*'Step 3'!C27)</f>
        <v>95698.438487923107</v>
      </c>
      <c r="G21" s="67"/>
      <c r="H21" s="67"/>
      <c r="I21" s="67"/>
      <c r="J21" s="67"/>
      <c r="K21" s="68"/>
      <c r="L21" s="71" t="s">
        <v>51</v>
      </c>
      <c r="M21" s="91">
        <f>'Step 3'!M27</f>
        <v>29.247687267614026</v>
      </c>
      <c r="N21" s="113">
        <f>IF(ROUNDDOWN(O16,-2)=ROUNDUP(O16,-2),VLOOKUP(O16,Enthalpy,17),VLOOKUP(ROUNDDOWN(O16,-2),Enthalpy,17)+(O16-ROUNDDOWN(O16,-2))/(ROUNDUP(O16,-2)-ROUNDDOWN(O16,-2))*(VLOOKUP(ROUNDUP(O16,-2),Enthalpy,17)-VLOOKUP(ROUNDDOWN(O16,-2),Enthalpy,17)))</f>
        <v>4676.75</v>
      </c>
      <c r="O21" s="154">
        <f t="shared" si="1"/>
        <v>136784.1214288139</v>
      </c>
      <c r="P21" s="71"/>
      <c r="Q21" s="154">
        <f>M21*'Step 3'!N27</f>
        <v>95698.432739633092</v>
      </c>
      <c r="R21" s="71"/>
      <c r="S21" s="71"/>
      <c r="T21" s="71"/>
      <c r="U21" s="71"/>
    </row>
    <row r="22" spans="1:21" ht="16.5" x14ac:dyDescent="0.3">
      <c r="A22" s="67" t="s">
        <v>52</v>
      </c>
      <c r="B22" s="88">
        <f>'Step 3'!B28</f>
        <v>582.62585529985779</v>
      </c>
      <c r="C22" s="130">
        <f>(IF(ROUNDDOWN(D16,-2)=ROUNDUP(D16,-2),VLOOKUP(D16,Enthalpy,9),VLOOKUP(ROUNDDOWN(D16,-2),Enthalpy,9)+(D16-ROUNDDOWN(D16,-2))/(ROUNDUP(D16,-2)-ROUNDDOWN(D16,-2))*(VLOOKUP(ROUNDUP(D16,-2),Enthalpy,9)-VLOOKUP(ROUNDDOWN(D16,-2),Enthalpy,9))))</f>
        <v>3108</v>
      </c>
      <c r="D22" s="150">
        <f t="shared" si="0"/>
        <v>1810801.1582719581</v>
      </c>
      <c r="E22" s="67"/>
      <c r="F22" s="150">
        <f>(B22*'Step 3'!C28)</f>
        <v>1296342.5280421835</v>
      </c>
      <c r="G22" s="67"/>
      <c r="H22" s="67"/>
      <c r="I22" s="67"/>
      <c r="J22" s="67"/>
      <c r="K22" s="68"/>
      <c r="L22" s="71" t="s">
        <v>52</v>
      </c>
      <c r="M22" s="91">
        <f>'Step 3'!M28</f>
        <v>582.62585529985779</v>
      </c>
      <c r="N22" s="113">
        <f>IF(ROUNDDOWN(O16,-2)=ROUNDUP(O16,-2),VLOOKUP(O16,Enthalpy,9),VLOOKUP(ROUNDDOWN(O16,-2),Enthalpy,9)+(O16-ROUNDDOWN(O16,-2))/(ROUNDUP(O16,-2)-ROUNDDOWN(O16,-2))*(VLOOKUP(ROUNDUP(O16,-2),Enthalpy,9)-VLOOKUP(ROUNDDOWN(O16,-2),Enthalpy,9)))</f>
        <v>3108</v>
      </c>
      <c r="O22" s="154">
        <f t="shared" si="1"/>
        <v>1810801.1582719581</v>
      </c>
      <c r="P22" s="71"/>
      <c r="Q22" s="154">
        <f>M22*'Step 3'!N28</f>
        <v>1296342.5280421835</v>
      </c>
      <c r="R22" s="71"/>
      <c r="S22" s="71"/>
      <c r="T22" s="71"/>
      <c r="U22" s="71"/>
    </row>
    <row r="23" spans="1:21" ht="16.5" x14ac:dyDescent="0.3">
      <c r="A23" s="67" t="s">
        <v>55</v>
      </c>
      <c r="B23" s="88">
        <f>ROUND(C13*('Step 3'!B16+'Step 3'!B18),2)</f>
        <v>0.25</v>
      </c>
      <c r="C23" s="130">
        <f>(IF(ROUNDDOWN(D16,-2)=ROUNDUP(D16,-2),VLOOKUP(D16,Enthalpy,22),VLOOKUP(ROUNDDOWN(D16,-2),Enthalpy,22)+(D16-ROUNDDOWN(D16,-2))/(ROUNDUP(D16,-2)-ROUNDDOWN(D16,-2))*(VLOOKUP(ROUNDUP(D16,-2),Enthalpy,22)-VLOOKUP(ROUNDDOWN(D16,-2),Enthalpy,22))))</f>
        <v>12692.5</v>
      </c>
      <c r="D23" s="150">
        <f t="shared" si="0"/>
        <v>3173.125</v>
      </c>
      <c r="E23" s="67"/>
      <c r="F23" s="150">
        <f>('Step 3'!B16*'Step 3'!C30)</f>
        <v>1274.5889757068794</v>
      </c>
      <c r="G23" s="67"/>
      <c r="H23" s="67"/>
      <c r="I23" s="67"/>
      <c r="J23" s="67"/>
      <c r="K23" s="68"/>
      <c r="L23" s="71" t="s">
        <v>55</v>
      </c>
      <c r="M23" s="91">
        <f>ROUND(N13*('Step 3'!M16+'Step 3'!M18),2)</f>
        <v>0.25</v>
      </c>
      <c r="N23" s="113">
        <f>IF(ROUNDDOWN(O16,-2)=ROUNDUP(O16,-2),VLOOKUP(O16,Enthalpy,22),VLOOKUP(ROUNDDOWN(O16,-2),Enthalpy,22)+(O16-ROUNDDOWN(O16,-2))/(ROUNDUP(O16,-2)-ROUNDDOWN(O16,-2))*(VLOOKUP(ROUNDUP(O16,-2),Enthalpy,22)-VLOOKUP(ROUNDDOWN(O16,-2),Enthalpy,22)))</f>
        <v>12692.5</v>
      </c>
      <c r="O23" s="154">
        <f t="shared" si="1"/>
        <v>3173.125</v>
      </c>
      <c r="P23" s="71"/>
      <c r="Q23" s="154">
        <f>('Step 3'!M16*'Step 3'!N30)</f>
        <v>1274.5179751012508</v>
      </c>
      <c r="R23" s="71"/>
      <c r="S23" s="71"/>
      <c r="T23" s="71"/>
      <c r="U23" s="71"/>
    </row>
    <row r="24" spans="1:21" ht="16.5" x14ac:dyDescent="0.3">
      <c r="A24" s="67" t="s">
        <v>56</v>
      </c>
      <c r="B24" s="94">
        <f>ROUND(C14*('Step 3'!B16+'Step 3'!B18),2)</f>
        <v>0.73</v>
      </c>
      <c r="C24" s="130">
        <f>(IF(ROUNDDOWN(D16,-2)=ROUNDUP(D16,-2),VLOOKUP(D16,Enthalpy,23),VLOOKUP(ROUNDDOWN(D16,-2),Enthalpy,23)+(D16-ROUNDDOWN(D16,-2))/(ROUNDUP(D16,-2)-ROUNDDOWN(D16,-2))*(VLOOKUP(ROUNDUP(D16,-2),Enthalpy,23)-VLOOKUP(ROUNDDOWN(D16,-2),Enthalpy,23))))</f>
        <v>17542.5</v>
      </c>
      <c r="D24" s="158">
        <f t="shared" si="0"/>
        <v>12806.025</v>
      </c>
      <c r="E24" s="67"/>
      <c r="F24" s="158">
        <f>('Step 3'!B18*'Step 3'!C31)</f>
        <v>10378.437098602548</v>
      </c>
      <c r="G24" s="67"/>
      <c r="H24" s="67"/>
      <c r="I24" s="67"/>
      <c r="J24" s="67"/>
      <c r="K24" s="68"/>
      <c r="L24" s="71" t="s">
        <v>56</v>
      </c>
      <c r="M24" s="96">
        <f>ROUND(N14*('Step 3'!M16+'Step 3'!M18),2)</f>
        <v>0.73</v>
      </c>
      <c r="N24" s="113">
        <f>IF(ROUNDDOWN(O16,-2)=ROUNDUP(O16,-2),VLOOKUP(O16,Enthalpy,23),VLOOKUP(ROUNDDOWN(O16,-2),Enthalpy,23)+(O16-ROUNDDOWN(O16,-2))/(ROUNDUP(O16,-2)-ROUNDDOWN(O16,-2))*(VLOOKUP(ROUNDUP(O16,-2),Enthalpy,23)-VLOOKUP(ROUNDDOWN(O16,-2),Enthalpy,23)))</f>
        <v>17542.5</v>
      </c>
      <c r="O24" s="161">
        <f t="shared" si="1"/>
        <v>12806.025</v>
      </c>
      <c r="P24" s="71"/>
      <c r="Q24" s="161">
        <f>('Step 3'!M18*'Step 3'!N31)</f>
        <v>10411.799999999999</v>
      </c>
      <c r="R24" s="71"/>
      <c r="S24" s="71"/>
      <c r="T24" s="71"/>
      <c r="U24" s="71"/>
    </row>
    <row r="25" spans="1:21" x14ac:dyDescent="0.25">
      <c r="A25" s="67"/>
      <c r="B25" s="88">
        <f>SUM(B18:B24)</f>
        <v>1124.0924321686575</v>
      </c>
      <c r="C25" s="66"/>
      <c r="D25" s="150">
        <f>SUM(D18:D24)</f>
        <v>3965715.7382994904</v>
      </c>
      <c r="E25" s="67"/>
      <c r="F25" s="150">
        <f>SUM(F18:F24)</f>
        <v>2820449.93694383</v>
      </c>
      <c r="G25" s="67"/>
      <c r="H25" s="67"/>
      <c r="I25" s="67"/>
      <c r="J25" s="67"/>
      <c r="K25" s="68"/>
      <c r="L25" s="71"/>
      <c r="M25" s="91">
        <f>SUM(M18:M24)</f>
        <v>1124.0924304118453</v>
      </c>
      <c r="N25" s="70"/>
      <c r="O25" s="154">
        <f>SUM(O18:O24)</f>
        <v>3965715.7301351437</v>
      </c>
      <c r="P25" s="71"/>
      <c r="Q25" s="154">
        <f>SUM(Q18:Q24)</f>
        <v>2820483.2232280923</v>
      </c>
      <c r="R25" s="71"/>
      <c r="S25" s="71"/>
      <c r="T25" s="71"/>
      <c r="U25" s="71"/>
    </row>
    <row r="26" spans="1:21" ht="15.75" thickBot="1" x14ac:dyDescent="0.3">
      <c r="A26" s="67"/>
      <c r="B26" s="66"/>
      <c r="C26" s="66"/>
      <c r="D26" s="67"/>
      <c r="E26" s="67"/>
      <c r="F26" s="67"/>
      <c r="G26" s="67"/>
      <c r="H26" s="67"/>
      <c r="I26" s="67"/>
      <c r="J26" s="67"/>
      <c r="K26" s="68"/>
      <c r="L26" s="71"/>
      <c r="M26" s="70"/>
      <c r="N26" s="70"/>
      <c r="O26" s="71"/>
      <c r="P26" s="71"/>
      <c r="Q26" s="71"/>
      <c r="R26" s="71"/>
      <c r="S26" s="71"/>
      <c r="T26" s="71"/>
      <c r="U26" s="71"/>
    </row>
    <row r="27" spans="1:21" ht="15.75" thickBot="1" x14ac:dyDescent="0.3">
      <c r="A27" s="67"/>
      <c r="B27" s="75" t="s">
        <v>139</v>
      </c>
      <c r="C27" s="219">
        <f>D25-F25</f>
        <v>1145265.8013556604</v>
      </c>
      <c r="D27" s="101" t="s">
        <v>76</v>
      </c>
      <c r="E27" s="67"/>
      <c r="F27" s="67"/>
      <c r="G27" s="67"/>
      <c r="H27" s="67"/>
      <c r="I27" s="67"/>
      <c r="J27" s="67"/>
      <c r="K27" s="68"/>
      <c r="L27" s="71"/>
      <c r="M27" s="77" t="s">
        <v>139</v>
      </c>
      <c r="N27" s="220">
        <f>O25-Q25</f>
        <v>1145232.5069070514</v>
      </c>
      <c r="O27" s="102" t="s">
        <v>76</v>
      </c>
      <c r="P27" s="71"/>
      <c r="Q27" s="71"/>
      <c r="R27" s="71"/>
      <c r="S27" s="71"/>
      <c r="T27" s="71"/>
      <c r="U27" s="71"/>
    </row>
    <row r="28" spans="1:21" x14ac:dyDescent="0.25">
      <c r="A28" s="67"/>
      <c r="B28" s="66"/>
      <c r="C28" s="66"/>
      <c r="D28" s="67"/>
      <c r="E28" s="67"/>
      <c r="F28" s="67"/>
      <c r="G28" s="67"/>
      <c r="H28" s="67"/>
      <c r="I28" s="67"/>
      <c r="J28" s="67"/>
      <c r="K28" s="68"/>
      <c r="L28" s="71"/>
      <c r="M28" s="70"/>
      <c r="N28" s="70"/>
      <c r="O28" s="71"/>
      <c r="P28" s="71"/>
      <c r="Q28" s="71"/>
      <c r="R28" s="71"/>
      <c r="S28" s="71"/>
      <c r="T28" s="71"/>
      <c r="U28" s="71"/>
    </row>
    <row r="31" spans="1:21" x14ac:dyDescent="0.25">
      <c r="A31" s="58" t="s">
        <v>327</v>
      </c>
    </row>
    <row r="32" spans="1:21" x14ac:dyDescent="0.25">
      <c r="A32" s="58" t="s">
        <v>328</v>
      </c>
    </row>
    <row r="33" spans="1:1" x14ac:dyDescent="0.25">
      <c r="A33" s="58" t="s">
        <v>329</v>
      </c>
    </row>
    <row r="34" spans="1:1" x14ac:dyDescent="0.25">
      <c r="A34" s="58" t="s">
        <v>330</v>
      </c>
    </row>
    <row r="35" spans="1:1" x14ac:dyDescent="0.25">
      <c r="A35" s="58" t="s">
        <v>331</v>
      </c>
    </row>
  </sheetData>
  <sheetProtection password="F030" sheet="1" objects="1" scenarios="1"/>
  <mergeCells count="4">
    <mergeCell ref="C8:D8"/>
    <mergeCell ref="N8:O8"/>
    <mergeCell ref="A2:G2"/>
    <mergeCell ref="L2:R2"/>
  </mergeCells>
  <phoneticPr fontId="21"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9"/>
  <sheetViews>
    <sheetView topLeftCell="E108" zoomScale="80" zoomScaleNormal="80" workbookViewId="0">
      <selection activeCell="Q140" sqref="Q140"/>
    </sheetView>
  </sheetViews>
  <sheetFormatPr defaultRowHeight="15" x14ac:dyDescent="0.25"/>
  <cols>
    <col min="1" max="1" width="14.7109375" style="242" customWidth="1"/>
    <col min="2" max="2" width="14" style="242" customWidth="1"/>
    <col min="3" max="3" width="15.140625" style="242" customWidth="1"/>
    <col min="4" max="4" width="15.42578125" style="242" customWidth="1"/>
    <col min="5" max="5" width="15.140625" style="242" customWidth="1"/>
    <col min="6" max="6" width="12.28515625" style="242" customWidth="1"/>
    <col min="7" max="11" width="9.140625" style="242"/>
    <col min="12" max="12" width="15.140625" style="242" customWidth="1"/>
    <col min="13" max="13" width="14" style="242" customWidth="1"/>
    <col min="14" max="14" width="15" style="242" customWidth="1"/>
    <col min="15" max="15" width="15.28515625" style="242" customWidth="1"/>
    <col min="16" max="16" width="15.140625" style="242" customWidth="1"/>
    <col min="17" max="17" width="12" style="242" customWidth="1"/>
    <col min="18" max="21" width="9" style="242" customWidth="1"/>
    <col min="22" max="16384" width="9.140625" style="242"/>
  </cols>
  <sheetData>
    <row r="1" spans="1:21" ht="20.25" x14ac:dyDescent="0.3">
      <c r="A1" s="65" t="s">
        <v>93</v>
      </c>
      <c r="B1" s="66"/>
      <c r="C1" s="66"/>
      <c r="D1" s="67"/>
      <c r="E1" s="67"/>
      <c r="F1" s="67"/>
      <c r="G1" s="67"/>
      <c r="H1" s="67"/>
      <c r="I1" s="67"/>
      <c r="J1" s="67"/>
      <c r="K1" s="68"/>
      <c r="L1" s="241" t="s">
        <v>93</v>
      </c>
      <c r="M1" s="70"/>
      <c r="N1" s="70"/>
      <c r="O1" s="71"/>
      <c r="P1" s="71"/>
      <c r="Q1" s="71"/>
      <c r="R1" s="71"/>
      <c r="S1" s="71"/>
      <c r="T1" s="71"/>
      <c r="U1" s="71"/>
    </row>
    <row r="2" spans="1:21" ht="30" customHeight="1" x14ac:dyDescent="0.25">
      <c r="A2" s="103" t="s">
        <v>257</v>
      </c>
      <c r="B2" s="104"/>
      <c r="C2" s="104"/>
      <c r="D2" s="104"/>
      <c r="E2" s="104"/>
      <c r="F2" s="104"/>
      <c r="G2" s="104"/>
      <c r="H2" s="67"/>
      <c r="I2" s="67"/>
      <c r="J2" s="67"/>
      <c r="K2" s="68"/>
      <c r="L2" s="180" t="s">
        <v>257</v>
      </c>
      <c r="M2" s="180"/>
      <c r="N2" s="180"/>
      <c r="O2" s="180"/>
      <c r="P2" s="180"/>
      <c r="Q2" s="180"/>
      <c r="R2" s="180"/>
      <c r="S2" s="176"/>
      <c r="T2" s="176"/>
      <c r="U2" s="176"/>
    </row>
    <row r="3" spans="1:21" ht="16.5" x14ac:dyDescent="0.3">
      <c r="A3" s="67" t="s">
        <v>281</v>
      </c>
      <c r="B3" s="66"/>
      <c r="C3" s="66"/>
      <c r="D3" s="67"/>
      <c r="E3" s="67"/>
      <c r="F3" s="67"/>
      <c r="G3" s="67"/>
      <c r="H3" s="67"/>
      <c r="I3" s="67"/>
      <c r="J3" s="67"/>
      <c r="K3" s="68"/>
      <c r="L3" s="71" t="s">
        <v>281</v>
      </c>
      <c r="M3" s="70"/>
      <c r="N3" s="70"/>
      <c r="O3" s="71"/>
      <c r="P3" s="71"/>
      <c r="Q3" s="71"/>
      <c r="R3" s="71"/>
      <c r="S3" s="71"/>
      <c r="T3" s="71"/>
      <c r="U3" s="71"/>
    </row>
    <row r="4" spans="1:21" ht="16.5" x14ac:dyDescent="0.3">
      <c r="A4" s="67" t="s">
        <v>140</v>
      </c>
      <c r="B4" s="66"/>
      <c r="C4" s="66"/>
      <c r="D4" s="67"/>
      <c r="E4" s="67"/>
      <c r="F4" s="67"/>
      <c r="G4" s="67"/>
      <c r="H4" s="67"/>
      <c r="I4" s="67"/>
      <c r="J4" s="67"/>
      <c r="K4" s="68"/>
      <c r="L4" s="71" t="s">
        <v>140</v>
      </c>
      <c r="M4" s="70"/>
      <c r="N4" s="70"/>
      <c r="O4" s="71"/>
      <c r="P4" s="71"/>
      <c r="Q4" s="71"/>
      <c r="R4" s="71"/>
      <c r="S4" s="71"/>
      <c r="T4" s="71"/>
      <c r="U4" s="71"/>
    </row>
    <row r="5" spans="1:21" ht="16.5" x14ac:dyDescent="0.3">
      <c r="A5" s="67"/>
      <c r="B5" s="67" t="s">
        <v>142</v>
      </c>
      <c r="C5" s="66"/>
      <c r="D5" s="67"/>
      <c r="E5" s="67"/>
      <c r="F5" s="67"/>
      <c r="G5" s="67"/>
      <c r="H5" s="67"/>
      <c r="I5" s="67"/>
      <c r="J5" s="67"/>
      <c r="K5" s="68"/>
      <c r="L5" s="71"/>
      <c r="M5" s="71" t="s">
        <v>142</v>
      </c>
      <c r="N5" s="70"/>
      <c r="O5" s="71"/>
      <c r="P5" s="71"/>
      <c r="Q5" s="71"/>
      <c r="R5" s="71"/>
      <c r="S5" s="71"/>
      <c r="T5" s="71"/>
      <c r="U5" s="71"/>
    </row>
    <row r="6" spans="1:21" x14ac:dyDescent="0.25">
      <c r="A6" s="67"/>
      <c r="B6" s="67" t="s">
        <v>141</v>
      </c>
      <c r="C6" s="66"/>
      <c r="D6" s="67"/>
      <c r="E6" s="67"/>
      <c r="F6" s="67"/>
      <c r="G6" s="67"/>
      <c r="H6" s="67"/>
      <c r="I6" s="67"/>
      <c r="J6" s="67"/>
      <c r="K6" s="68"/>
      <c r="L6" s="71"/>
      <c r="M6" s="71" t="s">
        <v>141</v>
      </c>
      <c r="N6" s="70"/>
      <c r="O6" s="71"/>
      <c r="P6" s="71"/>
      <c r="Q6" s="71"/>
      <c r="R6" s="71"/>
      <c r="S6" s="71"/>
      <c r="T6" s="71"/>
      <c r="U6" s="71"/>
    </row>
    <row r="7" spans="1:21" x14ac:dyDescent="0.25">
      <c r="A7" s="75" t="s">
        <v>258</v>
      </c>
      <c r="B7" s="66" t="s">
        <v>1</v>
      </c>
      <c r="C7" s="90">
        <v>-54330</v>
      </c>
      <c r="D7" s="67" t="s">
        <v>84</v>
      </c>
      <c r="E7" s="67"/>
      <c r="F7" s="67"/>
      <c r="G7" s="67"/>
      <c r="H7" s="67"/>
      <c r="I7" s="67"/>
      <c r="J7" s="67"/>
      <c r="K7" s="68"/>
      <c r="L7" s="77" t="s">
        <v>258</v>
      </c>
      <c r="M7" s="70" t="s">
        <v>1</v>
      </c>
      <c r="N7" s="292">
        <v>-54330</v>
      </c>
      <c r="O7" s="71" t="s">
        <v>84</v>
      </c>
      <c r="P7" s="71"/>
      <c r="Q7" s="71"/>
      <c r="R7" s="71"/>
      <c r="S7" s="71"/>
      <c r="T7" s="71"/>
      <c r="U7" s="71"/>
    </row>
    <row r="8" spans="1:21" x14ac:dyDescent="0.25">
      <c r="A8" s="67"/>
      <c r="B8" s="66"/>
      <c r="C8" s="66"/>
      <c r="D8" s="67"/>
      <c r="E8" s="67"/>
      <c r="F8" s="67"/>
      <c r="G8" s="67"/>
      <c r="H8" s="67"/>
      <c r="I8" s="67"/>
      <c r="J8" s="67"/>
      <c r="K8" s="68"/>
      <c r="L8" s="71"/>
      <c r="M8" s="70"/>
      <c r="N8" s="70"/>
      <c r="O8" s="71"/>
      <c r="P8" s="71"/>
      <c r="Q8" s="71"/>
      <c r="R8" s="71"/>
      <c r="S8" s="71"/>
      <c r="T8" s="71"/>
      <c r="U8" s="71"/>
    </row>
    <row r="9" spans="1:21" x14ac:dyDescent="0.25">
      <c r="A9" s="67"/>
      <c r="B9" s="75" t="str">
        <f>CONCATENATE("Feed Gas @ ", 'Step 4'!D12, "°F")</f>
        <v>Feed Gas @ 475°F</v>
      </c>
      <c r="C9" s="114" t="s">
        <v>143</v>
      </c>
      <c r="D9" s="114"/>
      <c r="E9" s="67"/>
      <c r="F9" s="67"/>
      <c r="G9" s="67"/>
      <c r="H9" s="67"/>
      <c r="I9" s="67"/>
      <c r="J9" s="67"/>
      <c r="K9" s="68"/>
      <c r="L9" s="71"/>
      <c r="M9" s="77" t="str">
        <f>CONCATENATE("Feed Gas @ ", 'Step 4'!O12, "°F")</f>
        <v>Feed Gas @ 475°F</v>
      </c>
      <c r="N9" s="115" t="s">
        <v>143</v>
      </c>
      <c r="O9" s="243"/>
      <c r="P9" s="71"/>
      <c r="Q9" s="71"/>
      <c r="R9" s="71"/>
      <c r="S9" s="71"/>
      <c r="T9" s="71"/>
      <c r="U9" s="71"/>
    </row>
    <row r="10" spans="1:21" x14ac:dyDescent="0.25">
      <c r="A10" s="67"/>
      <c r="B10" s="117" t="s">
        <v>74</v>
      </c>
      <c r="C10" s="244" t="s">
        <v>74</v>
      </c>
      <c r="D10" s="244"/>
      <c r="E10" s="67"/>
      <c r="F10" s="67"/>
      <c r="G10" s="67"/>
      <c r="H10" s="67"/>
      <c r="I10" s="67"/>
      <c r="J10" s="67"/>
      <c r="K10" s="68"/>
      <c r="L10" s="71"/>
      <c r="M10" s="97" t="s">
        <v>74</v>
      </c>
      <c r="N10" s="245" t="s">
        <v>74</v>
      </c>
      <c r="O10" s="245"/>
      <c r="P10" s="71"/>
      <c r="Q10" s="71"/>
      <c r="R10" s="71"/>
      <c r="S10" s="71"/>
      <c r="T10" s="71"/>
      <c r="U10" s="71"/>
    </row>
    <row r="11" spans="1:21" ht="16.5" x14ac:dyDescent="0.3">
      <c r="A11" s="67" t="s">
        <v>42</v>
      </c>
      <c r="B11" s="88">
        <f>'Step 4'!B18</f>
        <v>58.495378048852757</v>
      </c>
      <c r="C11" s="89">
        <f>B11</f>
        <v>58.495378048852757</v>
      </c>
      <c r="D11" s="90" t="s">
        <v>144</v>
      </c>
      <c r="E11" s="67"/>
      <c r="F11" s="67"/>
      <c r="G11" s="67"/>
      <c r="H11" s="67"/>
      <c r="I11" s="67"/>
      <c r="J11" s="67"/>
      <c r="K11" s="68"/>
      <c r="L11" s="71" t="s">
        <v>42</v>
      </c>
      <c r="M11" s="91">
        <f>'Step 4'!M18</f>
        <v>58.495374535228052</v>
      </c>
      <c r="N11" s="92">
        <f>M11</f>
        <v>58.495374535228052</v>
      </c>
      <c r="O11" s="93" t="s">
        <v>144</v>
      </c>
      <c r="P11" s="71"/>
      <c r="Q11" s="71"/>
      <c r="R11" s="71"/>
      <c r="S11" s="71"/>
      <c r="T11" s="71"/>
      <c r="U11" s="71"/>
    </row>
    <row r="12" spans="1:21" ht="16.5" x14ac:dyDescent="0.3">
      <c r="A12" s="67" t="s">
        <v>43</v>
      </c>
      <c r="B12" s="88">
        <f>'Step 4'!B19</f>
        <v>159.09563336735241</v>
      </c>
      <c r="C12" s="89">
        <f>B12</f>
        <v>159.09563336735241</v>
      </c>
      <c r="D12" s="67"/>
      <c r="E12" s="67"/>
      <c r="F12" s="67"/>
      <c r="G12" s="67"/>
      <c r="H12" s="67"/>
      <c r="I12" s="67"/>
      <c r="J12" s="67"/>
      <c r="K12" s="68"/>
      <c r="L12" s="71" t="s">
        <v>43</v>
      </c>
      <c r="M12" s="91">
        <f>'Step 4'!M19</f>
        <v>159.09563336735241</v>
      </c>
      <c r="N12" s="92">
        <f>M12</f>
        <v>159.09563336735241</v>
      </c>
      <c r="O12" s="71"/>
      <c r="P12" s="71"/>
      <c r="Q12" s="71"/>
      <c r="R12" s="71"/>
      <c r="S12" s="71"/>
      <c r="T12" s="71"/>
      <c r="U12" s="71"/>
    </row>
    <row r="13" spans="1:21" ht="16.5" x14ac:dyDescent="0.3">
      <c r="A13" s="67" t="s">
        <v>44</v>
      </c>
      <c r="B13" s="88">
        <f>'Step 4'!B20</f>
        <v>293.64787642816805</v>
      </c>
      <c r="C13" s="89">
        <f>B13</f>
        <v>293.64787642816805</v>
      </c>
      <c r="D13" s="90" t="s">
        <v>145</v>
      </c>
      <c r="E13" s="67"/>
      <c r="F13" s="67"/>
      <c r="G13" s="67"/>
      <c r="H13" s="67"/>
      <c r="I13" s="67"/>
      <c r="J13" s="67"/>
      <c r="K13" s="68"/>
      <c r="L13" s="71" t="s">
        <v>44</v>
      </c>
      <c r="M13" s="91">
        <f>'Step 4'!M20</f>
        <v>293.64787994179278</v>
      </c>
      <c r="N13" s="92">
        <f>M13</f>
        <v>293.64787994179278</v>
      </c>
      <c r="O13" s="93" t="s">
        <v>145</v>
      </c>
      <c r="P13" s="71"/>
      <c r="Q13" s="71"/>
      <c r="R13" s="71"/>
      <c r="S13" s="71"/>
      <c r="T13" s="71"/>
      <c r="U13" s="71"/>
    </row>
    <row r="14" spans="1:21" ht="16.5" x14ac:dyDescent="0.3">
      <c r="A14" s="67" t="s">
        <v>51</v>
      </c>
      <c r="B14" s="88">
        <f>'Step 4'!B21</f>
        <v>29.247689024426379</v>
      </c>
      <c r="C14" s="89">
        <f>B14</f>
        <v>29.247689024426379</v>
      </c>
      <c r="D14" s="90" t="s">
        <v>146</v>
      </c>
      <c r="E14" s="67"/>
      <c r="F14" s="67"/>
      <c r="G14" s="67"/>
      <c r="H14" s="67"/>
      <c r="I14" s="67"/>
      <c r="J14" s="67"/>
      <c r="K14" s="68"/>
      <c r="L14" s="71" t="s">
        <v>51</v>
      </c>
      <c r="M14" s="91">
        <f>'Step 4'!M21</f>
        <v>29.247687267614026</v>
      </c>
      <c r="N14" s="92">
        <f>M14</f>
        <v>29.247687267614026</v>
      </c>
      <c r="O14" s="93" t="s">
        <v>146</v>
      </c>
      <c r="P14" s="71"/>
      <c r="Q14" s="71"/>
      <c r="R14" s="71"/>
      <c r="S14" s="71"/>
      <c r="T14" s="71"/>
      <c r="U14" s="71"/>
    </row>
    <row r="15" spans="1:21" ht="16.5" x14ac:dyDescent="0.3">
      <c r="A15" s="67" t="s">
        <v>52</v>
      </c>
      <c r="B15" s="88">
        <f>'Step 4'!B22</f>
        <v>582.62585529985779</v>
      </c>
      <c r="C15" s="89">
        <f>B15</f>
        <v>582.62585529985779</v>
      </c>
      <c r="D15" s="67"/>
      <c r="E15" s="67"/>
      <c r="F15" s="67"/>
      <c r="G15" s="67"/>
      <c r="H15" s="67"/>
      <c r="I15" s="67"/>
      <c r="J15" s="67"/>
      <c r="K15" s="68"/>
      <c r="L15" s="71" t="s">
        <v>52</v>
      </c>
      <c r="M15" s="91">
        <f>'Step 4'!M22</f>
        <v>582.62585529985779</v>
      </c>
      <c r="N15" s="92">
        <f>M15</f>
        <v>582.62585529985779</v>
      </c>
      <c r="O15" s="71"/>
      <c r="P15" s="71"/>
      <c r="Q15" s="71"/>
      <c r="R15" s="71"/>
      <c r="S15" s="71"/>
      <c r="T15" s="71"/>
      <c r="U15" s="71"/>
    </row>
    <row r="16" spans="1:21" ht="16.5" x14ac:dyDescent="0.3">
      <c r="A16" s="67" t="s">
        <v>55</v>
      </c>
      <c r="B16" s="88">
        <f>'Step 4'!B23</f>
        <v>0.25</v>
      </c>
      <c r="C16" s="67"/>
      <c r="D16" s="67"/>
      <c r="E16" s="67"/>
      <c r="F16" s="67"/>
      <c r="G16" s="67"/>
      <c r="H16" s="67"/>
      <c r="I16" s="67"/>
      <c r="J16" s="67"/>
      <c r="K16" s="68"/>
      <c r="L16" s="71" t="s">
        <v>55</v>
      </c>
      <c r="M16" s="91">
        <f>'Step 4'!M23</f>
        <v>0.25</v>
      </c>
      <c r="N16" s="71"/>
      <c r="O16" s="71"/>
      <c r="P16" s="71"/>
      <c r="Q16" s="71"/>
      <c r="R16" s="71"/>
      <c r="S16" s="71"/>
      <c r="T16" s="71"/>
      <c r="U16" s="71"/>
    </row>
    <row r="17" spans="1:21" ht="16.5" x14ac:dyDescent="0.3">
      <c r="A17" s="67" t="s">
        <v>56</v>
      </c>
      <c r="B17" s="94">
        <f>'Step 4'!B24</f>
        <v>0.73</v>
      </c>
      <c r="C17" s="95">
        <f>(B17+B16*6/8)</f>
        <v>0.91749999999999998</v>
      </c>
      <c r="D17" s="246" t="s">
        <v>147</v>
      </c>
      <c r="E17" s="67"/>
      <c r="F17" s="67"/>
      <c r="G17" s="67"/>
      <c r="H17" s="67"/>
      <c r="I17" s="67"/>
      <c r="J17" s="67"/>
      <c r="K17" s="68"/>
      <c r="L17" s="71" t="s">
        <v>56</v>
      </c>
      <c r="M17" s="96">
        <f>'Step 4'!M24</f>
        <v>0.73</v>
      </c>
      <c r="N17" s="247">
        <f>M17+M16*6/8</f>
        <v>0.91749999999999998</v>
      </c>
      <c r="O17" s="248" t="s">
        <v>147</v>
      </c>
      <c r="P17" s="71"/>
      <c r="Q17" s="71"/>
      <c r="R17" s="71"/>
      <c r="S17" s="71"/>
      <c r="T17" s="71"/>
      <c r="U17" s="71"/>
    </row>
    <row r="18" spans="1:21" x14ac:dyDescent="0.25">
      <c r="A18" s="67"/>
      <c r="B18" s="88">
        <f>SUM(B11:B17)</f>
        <v>1124.0924321686575</v>
      </c>
      <c r="C18" s="89">
        <f>SUM(C11:C17)</f>
        <v>1124.0299321686575</v>
      </c>
      <c r="D18" s="90" t="s">
        <v>148</v>
      </c>
      <c r="E18" s="67"/>
      <c r="F18" s="67"/>
      <c r="G18" s="67"/>
      <c r="H18" s="67"/>
      <c r="I18" s="67"/>
      <c r="J18" s="67"/>
      <c r="K18" s="68"/>
      <c r="L18" s="71"/>
      <c r="M18" s="91">
        <f>SUM(M11:M17)</f>
        <v>1124.0924304118453</v>
      </c>
      <c r="N18" s="92">
        <f>SUM(N11:N17)</f>
        <v>1124.0299304118453</v>
      </c>
      <c r="O18" s="93" t="s">
        <v>148</v>
      </c>
      <c r="P18" s="71"/>
      <c r="Q18" s="71"/>
      <c r="R18" s="71"/>
      <c r="S18" s="71"/>
      <c r="T18" s="71"/>
      <c r="U18" s="71"/>
    </row>
    <row r="19" spans="1:21" x14ac:dyDescent="0.25">
      <c r="A19" s="67"/>
      <c r="B19" s="66"/>
      <c r="C19" s="66"/>
      <c r="D19" s="67"/>
      <c r="E19" s="67"/>
      <c r="F19" s="67"/>
      <c r="G19" s="67"/>
      <c r="H19" s="67"/>
      <c r="I19" s="67"/>
      <c r="J19" s="67"/>
      <c r="K19" s="68"/>
      <c r="L19" s="71"/>
      <c r="M19" s="70"/>
      <c r="N19" s="70"/>
      <c r="O19" s="71"/>
      <c r="P19" s="71"/>
      <c r="Q19" s="71"/>
      <c r="R19" s="71"/>
      <c r="S19" s="71"/>
      <c r="T19" s="71"/>
      <c r="U19" s="71"/>
    </row>
    <row r="20" spans="1:21" x14ac:dyDescent="0.25">
      <c r="A20" s="67" t="s">
        <v>67</v>
      </c>
      <c r="B20" s="66"/>
      <c r="C20" s="66"/>
      <c r="D20" s="67"/>
      <c r="E20" s="67"/>
      <c r="F20" s="67"/>
      <c r="G20" s="67"/>
      <c r="H20" s="67"/>
      <c r="I20" s="67"/>
      <c r="J20" s="67"/>
      <c r="K20" s="68"/>
      <c r="L20" s="71" t="s">
        <v>67</v>
      </c>
      <c r="M20" s="70"/>
      <c r="N20" s="70"/>
      <c r="O20" s="71"/>
      <c r="P20" s="71"/>
      <c r="Q20" s="71"/>
      <c r="R20" s="71"/>
      <c r="S20" s="71"/>
      <c r="T20" s="71"/>
      <c r="U20" s="71"/>
    </row>
    <row r="21" spans="1:21" ht="18.75" x14ac:dyDescent="0.3">
      <c r="A21" s="67" t="s">
        <v>149</v>
      </c>
      <c r="B21" s="66"/>
      <c r="C21" s="66"/>
      <c r="D21" s="67"/>
      <c r="E21" s="67"/>
      <c r="F21" s="67"/>
      <c r="G21" s="67"/>
      <c r="H21" s="67"/>
      <c r="I21" s="67"/>
      <c r="J21" s="67"/>
      <c r="K21" s="68"/>
      <c r="L21" s="71" t="s">
        <v>149</v>
      </c>
      <c r="M21" s="70"/>
      <c r="N21" s="70"/>
      <c r="O21" s="71"/>
      <c r="P21" s="71"/>
      <c r="Q21" s="71"/>
      <c r="R21" s="71"/>
      <c r="S21" s="71"/>
      <c r="T21" s="71"/>
      <c r="U21" s="71"/>
    </row>
    <row r="22" spans="1:21" x14ac:dyDescent="0.25">
      <c r="A22" s="101" t="str">
        <f>CONCATENATE("= ( [",ROUND(C13,2)," + y]^2[",ROUND(C17,2)," + 3/16 y]^3/8 ) / ( [",ROUND(C11,2)," - y]^2[",ROUND(C14,2)," - 1/2 y] ) * ( ",ROUND('Step 4'!B7 *0.068,1)," / [",ROUND(C18,2)," - .3125 y] )^-5/8")</f>
        <v>= ( [293.65 + y]^2[0.92 + 3/16 y]^3/8 ) / ( [58.5 - y]^2[29.25 - 1/2 y] ) * ( 1.2 / [1124.03 - .3125 y] )^-5/8</v>
      </c>
      <c r="B22" s="101"/>
      <c r="C22" s="66"/>
      <c r="D22" s="67"/>
      <c r="E22" s="67"/>
      <c r="F22" s="67"/>
      <c r="G22" s="67"/>
      <c r="H22" s="67"/>
      <c r="I22" s="67"/>
      <c r="J22" s="67"/>
      <c r="K22" s="68"/>
      <c r="L22" s="102" t="str">
        <f>CONCATENATE("= ( [",ROUND(N13,2)," + y]^2[",ROUND(N17,2)," + 3/16 y]^3/8 ) / ( [",ROUND(N11,2)," - y]^2[",ROUND(N14,2)," - 1/2 y] ) * ( ",ROUND('Step 4'!M7 *0.068,1)," / [",ROUND(N18,2)," - .3125 y] )^-5/8")</f>
        <v>= ( [293.65 + y]^2[0.92 + 3/16 y]^3/8 ) / ( [58.5 - y]^2[29.25 - 1/2 y] ) * ( 1.2 / [1124.03 - .3125 y] )^-5/8</v>
      </c>
      <c r="M22" s="102"/>
      <c r="N22" s="70"/>
      <c r="O22" s="71"/>
      <c r="P22" s="71"/>
      <c r="Q22" s="71"/>
      <c r="R22" s="71"/>
      <c r="S22" s="71"/>
      <c r="T22" s="71"/>
      <c r="U22" s="71"/>
    </row>
    <row r="23" spans="1:21" x14ac:dyDescent="0.25">
      <c r="A23" s="67" t="s">
        <v>309</v>
      </c>
      <c r="B23" s="66"/>
      <c r="C23" s="66"/>
      <c r="D23" s="67"/>
      <c r="E23" s="67"/>
      <c r="F23" s="67"/>
      <c r="G23" s="67"/>
      <c r="H23" s="67"/>
      <c r="I23" s="67"/>
      <c r="J23" s="67"/>
      <c r="K23" s="68"/>
      <c r="L23" s="71"/>
      <c r="M23" s="70"/>
      <c r="N23" s="70"/>
      <c r="O23" s="71"/>
      <c r="P23" s="71"/>
      <c r="Q23" s="71"/>
      <c r="R23" s="71"/>
      <c r="S23" s="71"/>
      <c r="T23" s="71"/>
      <c r="U23" s="71"/>
    </row>
    <row r="24" spans="1:21" ht="18.75" x14ac:dyDescent="0.3">
      <c r="A24" s="67" t="s">
        <v>310</v>
      </c>
      <c r="B24" s="66"/>
      <c r="C24" s="66"/>
      <c r="D24" s="67"/>
      <c r="E24" s="67"/>
      <c r="F24" s="67"/>
      <c r="G24" s="67"/>
      <c r="H24" s="67"/>
      <c r="I24" s="67"/>
      <c r="J24" s="67"/>
      <c r="K24" s="68"/>
      <c r="L24" s="71" t="s">
        <v>262</v>
      </c>
      <c r="M24" s="70"/>
      <c r="N24" s="70"/>
      <c r="O24" s="71"/>
      <c r="P24" s="71"/>
      <c r="Q24" s="71"/>
      <c r="R24" s="71"/>
      <c r="S24" s="71"/>
      <c r="T24" s="71"/>
      <c r="U24" s="71"/>
    </row>
    <row r="25" spans="1:21" ht="45" customHeight="1" x14ac:dyDescent="0.3">
      <c r="A25" s="67"/>
      <c r="B25" s="84" t="s">
        <v>260</v>
      </c>
      <c r="C25" s="84" t="s">
        <v>70</v>
      </c>
      <c r="D25" s="84" t="s">
        <v>259</v>
      </c>
      <c r="E25" s="84" t="s">
        <v>261</v>
      </c>
      <c r="F25" s="67"/>
      <c r="G25" s="67"/>
      <c r="H25" s="67"/>
      <c r="I25" s="67"/>
      <c r="J25" s="67"/>
      <c r="K25" s="68"/>
      <c r="L25" s="71"/>
      <c r="M25" s="86" t="s">
        <v>260</v>
      </c>
      <c r="N25" s="86" t="s">
        <v>70</v>
      </c>
      <c r="O25" s="86" t="s">
        <v>259</v>
      </c>
      <c r="P25" s="86" t="s">
        <v>261</v>
      </c>
      <c r="Q25" s="71"/>
      <c r="R25" s="71"/>
      <c r="S25" s="71"/>
      <c r="T25" s="71"/>
      <c r="U25" s="71"/>
    </row>
    <row r="26" spans="1:21" ht="15" customHeight="1" x14ac:dyDescent="0.25">
      <c r="A26" s="67"/>
      <c r="B26" s="66">
        <v>36</v>
      </c>
      <c r="C26" s="110">
        <f>( (C13+B26)^2 * (C17+3/16*B26)^(3/8) ) / ( (C11-B26)^2 * (C14-B26/2) ) * ('Step 4'!B7 *0.068 / ('Step 5'!C18-0.3125*'Step 5'!B26) )^(-5/8)</f>
        <v>2936.5551162397705</v>
      </c>
      <c r="D26" s="66">
        <v>597</v>
      </c>
      <c r="E26" s="111">
        <f>1143-90.19*LN(C26)+3.108*LN(C26)^2-0.04539*LN(C26)^3</f>
        <v>597.89079957818183</v>
      </c>
      <c r="F26" s="67"/>
      <c r="G26" s="67"/>
      <c r="H26" s="67"/>
      <c r="I26" s="67"/>
      <c r="J26" s="67"/>
      <c r="K26" s="68"/>
      <c r="L26" s="71"/>
      <c r="M26" s="283">
        <v>36</v>
      </c>
      <c r="N26" s="112">
        <f>( (N13+M26)^2 * (N17+3/16*M26)^(3/8) ) / ( (N11-M26)^2 * (N14-M26/2) ) * ('Step 4'!M7 *0.068 / ('Step 5'!N18-0.3125*'Step 5'!M26) )^(-5/8)</f>
        <v>2936.5565519521747</v>
      </c>
      <c r="O26" s="70">
        <v>597</v>
      </c>
      <c r="P26" s="113">
        <f>1143-90.19*LN(N26)+3.108*LN(N26)^2-0.04539*LN(N26)^3</f>
        <v>597.89077550546108</v>
      </c>
      <c r="Q26" s="71"/>
      <c r="R26" s="71"/>
      <c r="S26" s="71"/>
      <c r="T26" s="71"/>
      <c r="U26" s="71"/>
    </row>
    <row r="27" spans="1:21" x14ac:dyDescent="0.25">
      <c r="A27" s="67"/>
      <c r="B27" s="66">
        <f>2+B26</f>
        <v>38</v>
      </c>
      <c r="C27" s="88">
        <f>( (C13+B27)^2 * (C17+3/16*B27)^(3/8) ) / ( (C11-B27)^2 * (C14-B27/2) ) * ('Step 4'!B7 *0.068 / ('Step 5'!C18-0.3125*'Step 5'!B27) )^(-5/8)</f>
        <v>3999.7063505899455</v>
      </c>
      <c r="D27" s="66">
        <v>580</v>
      </c>
      <c r="E27" s="111">
        <f t="shared" ref="E27:E29" si="0">1143-90.19*LN(C27)+3.108*LN(C27)^2-0.04539*LN(C27)^3</f>
        <v>582.86878822667313</v>
      </c>
      <c r="F27" s="67"/>
      <c r="G27" s="67"/>
      <c r="H27" s="67"/>
      <c r="I27" s="67"/>
      <c r="J27" s="67"/>
      <c r="K27" s="68"/>
      <c r="L27" s="71"/>
      <c r="M27" s="70">
        <f>2+M26</f>
        <v>38</v>
      </c>
      <c r="N27" s="91">
        <f>( (N13+M27)^2 * (N17+3/16*M27)^(3/8) ) / ( (N11-M27)^2 * (N14-M27/2) ) * ('Step 4'!M7 *0.068 / ('Step 5'!N18-0.3125*'Step 5'!M27) )^(-5/8)</f>
        <v>3999.708488459913</v>
      </c>
      <c r="O27" s="70">
        <v>580</v>
      </c>
      <c r="P27" s="113">
        <f t="shared" ref="P27:P29" si="1">1143-90.19*LN(N27)+3.108*LN(N27)^2-0.04539*LN(N27)^3</f>
        <v>582.86876256940388</v>
      </c>
      <c r="Q27" s="71"/>
      <c r="R27" s="71"/>
      <c r="S27" s="71"/>
      <c r="T27" s="71"/>
      <c r="U27" s="71"/>
    </row>
    <row r="28" spans="1:21" x14ac:dyDescent="0.25">
      <c r="A28" s="67"/>
      <c r="B28" s="66">
        <f>2+B27</f>
        <v>40</v>
      </c>
      <c r="C28" s="88">
        <f>( (C13+B28)^2 * (C17+3/16*B28)^(3/8) ) / ( (C11-B28)^2 * (C14-B28/2) ) * ('Step 4'!B7 *0.068 / ('Step 5'!C18-0.3125*'Step 5'!B28) )^(-5/8)</f>
        <v>5601.418195387243</v>
      </c>
      <c r="D28" s="66">
        <v>566</v>
      </c>
      <c r="E28" s="111">
        <f t="shared" si="0"/>
        <v>566.92454819723139</v>
      </c>
      <c r="F28" s="67"/>
      <c r="G28" s="67"/>
      <c r="H28" s="67"/>
      <c r="I28" s="67"/>
      <c r="J28" s="67"/>
      <c r="K28" s="68"/>
      <c r="L28" s="71"/>
      <c r="M28" s="70">
        <f>2+M27</f>
        <v>40</v>
      </c>
      <c r="N28" s="91">
        <f>( (N13+M28)^2 * (N17+3/16*M28)^(3/8) ) / ( (N11-M28)^2 * (N14-M28/2) ) * ('Step 4'!M7 *0.068 / ('Step 5'!N18-0.3125*'Step 5'!M28) )^(-5/8)</f>
        <v>5601.4215001883113</v>
      </c>
      <c r="O28" s="70">
        <v>566</v>
      </c>
      <c r="P28" s="113">
        <f t="shared" si="1"/>
        <v>566.92452065371594</v>
      </c>
      <c r="Q28" s="71"/>
      <c r="R28" s="71"/>
      <c r="S28" s="71"/>
      <c r="T28" s="71"/>
      <c r="U28" s="71"/>
    </row>
    <row r="29" spans="1:21" x14ac:dyDescent="0.25">
      <c r="A29" s="67"/>
      <c r="B29" s="66">
        <v>38.479999999999997</v>
      </c>
      <c r="C29" s="88">
        <f>( (C13+B29)^2 * (C17+3/16*B29)^(3/8) ) / ( (C11-B29)^2 * (C14-B29/2) ) * ('Step 4'!B7 *0.068 / ('Step 5'!C18-0.3125*'Step 5'!B29) )^(-5/8)</f>
        <v>4324.5059186026192</v>
      </c>
      <c r="D29" s="66">
        <v>582</v>
      </c>
      <c r="E29" s="111">
        <f t="shared" si="0"/>
        <v>579.13299540783851</v>
      </c>
      <c r="F29" s="164" t="s">
        <v>312</v>
      </c>
      <c r="G29" s="200"/>
      <c r="H29" s="200"/>
      <c r="I29" s="200"/>
      <c r="J29" s="67"/>
      <c r="K29" s="68"/>
      <c r="L29" s="71"/>
      <c r="M29" s="283">
        <v>38.479999999999997</v>
      </c>
      <c r="N29" s="91">
        <f>( (N13+M29)^2 * (N17+3/16*M29)^(3/8) ) / ( (N11-M29)^2 * (N14-M29/2) ) * ('Step 4'!M7 *0.068 / ('Step 5'!N18-0.3125*'Step 5'!M29) )^(-5/8)</f>
        <v>4324.5082832849175</v>
      </c>
      <c r="O29" s="70">
        <v>582</v>
      </c>
      <c r="P29" s="113">
        <f t="shared" si="1"/>
        <v>579.13296932849221</v>
      </c>
      <c r="Q29" s="71"/>
      <c r="R29" s="71"/>
      <c r="S29" s="71"/>
      <c r="T29" s="71"/>
      <c r="U29" s="71"/>
    </row>
    <row r="30" spans="1:21" x14ac:dyDescent="0.25">
      <c r="A30" s="67"/>
      <c r="B30" s="66"/>
      <c r="C30" s="66"/>
      <c r="D30" s="67"/>
      <c r="E30" s="67"/>
      <c r="F30" s="200"/>
      <c r="G30" s="200"/>
      <c r="H30" s="200"/>
      <c r="I30" s="200"/>
      <c r="J30" s="67"/>
      <c r="K30" s="68"/>
      <c r="L30" s="71"/>
      <c r="M30" s="70"/>
      <c r="N30" s="70"/>
      <c r="O30" s="71"/>
      <c r="P30" s="71"/>
      <c r="Q30" s="71"/>
      <c r="R30" s="71"/>
      <c r="S30" s="71"/>
      <c r="T30" s="71"/>
      <c r="U30" s="71"/>
    </row>
    <row r="31" spans="1:21" x14ac:dyDescent="0.25">
      <c r="A31" s="67" t="s">
        <v>150</v>
      </c>
      <c r="B31" s="66"/>
      <c r="C31" s="66"/>
      <c r="D31" s="67"/>
      <c r="E31" s="67"/>
      <c r="F31" s="67"/>
      <c r="G31" s="67"/>
      <c r="H31" s="67"/>
      <c r="I31" s="67"/>
      <c r="J31" s="67"/>
      <c r="K31" s="68"/>
      <c r="L31" s="71" t="s">
        <v>150</v>
      </c>
      <c r="M31" s="70"/>
      <c r="N31" s="70"/>
      <c r="O31" s="71"/>
      <c r="P31" s="71"/>
      <c r="Q31" s="71"/>
      <c r="R31" s="71"/>
      <c r="S31" s="71"/>
      <c r="T31" s="71"/>
      <c r="U31" s="71"/>
    </row>
    <row r="32" spans="1:21" x14ac:dyDescent="0.25">
      <c r="A32" s="75" t="s">
        <v>151</v>
      </c>
      <c r="B32" s="101">
        <f>B26</f>
        <v>36</v>
      </c>
      <c r="C32" s="66"/>
      <c r="D32" s="67"/>
      <c r="E32" s="67"/>
      <c r="F32" s="67"/>
      <c r="G32" s="67"/>
      <c r="H32" s="67"/>
      <c r="I32" s="67"/>
      <c r="J32" s="67"/>
      <c r="K32" s="68"/>
      <c r="L32" s="77" t="s">
        <v>151</v>
      </c>
      <c r="M32" s="102">
        <f>M26</f>
        <v>36</v>
      </c>
      <c r="N32" s="70"/>
      <c r="O32" s="71"/>
      <c r="P32" s="71"/>
      <c r="Q32" s="71"/>
      <c r="R32" s="71"/>
      <c r="S32" s="71"/>
      <c r="T32" s="71"/>
      <c r="U32" s="71"/>
    </row>
    <row r="33" spans="1:21" x14ac:dyDescent="0.25">
      <c r="A33" s="101" t="s">
        <v>152</v>
      </c>
      <c r="B33" s="101"/>
      <c r="C33" s="66"/>
      <c r="D33" s="67"/>
      <c r="E33" s="67"/>
      <c r="F33" s="67"/>
      <c r="G33" s="67"/>
      <c r="H33" s="67"/>
      <c r="I33" s="67"/>
      <c r="J33" s="67"/>
      <c r="K33" s="68"/>
      <c r="L33" s="102" t="s">
        <v>152</v>
      </c>
      <c r="M33" s="102"/>
      <c r="N33" s="70"/>
      <c r="O33" s="71"/>
      <c r="P33" s="71"/>
      <c r="Q33" s="71"/>
      <c r="R33" s="71"/>
      <c r="S33" s="71"/>
      <c r="T33" s="71"/>
      <c r="U33" s="71"/>
    </row>
    <row r="34" spans="1:21" ht="16.5" x14ac:dyDescent="0.3">
      <c r="A34" s="101"/>
      <c r="B34" s="75">
        <v>36</v>
      </c>
      <c r="C34" s="67" t="s">
        <v>97</v>
      </c>
      <c r="D34" s="67"/>
      <c r="E34" s="67"/>
      <c r="F34" s="67"/>
      <c r="G34" s="67" t="s">
        <v>251</v>
      </c>
      <c r="H34" s="67"/>
      <c r="I34" s="67"/>
      <c r="J34" s="67"/>
      <c r="K34" s="68"/>
      <c r="L34" s="102"/>
      <c r="M34" s="290">
        <v>36</v>
      </c>
      <c r="N34" s="71" t="s">
        <v>97</v>
      </c>
      <c r="O34" s="71"/>
      <c r="P34" s="71"/>
      <c r="Q34" s="71"/>
      <c r="R34" s="71" t="s">
        <v>251</v>
      </c>
      <c r="S34" s="71"/>
      <c r="T34" s="71"/>
      <c r="U34" s="71"/>
    </row>
    <row r="35" spans="1:21" ht="16.5" x14ac:dyDescent="0.3">
      <c r="A35" s="75"/>
      <c r="B35" s="75">
        <v>64</v>
      </c>
      <c r="C35" s="67" t="s">
        <v>98</v>
      </c>
      <c r="D35" s="67"/>
      <c r="E35" s="67"/>
      <c r="F35" s="67"/>
      <c r="G35" s="67"/>
      <c r="H35" s="67"/>
      <c r="I35" s="67"/>
      <c r="J35" s="67"/>
      <c r="K35" s="68"/>
      <c r="L35" s="77"/>
      <c r="M35" s="290">
        <v>64</v>
      </c>
      <c r="N35" s="71" t="s">
        <v>98</v>
      </c>
      <c r="O35" s="71"/>
      <c r="P35" s="71"/>
      <c r="Q35" s="71"/>
      <c r="R35" s="71"/>
      <c r="S35" s="71"/>
      <c r="T35" s="71"/>
      <c r="U35" s="71"/>
    </row>
    <row r="36" spans="1:21" ht="15" customHeight="1" x14ac:dyDescent="0.25">
      <c r="A36" s="182" t="s">
        <v>263</v>
      </c>
      <c r="B36" s="249"/>
      <c r="C36" s="249"/>
      <c r="D36" s="249"/>
      <c r="E36" s="249"/>
      <c r="F36" s="249"/>
      <c r="G36" s="249"/>
      <c r="H36" s="67"/>
      <c r="I36" s="67"/>
      <c r="J36" s="67"/>
      <c r="K36" s="68"/>
      <c r="L36" s="184" t="s">
        <v>263</v>
      </c>
      <c r="M36" s="184"/>
      <c r="N36" s="184"/>
      <c r="O36" s="184"/>
      <c r="P36" s="184"/>
      <c r="Q36" s="184"/>
      <c r="R36" s="184"/>
      <c r="S36" s="185"/>
      <c r="T36" s="185"/>
      <c r="U36" s="185"/>
    </row>
    <row r="37" spans="1:21" x14ac:dyDescent="0.25">
      <c r="A37" s="75"/>
      <c r="B37" s="101"/>
      <c r="C37" s="66"/>
      <c r="D37" s="67"/>
      <c r="E37" s="67"/>
      <c r="F37" s="67"/>
      <c r="G37" s="67"/>
      <c r="H37" s="67"/>
      <c r="I37" s="67"/>
      <c r="J37" s="67"/>
      <c r="K37" s="68"/>
      <c r="L37" s="77"/>
      <c r="M37" s="102"/>
      <c r="N37" s="70"/>
      <c r="O37" s="71"/>
      <c r="P37" s="71"/>
      <c r="Q37" s="71"/>
      <c r="R37" s="71"/>
      <c r="S37" s="71"/>
      <c r="T37" s="71"/>
      <c r="U37" s="71"/>
    </row>
    <row r="38" spans="1:21" x14ac:dyDescent="0.25">
      <c r="A38" s="67"/>
      <c r="B38" s="66" t="s">
        <v>153</v>
      </c>
      <c r="C38" s="116" t="s">
        <v>85</v>
      </c>
      <c r="D38" s="117">
        <f>D26</f>
        <v>597</v>
      </c>
      <c r="E38" s="67" t="s">
        <v>17</v>
      </c>
      <c r="F38" s="67"/>
      <c r="G38" s="67"/>
      <c r="H38" s="67"/>
      <c r="I38" s="67"/>
      <c r="J38" s="67"/>
      <c r="K38" s="68"/>
      <c r="L38" s="71"/>
      <c r="M38" s="70" t="s">
        <v>153</v>
      </c>
      <c r="N38" s="118" t="s">
        <v>85</v>
      </c>
      <c r="O38" s="97">
        <f>O26</f>
        <v>597</v>
      </c>
      <c r="P38" s="71" t="s">
        <v>17</v>
      </c>
      <c r="Q38" s="71"/>
      <c r="R38" s="71"/>
      <c r="S38" s="71"/>
      <c r="T38" s="71"/>
      <c r="U38" s="71"/>
    </row>
    <row r="39" spans="1:21" x14ac:dyDescent="0.25">
      <c r="A39" s="67"/>
      <c r="B39" s="117" t="s">
        <v>74</v>
      </c>
      <c r="C39" s="117" t="s">
        <v>75</v>
      </c>
      <c r="D39" s="117" t="s">
        <v>76</v>
      </c>
      <c r="E39" s="67"/>
      <c r="F39" s="67"/>
      <c r="G39" s="67"/>
      <c r="H39" s="67"/>
      <c r="I39" s="67"/>
      <c r="J39" s="67"/>
      <c r="K39" s="68"/>
      <c r="L39" s="71"/>
      <c r="M39" s="97" t="s">
        <v>74</v>
      </c>
      <c r="N39" s="97" t="s">
        <v>75</v>
      </c>
      <c r="O39" s="97" t="s">
        <v>76</v>
      </c>
      <c r="P39" s="71"/>
      <c r="Q39" s="71"/>
      <c r="R39" s="71"/>
      <c r="S39" s="71"/>
      <c r="T39" s="71"/>
      <c r="U39" s="71"/>
    </row>
    <row r="40" spans="1:21" ht="16.5" x14ac:dyDescent="0.3">
      <c r="A40" s="67" t="s">
        <v>42</v>
      </c>
      <c r="B40" s="88">
        <f>C11-B32</f>
        <v>22.495378048852757</v>
      </c>
      <c r="C40" s="130">
        <f>(IF(ROUNDDOWN(D38,-2)=ROUNDUP(D38,-2),VLOOKUP(D38,Enthalpy,19),VLOOKUP(ROUNDDOWN(D38,-2),Enthalpy,19)+(D38-ROUNDDOWN(D38,-2))/(ROUNDUP(D38,-2)-ROUNDDOWN(D38,-2))*(VLOOKUP(ROUNDUP(D38,-2),Enthalpy,19)-VLOOKUP(ROUNDDOWN(D38,-2),Enthalpy,19))))</f>
        <v>4803.67</v>
      </c>
      <c r="D40" s="150">
        <f>(B40*C40)</f>
        <v>108060.37267193252</v>
      </c>
      <c r="E40" s="67"/>
      <c r="F40" s="67"/>
      <c r="G40" s="67"/>
      <c r="H40" s="67"/>
      <c r="I40" s="67"/>
      <c r="J40" s="67"/>
      <c r="K40" s="68"/>
      <c r="L40" s="71" t="s">
        <v>42</v>
      </c>
      <c r="M40" s="91">
        <f>N11-M32</f>
        <v>22.495374535228052</v>
      </c>
      <c r="N40" s="113">
        <f>IF(ROUNDDOWN(O38,-2)=ROUNDUP(O38,-2),VLOOKUP(O38,Enthalpy,19),VLOOKUP(ROUNDDOWN(O38,-2),Enthalpy,19)+(O38-ROUNDDOWN(O38,-2))/(ROUNDUP(O38,-2)-ROUNDDOWN(O38,-2))*(VLOOKUP(ROUNDUP(O38,-2),Enthalpy,19)-VLOOKUP(ROUNDDOWN(O38,-2),Enthalpy,19)))</f>
        <v>4803.67</v>
      </c>
      <c r="O40" s="154">
        <f>M40*N40</f>
        <v>108060.35579363894</v>
      </c>
      <c r="P40" s="71"/>
      <c r="Q40" s="71"/>
      <c r="R40" s="71"/>
      <c r="S40" s="71"/>
      <c r="T40" s="71"/>
      <c r="U40" s="71"/>
    </row>
    <row r="41" spans="1:21" ht="16.5" x14ac:dyDescent="0.3">
      <c r="A41" s="67" t="s">
        <v>43</v>
      </c>
      <c r="B41" s="88">
        <f>C12</f>
        <v>159.09563336735241</v>
      </c>
      <c r="C41" s="130">
        <f>(IF(ROUNDDOWN(D38,-2)=ROUNDUP(D38,-2),VLOOKUP(D38,Enthalpy,14),VLOOKUP(ROUNDDOWN(D38,-2),Enthalpy,14)+(D38-ROUNDDOWN(D38,-2))/(ROUNDUP(D38,-2)-ROUNDDOWN(D38,-2))*(VLOOKUP(ROUNDUP(D38,-2),Enthalpy,14)-VLOOKUP(ROUNDDOWN(D38,-2),Enthalpy,14))))</f>
        <v>5702.97</v>
      </c>
      <c r="D41" s="150">
        <f t="shared" ref="D41:D46" si="2">(B41*C41)</f>
        <v>907317.62422500981</v>
      </c>
      <c r="E41" s="67"/>
      <c r="F41" s="67"/>
      <c r="G41" s="67"/>
      <c r="H41" s="67"/>
      <c r="I41" s="67"/>
      <c r="J41" s="67"/>
      <c r="K41" s="68"/>
      <c r="L41" s="71" t="s">
        <v>43</v>
      </c>
      <c r="M41" s="91">
        <f>N12</f>
        <v>159.09563336735241</v>
      </c>
      <c r="N41" s="113">
        <f>IF(ROUNDDOWN(O38,-2)=ROUNDUP(O38,-2),VLOOKUP(O38,Enthalpy,14),VLOOKUP(ROUNDDOWN(O38,-2),Enthalpy,14)+(O38-ROUNDDOWN(O38,-2))/(ROUNDUP(O38,-2)-ROUNDDOWN(O38,-2))*(VLOOKUP(ROUNDUP(O38,-2),Enthalpy,14)-VLOOKUP(ROUNDDOWN(O38,-2),Enthalpy,14)))</f>
        <v>5702.97</v>
      </c>
      <c r="O41" s="154">
        <f t="shared" ref="O41:O46" si="3">M41*N41</f>
        <v>907317.62422500981</v>
      </c>
      <c r="P41" s="71"/>
      <c r="Q41" s="71"/>
      <c r="R41" s="71"/>
      <c r="S41" s="71"/>
      <c r="T41" s="71"/>
      <c r="U41" s="71"/>
    </row>
    <row r="42" spans="1:21" ht="16.5" x14ac:dyDescent="0.3">
      <c r="A42" s="67" t="s">
        <v>44</v>
      </c>
      <c r="B42" s="88">
        <f>C13+B32</f>
        <v>329.64787642816805</v>
      </c>
      <c r="C42" s="130">
        <f>(IF(ROUNDDOWN(D38,-2)=ROUNDUP(D38,-2),VLOOKUP(D38,Enthalpy,15),VLOOKUP(ROUNDDOWN(D38,-2),Enthalpy,15)+(D38-ROUNDDOWN(D38,-2))/(ROUNDUP(D38,-2)-ROUNDDOWN(D38,-2))*(VLOOKUP(ROUNDUP(D38,-2),Enthalpy,15)-VLOOKUP(ROUNDDOWN(D38,-2),Enthalpy,15))))</f>
        <v>4763.17</v>
      </c>
      <c r="D42" s="150">
        <f t="shared" si="2"/>
        <v>1570168.8755663573</v>
      </c>
      <c r="E42" s="67"/>
      <c r="F42" s="67"/>
      <c r="G42" s="67"/>
      <c r="H42" s="67"/>
      <c r="I42" s="67"/>
      <c r="J42" s="67"/>
      <c r="K42" s="68"/>
      <c r="L42" s="71" t="s">
        <v>44</v>
      </c>
      <c r="M42" s="91">
        <f>N13+M32</f>
        <v>329.64787994179278</v>
      </c>
      <c r="N42" s="113">
        <f>IF(ROUNDDOWN(O38,-2)=ROUNDUP(O38,-2),VLOOKUP(O38,Enthalpy,15),VLOOKUP(ROUNDDOWN(O38,-2),Enthalpy,15)+(O38-ROUNDDOWN(O38,-2))/(ROUNDUP(O38,-2)-ROUNDDOWN(O38,-2))*(VLOOKUP(ROUNDUP(O38,-2),Enthalpy,15)-VLOOKUP(ROUNDDOWN(O38,-2),Enthalpy,15)))</f>
        <v>4763.17</v>
      </c>
      <c r="O42" s="154">
        <f t="shared" si="3"/>
        <v>1570168.8923023492</v>
      </c>
      <c r="P42" s="71"/>
      <c r="Q42" s="71"/>
      <c r="R42" s="71"/>
      <c r="S42" s="71"/>
      <c r="T42" s="71"/>
      <c r="U42" s="71"/>
    </row>
    <row r="43" spans="1:21" ht="16.5" x14ac:dyDescent="0.3">
      <c r="A43" s="67" t="s">
        <v>51</v>
      </c>
      <c r="B43" s="88">
        <f>C14-B32/2</f>
        <v>11.247689024426379</v>
      </c>
      <c r="C43" s="130">
        <f>(IF(ROUNDDOWN(D38,-2)=ROUNDUP(D38,-2),VLOOKUP(D38,Enthalpy,17),VLOOKUP(ROUNDDOWN(D38,-2),Enthalpy,17)+(D38-ROUNDDOWN(D38,-2))/(ROUNDUP(D38,-2)-ROUNDDOWN(D38,-2))*(VLOOKUP(ROUNDUP(D38,-2),Enthalpy,17)-VLOOKUP(ROUNDDOWN(D38,-2),Enthalpy,17))))</f>
        <v>6089.11</v>
      </c>
      <c r="D43" s="150">
        <f t="shared" si="2"/>
        <v>68488.415715524898</v>
      </c>
      <c r="E43" s="67"/>
      <c r="F43" s="67"/>
      <c r="G43" s="67"/>
      <c r="H43" s="67"/>
      <c r="I43" s="67"/>
      <c r="J43" s="67"/>
      <c r="K43" s="68"/>
      <c r="L43" s="71" t="s">
        <v>51</v>
      </c>
      <c r="M43" s="91">
        <f>N14-M32/2</f>
        <v>11.247687267614026</v>
      </c>
      <c r="N43" s="113">
        <f>IF(ROUNDDOWN(O38,-2)=ROUNDUP(O38,-2),VLOOKUP(O38,Enthalpy,17),VLOOKUP(ROUNDDOWN(O38,-2),Enthalpy,17)+(O38-ROUNDDOWN(O38,-2))/(ROUNDUP(O38,-2)-ROUNDDOWN(O38,-2))*(VLOOKUP(ROUNDUP(O38,-2),Enthalpy,17)-VLOOKUP(ROUNDDOWN(O38,-2),Enthalpy,17)))</f>
        <v>6089.11</v>
      </c>
      <c r="O43" s="154">
        <f t="shared" si="3"/>
        <v>68488.405018101243</v>
      </c>
      <c r="P43" s="71"/>
      <c r="Q43" s="71"/>
      <c r="R43" s="71"/>
      <c r="S43" s="71"/>
      <c r="T43" s="71"/>
      <c r="U43" s="71"/>
    </row>
    <row r="44" spans="1:21" ht="16.5" x14ac:dyDescent="0.3">
      <c r="A44" s="67" t="s">
        <v>52</v>
      </c>
      <c r="B44" s="88">
        <f>C15</f>
        <v>582.62585529985779</v>
      </c>
      <c r="C44" s="130">
        <f>(IF(ROUNDDOWN(D38,-2)=ROUNDUP(D38,-2),VLOOKUP(D38,Enthalpy,9),VLOOKUP(ROUNDDOWN(D38,-2),Enthalpy,9)+(D38-ROUNDDOWN(D38,-2))/(ROUNDUP(D38,-2)-ROUNDDOWN(D38,-2))*(VLOOKUP(ROUNDUP(D38,-2),Enthalpy,9)-VLOOKUP(ROUNDDOWN(D38,-2),Enthalpy,9))))</f>
        <v>3977.58</v>
      </c>
      <c r="D44" s="150">
        <f t="shared" si="2"/>
        <v>2317440.9495236082</v>
      </c>
      <c r="E44" s="67"/>
      <c r="F44" s="67"/>
      <c r="G44" s="67"/>
      <c r="H44" s="67"/>
      <c r="I44" s="67"/>
      <c r="J44" s="67"/>
      <c r="K44" s="68"/>
      <c r="L44" s="71" t="s">
        <v>52</v>
      </c>
      <c r="M44" s="91">
        <f>N15</f>
        <v>582.62585529985779</v>
      </c>
      <c r="N44" s="113">
        <f>IF(ROUNDDOWN(O38,-2)=ROUNDUP(O38,-2),VLOOKUP(O38,Enthalpy,9),VLOOKUP(ROUNDDOWN(O38,-2),Enthalpy,9)+(O38-ROUNDDOWN(O38,-2))/(ROUNDUP(O38,-2)-ROUNDDOWN(O38,-2))*(VLOOKUP(ROUNDUP(O38,-2),Enthalpy,9)-VLOOKUP(ROUNDDOWN(O38,-2),Enthalpy,9)))</f>
        <v>3977.58</v>
      </c>
      <c r="O44" s="154">
        <f t="shared" si="3"/>
        <v>2317440.9495236082</v>
      </c>
      <c r="P44" s="71"/>
      <c r="Q44" s="71"/>
      <c r="R44" s="71"/>
      <c r="S44" s="71"/>
      <c r="T44" s="71"/>
      <c r="U44" s="71"/>
    </row>
    <row r="45" spans="1:21" ht="16.5" x14ac:dyDescent="0.3">
      <c r="A45" s="67" t="s">
        <v>55</v>
      </c>
      <c r="B45" s="88">
        <f>B34/B35*B46</f>
        <v>3.0332967032967035</v>
      </c>
      <c r="C45" s="130">
        <f>(IF(ROUNDDOWN(D38,-2)=ROUNDUP(D38,-2),VLOOKUP(D38,Enthalpy,22),VLOOKUP(ROUNDDOWN(D38,-2),Enthalpy,22)+(D38-ROUNDDOWN(D38,-2))/(ROUNDUP(D38,-2)-ROUNDDOWN(D38,-2))*(VLOOKUP(ROUNDUP(D38,-2),Enthalpy,22)-VLOOKUP(ROUNDDOWN(D38,-2),Enthalpy,22))))</f>
        <v>16369.4</v>
      </c>
      <c r="D45" s="150">
        <f t="shared" si="2"/>
        <v>49653.247054945059</v>
      </c>
      <c r="E45" s="67"/>
      <c r="F45" s="67"/>
      <c r="G45" s="67"/>
      <c r="H45" s="67"/>
      <c r="I45" s="67"/>
      <c r="J45" s="67"/>
      <c r="K45" s="68"/>
      <c r="L45" s="71" t="s">
        <v>55</v>
      </c>
      <c r="M45" s="91">
        <f>M34/M35*M46</f>
        <v>3.0332967032967035</v>
      </c>
      <c r="N45" s="113">
        <f>IF(ROUNDDOWN(O38,-2)=ROUNDUP(O38,-2),VLOOKUP(O38,Enthalpy,22),VLOOKUP(ROUNDDOWN(O38,-2),Enthalpy,22)+(O38-ROUNDDOWN(O38,-2))/(ROUNDUP(O38,-2)-ROUNDDOWN(O38,-2))*(VLOOKUP(ROUNDUP(O38,-2),Enthalpy,22)-VLOOKUP(ROUNDDOWN(O38,-2),Enthalpy,22)))</f>
        <v>16369.4</v>
      </c>
      <c r="O45" s="154">
        <f t="shared" si="3"/>
        <v>49653.247054945059</v>
      </c>
      <c r="P45" s="71"/>
      <c r="Q45" s="71"/>
      <c r="R45" s="71"/>
      <c r="S45" s="71"/>
      <c r="T45" s="71"/>
      <c r="U45" s="71"/>
    </row>
    <row r="46" spans="1:21" ht="16.5" x14ac:dyDescent="0.3">
      <c r="A46" s="67" t="s">
        <v>56</v>
      </c>
      <c r="B46" s="94">
        <f>(C17+3/16*B32)*8 / (6*B34/B35 + 8)</f>
        <v>5.3925274725274726</v>
      </c>
      <c r="C46" s="130">
        <f>(IF(ROUNDDOWN(D38,-2)=ROUNDUP(D38,-2),VLOOKUP(D38,Enthalpy,23),VLOOKUP(ROUNDDOWN(D38,-2),Enthalpy,23)+(D38-ROUNDDOWN(D38,-2))/(ROUNDUP(D38,-2)-ROUNDDOWN(D38,-2))*(VLOOKUP(ROUNDUP(D38,-2),Enthalpy,23)-VLOOKUP(ROUNDDOWN(D38,-2),Enthalpy,23))))</f>
        <v>22654</v>
      </c>
      <c r="D46" s="158">
        <f t="shared" si="2"/>
        <v>122162.31736263736</v>
      </c>
      <c r="E46" s="67"/>
      <c r="F46" s="67"/>
      <c r="G46" s="67"/>
      <c r="H46" s="67"/>
      <c r="I46" s="67"/>
      <c r="J46" s="67"/>
      <c r="K46" s="68"/>
      <c r="L46" s="71" t="s">
        <v>56</v>
      </c>
      <c r="M46" s="96">
        <f>(N17+3/16*M32)*8 / (6*M34/M35 + 8)</f>
        <v>5.3925274725274726</v>
      </c>
      <c r="N46" s="113">
        <f>IF(ROUNDDOWN(O38,-2)=ROUNDUP(O38,-2),VLOOKUP(O38,Enthalpy,23),VLOOKUP(ROUNDDOWN(O38,-2),Enthalpy,23)+(O38-ROUNDDOWN(O38,-2))/(ROUNDUP(O38,-2)-ROUNDDOWN(O38,-2))*(VLOOKUP(ROUNDUP(O38,-2),Enthalpy,23)-VLOOKUP(ROUNDDOWN(O38,-2),Enthalpy,23)))</f>
        <v>22654</v>
      </c>
      <c r="O46" s="161">
        <f t="shared" si="3"/>
        <v>122162.31736263736</v>
      </c>
      <c r="P46" s="71"/>
      <c r="Q46" s="71"/>
      <c r="R46" s="71"/>
      <c r="S46" s="71"/>
      <c r="T46" s="71"/>
      <c r="U46" s="71"/>
    </row>
    <row r="47" spans="1:21" x14ac:dyDescent="0.25">
      <c r="A47" s="67"/>
      <c r="B47" s="88">
        <f>SUM(B40:B46)</f>
        <v>1113.5382563444816</v>
      </c>
      <c r="C47" s="66"/>
      <c r="D47" s="150">
        <f>SUM(D40:D46)</f>
        <v>5143291.802120015</v>
      </c>
      <c r="E47" s="67"/>
      <c r="F47" s="67"/>
      <c r="G47" s="67"/>
      <c r="H47" s="67"/>
      <c r="I47" s="67"/>
      <c r="J47" s="67"/>
      <c r="K47" s="68"/>
      <c r="L47" s="71"/>
      <c r="M47" s="91">
        <f>SUM(M40:M46)</f>
        <v>1113.5382545876694</v>
      </c>
      <c r="N47" s="70"/>
      <c r="O47" s="154">
        <f>SUM(O40:O46)</f>
        <v>5143291.7912802901</v>
      </c>
      <c r="P47" s="71"/>
      <c r="Q47" s="71"/>
      <c r="R47" s="71"/>
      <c r="S47" s="71"/>
      <c r="T47" s="71"/>
      <c r="U47" s="71"/>
    </row>
    <row r="48" spans="1:21" x14ac:dyDescent="0.25">
      <c r="A48" s="67" t="s">
        <v>154</v>
      </c>
      <c r="B48" s="66"/>
      <c r="C48" s="66"/>
      <c r="D48" s="67"/>
      <c r="E48" s="67"/>
      <c r="F48" s="67"/>
      <c r="G48" s="67"/>
      <c r="H48" s="67"/>
      <c r="I48" s="67"/>
      <c r="J48" s="67"/>
      <c r="K48" s="68"/>
      <c r="L48" s="71" t="s">
        <v>154</v>
      </c>
      <c r="M48" s="70"/>
      <c r="N48" s="70"/>
      <c r="O48" s="71"/>
      <c r="P48" s="71"/>
      <c r="Q48" s="71"/>
      <c r="R48" s="71"/>
      <c r="S48" s="71"/>
      <c r="T48" s="71"/>
      <c r="U48" s="71"/>
    </row>
    <row r="49" spans="1:21" x14ac:dyDescent="0.25">
      <c r="A49" s="75" t="s">
        <v>155</v>
      </c>
      <c r="B49" s="66" t="s">
        <v>1</v>
      </c>
      <c r="C49" s="73">
        <f>'Step 4'!D25</f>
        <v>3965715.7382994904</v>
      </c>
      <c r="D49" s="67" t="s">
        <v>76</v>
      </c>
      <c r="E49" s="67"/>
      <c r="F49" s="67"/>
      <c r="G49" s="67"/>
      <c r="H49" s="67"/>
      <c r="I49" s="67"/>
      <c r="J49" s="67"/>
      <c r="K49" s="68"/>
      <c r="L49" s="77" t="s">
        <v>155</v>
      </c>
      <c r="M49" s="70" t="s">
        <v>1</v>
      </c>
      <c r="N49" s="74">
        <f>'Step 4'!O25</f>
        <v>3965715.7301351437</v>
      </c>
      <c r="O49" s="71" t="s">
        <v>76</v>
      </c>
      <c r="P49" s="71"/>
      <c r="Q49" s="71"/>
      <c r="R49" s="71"/>
      <c r="S49" s="71"/>
      <c r="T49" s="71"/>
      <c r="U49" s="71"/>
    </row>
    <row r="50" spans="1:21" x14ac:dyDescent="0.25">
      <c r="A50" s="75" t="s">
        <v>83</v>
      </c>
      <c r="B50" s="66" t="s">
        <v>1</v>
      </c>
      <c r="C50" s="171">
        <f>B32/2*(-C7)</f>
        <v>977940</v>
      </c>
      <c r="D50" s="67" t="s">
        <v>76</v>
      </c>
      <c r="E50" s="67"/>
      <c r="F50" s="67"/>
      <c r="G50" s="67"/>
      <c r="H50" s="67"/>
      <c r="I50" s="67"/>
      <c r="J50" s="67"/>
      <c r="K50" s="68"/>
      <c r="L50" s="77" t="s">
        <v>83</v>
      </c>
      <c r="M50" s="70" t="s">
        <v>1</v>
      </c>
      <c r="N50" s="173">
        <f>M32/2*(-N7)</f>
        <v>977940</v>
      </c>
      <c r="O50" s="71" t="s">
        <v>76</v>
      </c>
      <c r="P50" s="71"/>
      <c r="Q50" s="71"/>
      <c r="R50" s="71"/>
      <c r="S50" s="71"/>
      <c r="T50" s="71"/>
      <c r="U50" s="71"/>
    </row>
    <row r="51" spans="1:21" x14ac:dyDescent="0.25">
      <c r="A51" s="75" t="s">
        <v>156</v>
      </c>
      <c r="B51" s="66" t="s">
        <v>1</v>
      </c>
      <c r="C51" s="73">
        <f>C49+C50</f>
        <v>4943655.7382994909</v>
      </c>
      <c r="D51" s="67" t="s">
        <v>76</v>
      </c>
      <c r="E51" s="67"/>
      <c r="F51" s="67"/>
      <c r="G51" s="67"/>
      <c r="H51" s="67"/>
      <c r="I51" s="67"/>
      <c r="J51" s="67"/>
      <c r="K51" s="68"/>
      <c r="L51" s="77" t="s">
        <v>156</v>
      </c>
      <c r="M51" s="70" t="s">
        <v>1</v>
      </c>
      <c r="N51" s="74">
        <f>N49+N50</f>
        <v>4943655.7301351437</v>
      </c>
      <c r="O51" s="71" t="s">
        <v>76</v>
      </c>
      <c r="P51" s="71"/>
      <c r="Q51" s="71"/>
      <c r="R51" s="71"/>
      <c r="S51" s="71"/>
      <c r="T51" s="71"/>
      <c r="U51" s="71"/>
    </row>
    <row r="52" spans="1:21" x14ac:dyDescent="0.25">
      <c r="A52" s="75"/>
      <c r="B52" s="66"/>
      <c r="C52" s="250"/>
      <c r="D52" s="67"/>
      <c r="E52" s="67"/>
      <c r="F52" s="67"/>
      <c r="G52" s="67"/>
      <c r="H52" s="67"/>
      <c r="I52" s="67"/>
      <c r="J52" s="67"/>
      <c r="K52" s="68"/>
      <c r="L52" s="77"/>
      <c r="M52" s="70"/>
      <c r="N52" s="251"/>
      <c r="O52" s="71"/>
      <c r="P52" s="71"/>
      <c r="Q52" s="71"/>
      <c r="R52" s="71"/>
      <c r="S52" s="71"/>
      <c r="T52" s="71"/>
      <c r="U52" s="71"/>
    </row>
    <row r="53" spans="1:21" x14ac:dyDescent="0.25">
      <c r="A53" s="67"/>
      <c r="B53" s="66"/>
      <c r="C53" s="66"/>
      <c r="D53" s="67"/>
      <c r="E53" s="67"/>
      <c r="F53" s="67"/>
      <c r="G53" s="67"/>
      <c r="H53" s="67"/>
      <c r="I53" s="67"/>
      <c r="J53" s="67"/>
      <c r="K53" s="68"/>
      <c r="L53" s="71"/>
      <c r="M53" s="70"/>
      <c r="N53" s="70"/>
      <c r="O53" s="71"/>
      <c r="P53" s="71"/>
      <c r="Q53" s="71"/>
      <c r="R53" s="71"/>
      <c r="S53" s="71"/>
      <c r="T53" s="71"/>
      <c r="U53" s="71"/>
    </row>
    <row r="54" spans="1:21" x14ac:dyDescent="0.25">
      <c r="A54" s="75" t="s">
        <v>151</v>
      </c>
      <c r="B54" s="101">
        <f>B27</f>
        <v>38</v>
      </c>
      <c r="C54" s="66"/>
      <c r="D54" s="67"/>
      <c r="E54" s="67"/>
      <c r="F54" s="67"/>
      <c r="G54" s="67"/>
      <c r="H54" s="67"/>
      <c r="I54" s="67"/>
      <c r="J54" s="67"/>
      <c r="K54" s="68"/>
      <c r="L54" s="77" t="s">
        <v>151</v>
      </c>
      <c r="M54" s="102">
        <f>M27</f>
        <v>38</v>
      </c>
      <c r="N54" s="70"/>
      <c r="O54" s="71"/>
      <c r="P54" s="71"/>
      <c r="Q54" s="71"/>
      <c r="R54" s="71"/>
      <c r="S54" s="71"/>
      <c r="T54" s="71"/>
      <c r="U54" s="71"/>
    </row>
    <row r="55" spans="1:21" x14ac:dyDescent="0.25">
      <c r="A55" s="101" t="s">
        <v>152</v>
      </c>
      <c r="B55" s="101"/>
      <c r="C55" s="66"/>
      <c r="D55" s="67"/>
      <c r="E55" s="67"/>
      <c r="F55" s="67"/>
      <c r="G55" s="67"/>
      <c r="H55" s="67"/>
      <c r="I55" s="67"/>
      <c r="J55" s="67"/>
      <c r="K55" s="68"/>
      <c r="L55" s="102" t="s">
        <v>152</v>
      </c>
      <c r="M55" s="102"/>
      <c r="N55" s="70"/>
      <c r="O55" s="71"/>
      <c r="P55" s="71"/>
      <c r="Q55" s="71"/>
      <c r="R55" s="71"/>
      <c r="S55" s="71"/>
      <c r="T55" s="71"/>
      <c r="U55" s="71"/>
    </row>
    <row r="56" spans="1:21" ht="16.5" x14ac:dyDescent="0.3">
      <c r="A56" s="101"/>
      <c r="B56" s="75">
        <v>35</v>
      </c>
      <c r="C56" s="67" t="s">
        <v>97</v>
      </c>
      <c r="D56" s="67"/>
      <c r="E56" s="67"/>
      <c r="F56" s="67"/>
      <c r="G56" s="67" t="s">
        <v>251</v>
      </c>
      <c r="H56" s="67"/>
      <c r="I56" s="67"/>
      <c r="J56" s="67"/>
      <c r="K56" s="68"/>
      <c r="L56" s="102"/>
      <c r="M56" s="290">
        <v>35</v>
      </c>
      <c r="N56" s="71" t="s">
        <v>97</v>
      </c>
      <c r="O56" s="71"/>
      <c r="P56" s="71"/>
      <c r="Q56" s="71"/>
      <c r="R56" s="71" t="s">
        <v>251</v>
      </c>
      <c r="S56" s="71"/>
      <c r="T56" s="71"/>
      <c r="U56" s="71"/>
    </row>
    <row r="57" spans="1:21" ht="16.5" x14ac:dyDescent="0.3">
      <c r="A57" s="75"/>
      <c r="B57" s="75">
        <v>65</v>
      </c>
      <c r="C57" s="67" t="s">
        <v>98</v>
      </c>
      <c r="D57" s="67"/>
      <c r="E57" s="67"/>
      <c r="F57" s="67"/>
      <c r="G57" s="67"/>
      <c r="H57" s="67"/>
      <c r="I57" s="67"/>
      <c r="J57" s="67"/>
      <c r="K57" s="68"/>
      <c r="L57" s="77"/>
      <c r="M57" s="290">
        <v>65</v>
      </c>
      <c r="N57" s="71" t="s">
        <v>98</v>
      </c>
      <c r="O57" s="71"/>
      <c r="P57" s="71"/>
      <c r="Q57" s="71"/>
      <c r="R57" s="71"/>
      <c r="S57" s="71"/>
      <c r="T57" s="71"/>
      <c r="U57" s="71"/>
    </row>
    <row r="58" spans="1:21" x14ac:dyDescent="0.25">
      <c r="A58" s="75"/>
      <c r="B58" s="101"/>
      <c r="C58" s="66"/>
      <c r="D58" s="67"/>
      <c r="E58" s="67"/>
      <c r="F58" s="67"/>
      <c r="G58" s="67"/>
      <c r="H58" s="67"/>
      <c r="I58" s="67"/>
      <c r="J58" s="67"/>
      <c r="K58" s="68"/>
      <c r="L58" s="77"/>
      <c r="M58" s="102"/>
      <c r="N58" s="70"/>
      <c r="O58" s="71"/>
      <c r="P58" s="71"/>
      <c r="Q58" s="71"/>
      <c r="R58" s="71"/>
      <c r="S58" s="71"/>
      <c r="T58" s="71"/>
      <c r="U58" s="71"/>
    </row>
    <row r="59" spans="1:21" x14ac:dyDescent="0.25">
      <c r="A59" s="67"/>
      <c r="B59" s="66" t="s">
        <v>153</v>
      </c>
      <c r="C59" s="116" t="s">
        <v>85</v>
      </c>
      <c r="D59" s="117">
        <f>D27</f>
        <v>580</v>
      </c>
      <c r="E59" s="67" t="s">
        <v>17</v>
      </c>
      <c r="F59" s="67"/>
      <c r="G59" s="67"/>
      <c r="H59" s="67"/>
      <c r="I59" s="67"/>
      <c r="J59" s="67"/>
      <c r="K59" s="68"/>
      <c r="L59" s="71"/>
      <c r="M59" s="70" t="s">
        <v>153</v>
      </c>
      <c r="N59" s="118" t="s">
        <v>85</v>
      </c>
      <c r="O59" s="142">
        <f>O27</f>
        <v>580</v>
      </c>
      <c r="P59" s="71" t="s">
        <v>17</v>
      </c>
      <c r="Q59" s="71"/>
      <c r="R59" s="71"/>
      <c r="S59" s="71"/>
      <c r="T59" s="71"/>
      <c r="U59" s="71"/>
    </row>
    <row r="60" spans="1:21" x14ac:dyDescent="0.25">
      <c r="A60" s="67"/>
      <c r="B60" s="117" t="s">
        <v>74</v>
      </c>
      <c r="C60" s="117" t="s">
        <v>75</v>
      </c>
      <c r="D60" s="117" t="s">
        <v>76</v>
      </c>
      <c r="E60" s="67"/>
      <c r="F60" s="67"/>
      <c r="G60" s="67"/>
      <c r="H60" s="67"/>
      <c r="I60" s="67"/>
      <c r="J60" s="67"/>
      <c r="K60" s="68"/>
      <c r="L60" s="71"/>
      <c r="M60" s="97" t="s">
        <v>74</v>
      </c>
      <c r="N60" s="97" t="s">
        <v>75</v>
      </c>
      <c r="O60" s="97" t="s">
        <v>76</v>
      </c>
      <c r="P60" s="71"/>
      <c r="Q60" s="71"/>
      <c r="R60" s="71"/>
      <c r="S60" s="71"/>
      <c r="T60" s="71"/>
      <c r="U60" s="71"/>
    </row>
    <row r="61" spans="1:21" ht="16.5" x14ac:dyDescent="0.3">
      <c r="A61" s="67" t="s">
        <v>42</v>
      </c>
      <c r="B61" s="88">
        <f>C11-B54</f>
        <v>20.495378048852757</v>
      </c>
      <c r="C61" s="130">
        <f>(IF(ROUNDDOWN(D59,-2)=ROUNDUP(D59,-2),VLOOKUP(D59,Enthalpy,19),VLOOKUP(ROUNDDOWN(D59,-2),Enthalpy,19)+(D59-ROUNDDOWN(D59,-2))/(ROUNDUP(D59,-2)-ROUNDDOWN(D59,-2))*(VLOOKUP(ROUNDUP(D59,-2),Enthalpy,19)-VLOOKUP(ROUNDDOWN(D59,-2),Enthalpy,19))))</f>
        <v>4648.8</v>
      </c>
      <c r="D61" s="150">
        <f>(B61*C61)</f>
        <v>95278.913473506705</v>
      </c>
      <c r="E61" s="67"/>
      <c r="F61" s="67"/>
      <c r="G61" s="67"/>
      <c r="H61" s="67"/>
      <c r="I61" s="67"/>
      <c r="J61" s="67"/>
      <c r="K61" s="68"/>
      <c r="L61" s="71" t="s">
        <v>42</v>
      </c>
      <c r="M61" s="91">
        <f>N11-M54</f>
        <v>20.495374535228052</v>
      </c>
      <c r="N61" s="113">
        <f>IF(ROUNDDOWN(O59,-2)=ROUNDUP(O59,-2),VLOOKUP(O59,Enthalpy,19),VLOOKUP(ROUNDDOWN(O59,-2),Enthalpy,19)+(O59-ROUNDDOWN(O59,-2))/(ROUNDUP(O59,-2)-ROUNDDOWN(O59,-2))*(VLOOKUP(ROUNDUP(O59,-2),Enthalpy,19)-VLOOKUP(ROUNDDOWN(O59,-2),Enthalpy,19)))</f>
        <v>4648.8</v>
      </c>
      <c r="O61" s="154">
        <f>M61*N61</f>
        <v>95278.897139368171</v>
      </c>
      <c r="P61" s="71"/>
      <c r="Q61" s="71"/>
      <c r="R61" s="71"/>
      <c r="S61" s="71"/>
      <c r="T61" s="71"/>
      <c r="U61" s="71"/>
    </row>
    <row r="62" spans="1:21" ht="16.5" x14ac:dyDescent="0.3">
      <c r="A62" s="67" t="s">
        <v>43</v>
      </c>
      <c r="B62" s="88">
        <f>C12</f>
        <v>159.09563336735241</v>
      </c>
      <c r="C62" s="130">
        <f>(IF(ROUNDDOWN(D59,-2)=ROUNDUP(D59,-2),VLOOKUP(D59,Enthalpy,14),VLOOKUP(ROUNDDOWN(D59,-2),Enthalpy,14)+(D59-ROUNDDOWN(D59,-2))/(ROUNDUP(D59,-2)-ROUNDDOWN(D59,-2))*(VLOOKUP(ROUNDUP(D59,-2),Enthalpy,14)-VLOOKUP(ROUNDDOWN(D59,-2),Enthalpy,14))))</f>
        <v>5515.8</v>
      </c>
      <c r="D62" s="150">
        <f t="shared" ref="D62:D67" si="4">(B62*C62)</f>
        <v>877539.69452764245</v>
      </c>
      <c r="E62" s="67"/>
      <c r="F62" s="67"/>
      <c r="G62" s="67"/>
      <c r="H62" s="67"/>
      <c r="I62" s="67"/>
      <c r="J62" s="67"/>
      <c r="K62" s="68"/>
      <c r="L62" s="71" t="s">
        <v>43</v>
      </c>
      <c r="M62" s="91">
        <f>N12</f>
        <v>159.09563336735241</v>
      </c>
      <c r="N62" s="113">
        <f>IF(ROUNDDOWN(O59,-2)=ROUNDUP(O59,-2),VLOOKUP(O59,Enthalpy,14),VLOOKUP(ROUNDDOWN(O59,-2),Enthalpy,14)+(O59-ROUNDDOWN(O59,-2))/(ROUNDUP(O59,-2)-ROUNDDOWN(O59,-2))*(VLOOKUP(ROUNDUP(O59,-2),Enthalpy,14)-VLOOKUP(ROUNDDOWN(O59,-2),Enthalpy,14)))</f>
        <v>5515.8</v>
      </c>
      <c r="O62" s="154">
        <f t="shared" ref="O62:O67" si="5">M62*N62</f>
        <v>877539.69452764245</v>
      </c>
      <c r="P62" s="71"/>
      <c r="Q62" s="71"/>
      <c r="R62" s="71"/>
      <c r="S62" s="71"/>
      <c r="T62" s="71"/>
      <c r="U62" s="71"/>
    </row>
    <row r="63" spans="1:21" ht="16.5" x14ac:dyDescent="0.3">
      <c r="A63" s="67" t="s">
        <v>44</v>
      </c>
      <c r="B63" s="88">
        <f>C13+B54</f>
        <v>331.64787642816805</v>
      </c>
      <c r="C63" s="130">
        <f>(IF(ROUNDDOWN(D59,-2)=ROUNDUP(D59,-2),VLOOKUP(D59,Enthalpy,15),VLOOKUP(ROUNDDOWN(D59,-2),Enthalpy,15)+(D59-ROUNDDOWN(D59,-2))/(ROUNDUP(D59,-2)-ROUNDDOWN(D59,-2))*(VLOOKUP(ROUNDUP(D59,-2),Enthalpy,15)-VLOOKUP(ROUNDDOWN(D59,-2),Enthalpy,15))))</f>
        <v>4616.8</v>
      </c>
      <c r="D63" s="150">
        <f t="shared" si="4"/>
        <v>1531151.9158935663</v>
      </c>
      <c r="E63" s="67"/>
      <c r="F63" s="67"/>
      <c r="G63" s="67"/>
      <c r="H63" s="67"/>
      <c r="I63" s="67"/>
      <c r="J63" s="67"/>
      <c r="K63" s="68"/>
      <c r="L63" s="71" t="s">
        <v>44</v>
      </c>
      <c r="M63" s="91">
        <f>N13+M54</f>
        <v>331.64787994179278</v>
      </c>
      <c r="N63" s="113">
        <f>IF(ROUNDDOWN(O59,-2)=ROUNDUP(O59,-2),VLOOKUP(O59,Enthalpy,15),VLOOKUP(ROUNDDOWN(O59,-2),Enthalpy,15)+(O59-ROUNDDOWN(O59,-2))/(ROUNDUP(O59,-2)-ROUNDDOWN(O59,-2))*(VLOOKUP(ROUNDUP(O59,-2),Enthalpy,15)-VLOOKUP(ROUNDDOWN(O59,-2),Enthalpy,15)))</f>
        <v>4616.8</v>
      </c>
      <c r="O63" s="154">
        <f t="shared" si="5"/>
        <v>1531151.9321152689</v>
      </c>
      <c r="P63" s="71"/>
      <c r="Q63" s="71"/>
      <c r="R63" s="71"/>
      <c r="S63" s="71"/>
      <c r="T63" s="71"/>
      <c r="U63" s="71"/>
    </row>
    <row r="64" spans="1:21" ht="16.5" x14ac:dyDescent="0.3">
      <c r="A64" s="67" t="s">
        <v>51</v>
      </c>
      <c r="B64" s="88">
        <f>C14-B54/2</f>
        <v>10.247689024426379</v>
      </c>
      <c r="C64" s="130">
        <f>(IF(ROUNDDOWN(D59,-2)=ROUNDUP(D59,-2),VLOOKUP(D59,Enthalpy,17),VLOOKUP(ROUNDDOWN(D59,-2),Enthalpy,17)+(D59-ROUNDDOWN(D59,-2))/(ROUNDUP(D59,-2)-ROUNDDOWN(D59,-2))*(VLOOKUP(ROUNDUP(D59,-2),Enthalpy,17)-VLOOKUP(ROUNDDOWN(D59,-2),Enthalpy,17))))</f>
        <v>5891.4</v>
      </c>
      <c r="D64" s="150">
        <f t="shared" si="4"/>
        <v>60373.23511850556</v>
      </c>
      <c r="E64" s="67"/>
      <c r="F64" s="67"/>
      <c r="G64" s="67"/>
      <c r="H64" s="67"/>
      <c r="I64" s="67"/>
      <c r="J64" s="67"/>
      <c r="K64" s="68"/>
      <c r="L64" s="71" t="s">
        <v>51</v>
      </c>
      <c r="M64" s="91">
        <f>N14-M54/2</f>
        <v>10.247687267614026</v>
      </c>
      <c r="N64" s="113">
        <f>IF(ROUNDDOWN(O59,-2)=ROUNDUP(O59,-2),VLOOKUP(O59,Enthalpy,17),VLOOKUP(ROUNDDOWN(O59,-2),Enthalpy,17)+(O59-ROUNDDOWN(O59,-2))/(ROUNDUP(O59,-2)-ROUNDDOWN(O59,-2))*(VLOOKUP(ROUNDUP(O59,-2),Enthalpy,17)-VLOOKUP(ROUNDDOWN(O59,-2),Enthalpy,17)))</f>
        <v>5891.4</v>
      </c>
      <c r="O64" s="154">
        <f t="shared" si="5"/>
        <v>60373.224768421271</v>
      </c>
      <c r="P64" s="71"/>
      <c r="Q64" s="71"/>
      <c r="R64" s="71"/>
      <c r="S64" s="71"/>
      <c r="T64" s="71"/>
      <c r="U64" s="71"/>
    </row>
    <row r="65" spans="1:21" ht="16.5" x14ac:dyDescent="0.3">
      <c r="A65" s="67" t="s">
        <v>52</v>
      </c>
      <c r="B65" s="88">
        <f>C15</f>
        <v>582.62585529985779</v>
      </c>
      <c r="C65" s="130">
        <f>(IF(ROUNDDOWN(D59,-2)=ROUNDUP(D59,-2),VLOOKUP(D59,Enthalpy,9),VLOOKUP(ROUNDDOWN(D59,-2),Enthalpy,9)+(D59-ROUNDDOWN(D59,-2))/(ROUNDUP(D59,-2)-ROUNDDOWN(D59,-2))*(VLOOKUP(ROUNDUP(D59,-2),Enthalpy,9)-VLOOKUP(ROUNDDOWN(D59,-2),Enthalpy,9))))</f>
        <v>3856.2</v>
      </c>
      <c r="D65" s="150">
        <f t="shared" si="4"/>
        <v>2246721.8232073113</v>
      </c>
      <c r="E65" s="67"/>
      <c r="F65" s="67"/>
      <c r="G65" s="67"/>
      <c r="H65" s="67"/>
      <c r="I65" s="67"/>
      <c r="J65" s="67"/>
      <c r="K65" s="68"/>
      <c r="L65" s="71" t="s">
        <v>52</v>
      </c>
      <c r="M65" s="91">
        <f>N15</f>
        <v>582.62585529985779</v>
      </c>
      <c r="N65" s="113">
        <f>IF(ROUNDDOWN(O59,-2)=ROUNDUP(O59,-2),VLOOKUP(O59,Enthalpy,9),VLOOKUP(ROUNDDOWN(O59,-2),Enthalpy,9)+(O59-ROUNDDOWN(O59,-2))/(ROUNDUP(O59,-2)-ROUNDDOWN(O59,-2))*(VLOOKUP(ROUNDUP(O59,-2),Enthalpy,9)-VLOOKUP(ROUNDDOWN(O59,-2),Enthalpy,9)))</f>
        <v>3856.2</v>
      </c>
      <c r="O65" s="154">
        <f t="shared" si="5"/>
        <v>2246721.8232073113</v>
      </c>
      <c r="P65" s="71"/>
      <c r="Q65" s="71"/>
      <c r="R65" s="71"/>
      <c r="S65" s="71"/>
      <c r="T65" s="71"/>
      <c r="U65" s="71"/>
    </row>
    <row r="66" spans="1:21" ht="16.5" x14ac:dyDescent="0.3">
      <c r="A66" s="67" t="s">
        <v>55</v>
      </c>
      <c r="B66" s="88">
        <f>B56/B57*B67</f>
        <v>3.0847945205479457</v>
      </c>
      <c r="C66" s="130">
        <f>(IF(ROUNDDOWN(D59,-2)=ROUNDUP(D59,-2),VLOOKUP(D59,Enthalpy,22),VLOOKUP(ROUNDDOWN(D59,-2),Enthalpy,22)+(D59-ROUNDDOWN(D59,-2))/(ROUNDUP(D59,-2)-ROUNDDOWN(D59,-2))*(VLOOKUP(ROUNDUP(D59,-2),Enthalpy,22)-VLOOKUP(ROUNDDOWN(D59,-2),Enthalpy,22))))</f>
        <v>15856</v>
      </c>
      <c r="D66" s="150">
        <f t="shared" si="4"/>
        <v>48912.501917808229</v>
      </c>
      <c r="E66" s="67"/>
      <c r="F66" s="67"/>
      <c r="G66" s="67"/>
      <c r="H66" s="67"/>
      <c r="I66" s="67"/>
      <c r="J66" s="67"/>
      <c r="K66" s="68"/>
      <c r="L66" s="71" t="s">
        <v>55</v>
      </c>
      <c r="M66" s="91">
        <f>M56/M57*M67</f>
        <v>3.0847945205479457</v>
      </c>
      <c r="N66" s="113">
        <f>IF(ROUNDDOWN(O59,-2)=ROUNDUP(O59,-2),VLOOKUP(O59,Enthalpy,22),VLOOKUP(ROUNDDOWN(O59,-2),Enthalpy,22)+(O59-ROUNDDOWN(O59,-2))/(ROUNDUP(O59,-2)-ROUNDDOWN(O59,-2))*(VLOOKUP(ROUNDUP(O59,-2),Enthalpy,22)-VLOOKUP(ROUNDDOWN(O59,-2),Enthalpy,22)))</f>
        <v>15856</v>
      </c>
      <c r="O66" s="154">
        <f t="shared" si="5"/>
        <v>48912.501917808229</v>
      </c>
      <c r="P66" s="71"/>
      <c r="Q66" s="71"/>
      <c r="R66" s="71"/>
      <c r="S66" s="71"/>
      <c r="T66" s="71"/>
      <c r="U66" s="71"/>
    </row>
    <row r="67" spans="1:21" ht="16.5" x14ac:dyDescent="0.3">
      <c r="A67" s="67" t="s">
        <v>56</v>
      </c>
      <c r="B67" s="94">
        <f>(C17+3/16*B54)*8 / (6*B56/B57 + 8)</f>
        <v>5.7289041095890418</v>
      </c>
      <c r="C67" s="130">
        <f>(IF(ROUNDDOWN(D59,-2)=ROUNDUP(D59,-2),VLOOKUP(D59,Enthalpy,23),VLOOKUP(ROUNDDOWN(D59,-2),Enthalpy,23)+(D59-ROUNDDOWN(D59,-2))/(ROUNDUP(D59,-2)-ROUNDDOWN(D59,-2))*(VLOOKUP(ROUNDUP(D59,-2),Enthalpy,23)-VLOOKUP(ROUNDDOWN(D59,-2),Enthalpy,23))))</f>
        <v>21940</v>
      </c>
      <c r="D67" s="158">
        <f t="shared" si="4"/>
        <v>125692.15616438357</v>
      </c>
      <c r="E67" s="67"/>
      <c r="F67" s="67"/>
      <c r="G67" s="67"/>
      <c r="H67" s="67"/>
      <c r="I67" s="67"/>
      <c r="J67" s="67"/>
      <c r="K67" s="68"/>
      <c r="L67" s="71" t="s">
        <v>56</v>
      </c>
      <c r="M67" s="96">
        <f>(N17+3/16*M54)*8 / (6*M56/M57 + 8)</f>
        <v>5.7289041095890418</v>
      </c>
      <c r="N67" s="113">
        <f>IF(ROUNDDOWN(O59,-2)=ROUNDUP(O59,-2),VLOOKUP(O59,Enthalpy,23),VLOOKUP(ROUNDDOWN(O59,-2),Enthalpy,23)+(O59-ROUNDDOWN(O59,-2))/(ROUNDUP(O59,-2)-ROUNDDOWN(O59,-2))*(VLOOKUP(ROUNDUP(O59,-2),Enthalpy,23)-VLOOKUP(ROUNDDOWN(O59,-2),Enthalpy,23)))</f>
        <v>21940</v>
      </c>
      <c r="O67" s="161">
        <f t="shared" si="5"/>
        <v>125692.15616438357</v>
      </c>
      <c r="P67" s="71"/>
      <c r="Q67" s="71"/>
      <c r="R67" s="71"/>
      <c r="S67" s="71"/>
      <c r="T67" s="71"/>
      <c r="U67" s="71"/>
    </row>
    <row r="68" spans="1:21" x14ac:dyDescent="0.25">
      <c r="A68" s="67"/>
      <c r="B68" s="88">
        <f>SUM(B61:B67)</f>
        <v>1112.9261307987945</v>
      </c>
      <c r="C68" s="66"/>
      <c r="D68" s="150">
        <f>SUM(D61:D67)</f>
        <v>4985670.2403027238</v>
      </c>
      <c r="E68" s="67"/>
      <c r="F68" s="67"/>
      <c r="G68" s="67"/>
      <c r="H68" s="67"/>
      <c r="I68" s="67"/>
      <c r="J68" s="67"/>
      <c r="K68" s="68"/>
      <c r="L68" s="71"/>
      <c r="M68" s="91">
        <f>SUM(M61:M67)</f>
        <v>1112.9261290419822</v>
      </c>
      <c r="N68" s="70"/>
      <c r="O68" s="154">
        <f>SUM(O61:O67)</f>
        <v>4985670.2298402032</v>
      </c>
      <c r="P68" s="71"/>
      <c r="Q68" s="71"/>
      <c r="R68" s="71"/>
      <c r="S68" s="71"/>
      <c r="T68" s="71"/>
      <c r="U68" s="71"/>
    </row>
    <row r="69" spans="1:21" x14ac:dyDescent="0.25">
      <c r="A69" s="67" t="s">
        <v>154</v>
      </c>
      <c r="B69" s="66"/>
      <c r="C69" s="66"/>
      <c r="D69" s="67"/>
      <c r="E69" s="67"/>
      <c r="F69" s="67"/>
      <c r="G69" s="67"/>
      <c r="H69" s="67"/>
      <c r="I69" s="67"/>
      <c r="J69" s="67"/>
      <c r="K69" s="68"/>
      <c r="L69" s="71" t="s">
        <v>154</v>
      </c>
      <c r="M69" s="70"/>
      <c r="N69" s="70"/>
      <c r="O69" s="71"/>
      <c r="P69" s="71"/>
      <c r="Q69" s="71"/>
      <c r="R69" s="71"/>
      <c r="S69" s="71"/>
      <c r="T69" s="71"/>
      <c r="U69" s="71"/>
    </row>
    <row r="70" spans="1:21" x14ac:dyDescent="0.25">
      <c r="A70" s="75" t="s">
        <v>155</v>
      </c>
      <c r="B70" s="66" t="s">
        <v>1</v>
      </c>
      <c r="C70" s="73">
        <f>'Step 4'!D25</f>
        <v>3965715.7382994904</v>
      </c>
      <c r="D70" s="67" t="s">
        <v>76</v>
      </c>
      <c r="E70" s="67"/>
      <c r="F70" s="67"/>
      <c r="G70" s="67"/>
      <c r="H70" s="67"/>
      <c r="I70" s="67"/>
      <c r="J70" s="67"/>
      <c r="K70" s="68"/>
      <c r="L70" s="77" t="s">
        <v>155</v>
      </c>
      <c r="M70" s="70" t="s">
        <v>1</v>
      </c>
      <c r="N70" s="74">
        <f>'Step 4'!O25</f>
        <v>3965715.7301351437</v>
      </c>
      <c r="O70" s="71" t="s">
        <v>76</v>
      </c>
      <c r="P70" s="71"/>
      <c r="Q70" s="71"/>
      <c r="R70" s="71"/>
      <c r="S70" s="71"/>
      <c r="T70" s="71"/>
      <c r="U70" s="71"/>
    </row>
    <row r="71" spans="1:21" x14ac:dyDescent="0.25">
      <c r="A71" s="75" t="s">
        <v>83</v>
      </c>
      <c r="B71" s="66" t="s">
        <v>1</v>
      </c>
      <c r="C71" s="171">
        <f>B54/2*(-C7)</f>
        <v>1032270</v>
      </c>
      <c r="D71" s="80" t="s">
        <v>76</v>
      </c>
      <c r="E71" s="67"/>
      <c r="F71" s="67"/>
      <c r="G71" s="67"/>
      <c r="H71" s="67"/>
      <c r="I71" s="67"/>
      <c r="J71" s="67"/>
      <c r="K71" s="68"/>
      <c r="L71" s="77" t="s">
        <v>83</v>
      </c>
      <c r="M71" s="70" t="s">
        <v>1</v>
      </c>
      <c r="N71" s="173">
        <f>M54/2*(-N7)</f>
        <v>1032270</v>
      </c>
      <c r="O71" s="82" t="s">
        <v>76</v>
      </c>
      <c r="P71" s="71"/>
      <c r="Q71" s="71"/>
      <c r="R71" s="71"/>
      <c r="S71" s="71"/>
      <c r="T71" s="71"/>
      <c r="U71" s="71"/>
    </row>
    <row r="72" spans="1:21" x14ac:dyDescent="0.25">
      <c r="A72" s="75" t="s">
        <v>156</v>
      </c>
      <c r="B72" s="66" t="s">
        <v>1</v>
      </c>
      <c r="C72" s="73">
        <f>C70+C71</f>
        <v>4997985.7382994909</v>
      </c>
      <c r="D72" s="67" t="s">
        <v>76</v>
      </c>
      <c r="E72" s="67"/>
      <c r="F72" s="67"/>
      <c r="G72" s="67"/>
      <c r="H72" s="67"/>
      <c r="I72" s="67"/>
      <c r="J72" s="67"/>
      <c r="K72" s="68"/>
      <c r="L72" s="77" t="s">
        <v>156</v>
      </c>
      <c r="M72" s="70" t="s">
        <v>1</v>
      </c>
      <c r="N72" s="74">
        <f>N70+N71</f>
        <v>4997985.7301351437</v>
      </c>
      <c r="O72" s="71" t="s">
        <v>76</v>
      </c>
      <c r="P72" s="71"/>
      <c r="Q72" s="71"/>
      <c r="R72" s="71"/>
      <c r="S72" s="71"/>
      <c r="T72" s="71"/>
      <c r="U72" s="71"/>
    </row>
    <row r="73" spans="1:21" x14ac:dyDescent="0.25">
      <c r="A73" s="75"/>
      <c r="B73" s="66"/>
      <c r="C73" s="250"/>
      <c r="D73" s="67"/>
      <c r="E73" s="67"/>
      <c r="F73" s="67"/>
      <c r="G73" s="67"/>
      <c r="H73" s="67"/>
      <c r="I73" s="67"/>
      <c r="J73" s="67"/>
      <c r="K73" s="68"/>
      <c r="L73" s="77"/>
      <c r="M73" s="70"/>
      <c r="N73" s="251"/>
      <c r="O73" s="71"/>
      <c r="P73" s="71"/>
      <c r="Q73" s="71"/>
      <c r="R73" s="71"/>
      <c r="S73" s="71"/>
      <c r="T73" s="71"/>
      <c r="U73" s="71"/>
    </row>
    <row r="74" spans="1:21" x14ac:dyDescent="0.25">
      <c r="A74" s="67"/>
      <c r="B74" s="66"/>
      <c r="C74" s="66"/>
      <c r="D74" s="67"/>
      <c r="E74" s="67"/>
      <c r="F74" s="67"/>
      <c r="G74" s="67"/>
      <c r="H74" s="67"/>
      <c r="I74" s="67"/>
      <c r="J74" s="67"/>
      <c r="K74" s="68"/>
      <c r="L74" s="71"/>
      <c r="M74" s="70"/>
      <c r="N74" s="70"/>
      <c r="O74" s="71"/>
      <c r="P74" s="71"/>
      <c r="Q74" s="71"/>
      <c r="R74" s="71"/>
      <c r="S74" s="71"/>
      <c r="T74" s="71"/>
      <c r="U74" s="71"/>
    </row>
    <row r="75" spans="1:21" x14ac:dyDescent="0.25">
      <c r="A75" s="75" t="s">
        <v>151</v>
      </c>
      <c r="B75" s="101">
        <f>B28</f>
        <v>40</v>
      </c>
      <c r="C75" s="66"/>
      <c r="D75" s="67"/>
      <c r="E75" s="67"/>
      <c r="F75" s="67"/>
      <c r="G75" s="67"/>
      <c r="H75" s="67"/>
      <c r="I75" s="67"/>
      <c r="J75" s="67"/>
      <c r="K75" s="68"/>
      <c r="L75" s="77" t="s">
        <v>151</v>
      </c>
      <c r="M75" s="102">
        <f>M28</f>
        <v>40</v>
      </c>
      <c r="N75" s="70"/>
      <c r="O75" s="71"/>
      <c r="P75" s="71"/>
      <c r="Q75" s="71"/>
      <c r="R75" s="71"/>
      <c r="S75" s="71"/>
      <c r="T75" s="71"/>
      <c r="U75" s="71"/>
    </row>
    <row r="76" spans="1:21" x14ac:dyDescent="0.25">
      <c r="A76" s="101" t="s">
        <v>152</v>
      </c>
      <c r="B76" s="101"/>
      <c r="C76" s="66"/>
      <c r="D76" s="67"/>
      <c r="E76" s="67"/>
      <c r="F76" s="67"/>
      <c r="G76" s="67"/>
      <c r="H76" s="67"/>
      <c r="I76" s="67"/>
      <c r="J76" s="67"/>
      <c r="K76" s="68"/>
      <c r="L76" s="102" t="s">
        <v>152</v>
      </c>
      <c r="M76" s="102"/>
      <c r="N76" s="70"/>
      <c r="O76" s="71"/>
      <c r="P76" s="71"/>
      <c r="Q76" s="71"/>
      <c r="R76" s="71"/>
      <c r="S76" s="71"/>
      <c r="T76" s="71"/>
      <c r="U76" s="71"/>
    </row>
    <row r="77" spans="1:21" ht="16.5" x14ac:dyDescent="0.3">
      <c r="A77" s="101"/>
      <c r="B77" s="75">
        <v>34</v>
      </c>
      <c r="C77" s="67" t="s">
        <v>97</v>
      </c>
      <c r="D77" s="67"/>
      <c r="E77" s="67"/>
      <c r="F77" s="67"/>
      <c r="G77" s="67" t="s">
        <v>251</v>
      </c>
      <c r="H77" s="67"/>
      <c r="I77" s="67"/>
      <c r="J77" s="67"/>
      <c r="K77" s="68"/>
      <c r="L77" s="102"/>
      <c r="M77" s="290">
        <v>34</v>
      </c>
      <c r="N77" s="71" t="s">
        <v>97</v>
      </c>
      <c r="O77" s="71"/>
      <c r="P77" s="71"/>
      <c r="Q77" s="71"/>
      <c r="R77" s="71" t="s">
        <v>251</v>
      </c>
      <c r="S77" s="71"/>
      <c r="T77" s="71"/>
      <c r="U77" s="71"/>
    </row>
    <row r="78" spans="1:21" ht="16.5" x14ac:dyDescent="0.3">
      <c r="A78" s="75"/>
      <c r="B78" s="75">
        <v>66</v>
      </c>
      <c r="C78" s="67" t="s">
        <v>98</v>
      </c>
      <c r="D78" s="67"/>
      <c r="E78" s="67"/>
      <c r="F78" s="67"/>
      <c r="G78" s="67"/>
      <c r="H78" s="67"/>
      <c r="I78" s="67"/>
      <c r="J78" s="67"/>
      <c r="K78" s="68"/>
      <c r="L78" s="77"/>
      <c r="M78" s="290">
        <v>66</v>
      </c>
      <c r="N78" s="71" t="s">
        <v>98</v>
      </c>
      <c r="O78" s="71"/>
      <c r="P78" s="71"/>
      <c r="Q78" s="71"/>
      <c r="R78" s="71"/>
      <c r="S78" s="71"/>
      <c r="T78" s="71"/>
      <c r="U78" s="71"/>
    </row>
    <row r="79" spans="1:21" x14ac:dyDescent="0.25">
      <c r="A79" s="75"/>
      <c r="B79" s="101"/>
      <c r="C79" s="66"/>
      <c r="D79" s="67"/>
      <c r="E79" s="67"/>
      <c r="F79" s="67"/>
      <c r="G79" s="67"/>
      <c r="H79" s="67"/>
      <c r="I79" s="67"/>
      <c r="J79" s="67"/>
      <c r="K79" s="68"/>
      <c r="L79" s="77"/>
      <c r="M79" s="102"/>
      <c r="N79" s="70"/>
      <c r="O79" s="71"/>
      <c r="P79" s="71"/>
      <c r="Q79" s="71"/>
      <c r="R79" s="71"/>
      <c r="S79" s="71"/>
      <c r="T79" s="71"/>
      <c r="U79" s="71"/>
    </row>
    <row r="80" spans="1:21" x14ac:dyDescent="0.25">
      <c r="A80" s="67"/>
      <c r="B80" s="66" t="s">
        <v>153</v>
      </c>
      <c r="C80" s="116" t="s">
        <v>85</v>
      </c>
      <c r="D80" s="117">
        <f>D28</f>
        <v>566</v>
      </c>
      <c r="E80" s="67" t="s">
        <v>17</v>
      </c>
      <c r="F80" s="67"/>
      <c r="G80" s="67"/>
      <c r="H80" s="67"/>
      <c r="I80" s="67"/>
      <c r="J80" s="67"/>
      <c r="K80" s="68"/>
      <c r="L80" s="71"/>
      <c r="M80" s="70" t="s">
        <v>153</v>
      </c>
      <c r="N80" s="118" t="s">
        <v>85</v>
      </c>
      <c r="O80" s="97">
        <f>O28</f>
        <v>566</v>
      </c>
      <c r="P80" s="71" t="s">
        <v>17</v>
      </c>
      <c r="Q80" s="71"/>
      <c r="R80" s="71"/>
      <c r="S80" s="71"/>
      <c r="T80" s="71"/>
      <c r="U80" s="71"/>
    </row>
    <row r="81" spans="1:21" x14ac:dyDescent="0.25">
      <c r="A81" s="67"/>
      <c r="B81" s="117" t="s">
        <v>74</v>
      </c>
      <c r="C81" s="117" t="s">
        <v>75</v>
      </c>
      <c r="D81" s="117" t="s">
        <v>76</v>
      </c>
      <c r="E81" s="67"/>
      <c r="F81" s="67"/>
      <c r="G81" s="67"/>
      <c r="H81" s="67"/>
      <c r="I81" s="67"/>
      <c r="J81" s="67"/>
      <c r="K81" s="68"/>
      <c r="L81" s="71"/>
      <c r="M81" s="97" t="s">
        <v>74</v>
      </c>
      <c r="N81" s="97" t="s">
        <v>75</v>
      </c>
      <c r="O81" s="97" t="s">
        <v>76</v>
      </c>
      <c r="P81" s="71"/>
      <c r="Q81" s="71"/>
      <c r="R81" s="71"/>
      <c r="S81" s="71"/>
      <c r="T81" s="71"/>
      <c r="U81" s="71"/>
    </row>
    <row r="82" spans="1:21" ht="16.5" x14ac:dyDescent="0.3">
      <c r="A82" s="67" t="s">
        <v>42</v>
      </c>
      <c r="B82" s="88">
        <f>C11-B75</f>
        <v>18.495378048852757</v>
      </c>
      <c r="C82" s="130">
        <f>(IF(ROUNDDOWN(D80,-2)=ROUNDUP(D80,-2),VLOOKUP(D80,Enthalpy,19),VLOOKUP(ROUNDDOWN(D80,-2),Enthalpy,19)+(D80-ROUNDDOWN(D80,-2))/(ROUNDUP(D80,-2)-ROUNDDOWN(D80,-2))*(VLOOKUP(ROUNDUP(D80,-2),Enthalpy,19)-VLOOKUP(ROUNDDOWN(D80,-2),Enthalpy,19))))</f>
        <v>4521.26</v>
      </c>
      <c r="D82" s="150">
        <f>(B82*C82)</f>
        <v>83622.412957156019</v>
      </c>
      <c r="E82" s="67"/>
      <c r="F82" s="67"/>
      <c r="G82" s="67"/>
      <c r="H82" s="67"/>
      <c r="I82" s="67"/>
      <c r="J82" s="67"/>
      <c r="K82" s="68"/>
      <c r="L82" s="71" t="s">
        <v>42</v>
      </c>
      <c r="M82" s="91">
        <f>N11-M75</f>
        <v>18.495374535228052</v>
      </c>
      <c r="N82" s="113">
        <f>IF(ROUNDDOWN(O80,-2)=ROUNDUP(O80,-2),VLOOKUP(O80,Enthalpy,19),VLOOKUP(ROUNDDOWN(O80,-2),Enthalpy,19)+(O80-ROUNDDOWN(O80,-2))/(ROUNDUP(O80,-2)-ROUNDDOWN(O80,-2))*(VLOOKUP(ROUNDUP(O80,-2),Enthalpy,19)-VLOOKUP(ROUNDDOWN(O80,-2),Enthalpy,19)))</f>
        <v>4521.26</v>
      </c>
      <c r="O82" s="154">
        <f>M82*N82</f>
        <v>83622.397071145184</v>
      </c>
      <c r="P82" s="71"/>
      <c r="Q82" s="71"/>
      <c r="R82" s="71"/>
      <c r="S82" s="71"/>
      <c r="T82" s="71"/>
      <c r="U82" s="71"/>
    </row>
    <row r="83" spans="1:21" ht="16.5" x14ac:dyDescent="0.3">
      <c r="A83" s="67" t="s">
        <v>43</v>
      </c>
      <c r="B83" s="88">
        <f>C12</f>
        <v>159.09563336735241</v>
      </c>
      <c r="C83" s="130">
        <f>(IF(ROUNDDOWN(D80,-2)=ROUNDUP(D80,-2),VLOOKUP(D80,Enthalpy,14),VLOOKUP(ROUNDDOWN(D80,-2),Enthalpy,14)+(D80-ROUNDDOWN(D80,-2))/(ROUNDUP(D80,-2)-ROUNDDOWN(D80,-2))*(VLOOKUP(ROUNDUP(D80,-2),Enthalpy,14)-VLOOKUP(ROUNDDOWN(D80,-2),Enthalpy,14))))</f>
        <v>5361.66</v>
      </c>
      <c r="D83" s="150">
        <f t="shared" ref="D83:D88" si="6">(B83*C83)</f>
        <v>853016.69360039872</v>
      </c>
      <c r="E83" s="67"/>
      <c r="F83" s="67"/>
      <c r="G83" s="67"/>
      <c r="H83" s="67"/>
      <c r="I83" s="67"/>
      <c r="J83" s="67"/>
      <c r="K83" s="68"/>
      <c r="L83" s="71" t="s">
        <v>43</v>
      </c>
      <c r="M83" s="91">
        <f>N12</f>
        <v>159.09563336735241</v>
      </c>
      <c r="N83" s="113">
        <f>IF(ROUNDDOWN(O80,-2)=ROUNDUP(O80,-2),VLOOKUP(O80,Enthalpy,14),VLOOKUP(ROUNDDOWN(O80,-2),Enthalpy,14)+(O80-ROUNDDOWN(O80,-2))/(ROUNDUP(O80,-2)-ROUNDDOWN(O80,-2))*(VLOOKUP(ROUNDUP(O80,-2),Enthalpy,14)-VLOOKUP(ROUNDDOWN(O80,-2),Enthalpy,14)))</f>
        <v>5361.66</v>
      </c>
      <c r="O83" s="154">
        <f t="shared" ref="O83:O88" si="7">M83*N83</f>
        <v>853016.69360039872</v>
      </c>
      <c r="P83" s="71"/>
      <c r="Q83" s="71"/>
      <c r="R83" s="71"/>
      <c r="S83" s="71"/>
      <c r="T83" s="71"/>
      <c r="U83" s="71"/>
    </row>
    <row r="84" spans="1:21" ht="16.5" x14ac:dyDescent="0.3">
      <c r="A84" s="67" t="s">
        <v>44</v>
      </c>
      <c r="B84" s="88">
        <f>C13+B75</f>
        <v>333.64787642816805</v>
      </c>
      <c r="C84" s="130">
        <f>(IF(ROUNDDOWN(D80,-2)=ROUNDUP(D80,-2),VLOOKUP(D80,Enthalpy,15),VLOOKUP(ROUNDDOWN(D80,-2),Enthalpy,15)+(D80-ROUNDDOWN(D80,-2))/(ROUNDUP(D80,-2)-ROUNDDOWN(D80,-2))*(VLOOKUP(ROUNDUP(D80,-2),Enthalpy,15)-VLOOKUP(ROUNDDOWN(D80,-2),Enthalpy,15))))</f>
        <v>4496.26</v>
      </c>
      <c r="D84" s="150">
        <f t="shared" si="6"/>
        <v>1500167.600868915</v>
      </c>
      <c r="E84" s="67"/>
      <c r="F84" s="67"/>
      <c r="G84" s="67"/>
      <c r="H84" s="67"/>
      <c r="I84" s="67"/>
      <c r="J84" s="67"/>
      <c r="K84" s="68"/>
      <c r="L84" s="71" t="s">
        <v>44</v>
      </c>
      <c r="M84" s="91">
        <f>N13+M75</f>
        <v>333.64787994179278</v>
      </c>
      <c r="N84" s="113">
        <f>IF(ROUNDDOWN(O80,-2)=ROUNDUP(O80,-2),VLOOKUP(O80,Enthalpy,15),VLOOKUP(ROUNDDOWN(O80,-2),Enthalpy,15)+(O80-ROUNDDOWN(O80,-2))/(ROUNDUP(O80,-2)-ROUNDDOWN(O80,-2))*(VLOOKUP(ROUNDUP(O80,-2),Enthalpy,15)-VLOOKUP(ROUNDDOWN(O80,-2),Enthalpy,15)))</f>
        <v>4496.26</v>
      </c>
      <c r="O84" s="154">
        <f t="shared" si="7"/>
        <v>1500167.6166670853</v>
      </c>
      <c r="P84" s="71"/>
      <c r="Q84" s="71"/>
      <c r="R84" s="71"/>
      <c r="S84" s="71"/>
      <c r="T84" s="71"/>
      <c r="U84" s="71"/>
    </row>
    <row r="85" spans="1:21" ht="16.5" x14ac:dyDescent="0.3">
      <c r="A85" s="67" t="s">
        <v>51</v>
      </c>
      <c r="B85" s="88">
        <f>C14-B75/2</f>
        <v>9.2476890244263785</v>
      </c>
      <c r="C85" s="130">
        <f>(IF(ROUNDDOWN(D80,-2)=ROUNDUP(D80,-2),VLOOKUP(D80,Enthalpy,17),VLOOKUP(ROUNDDOWN(D80,-2),Enthalpy,17)+(D80-ROUNDDOWN(D80,-2))/(ROUNDUP(D80,-2)-ROUNDDOWN(D80,-2))*(VLOOKUP(ROUNDUP(D80,-2),Enthalpy,17)-VLOOKUP(ROUNDDOWN(D80,-2),Enthalpy,17))))</f>
        <v>5728.58</v>
      </c>
      <c r="D85" s="150">
        <f t="shared" si="6"/>
        <v>52976.12639154846</v>
      </c>
      <c r="E85" s="67"/>
      <c r="F85" s="67"/>
      <c r="G85" s="67"/>
      <c r="H85" s="67"/>
      <c r="I85" s="67"/>
      <c r="J85" s="67"/>
      <c r="K85" s="68"/>
      <c r="L85" s="71" t="s">
        <v>51</v>
      </c>
      <c r="M85" s="91">
        <f>N14-M75/2</f>
        <v>9.247687267614026</v>
      </c>
      <c r="N85" s="113">
        <f>IF(ROUNDDOWN(O80,-2)=ROUNDUP(O80,-2),VLOOKUP(O80,Enthalpy,17),VLOOKUP(ROUNDDOWN(O80,-2),Enthalpy,17)+(O80-ROUNDDOWN(O80,-2))/(ROUNDUP(O80,-2)-ROUNDDOWN(O80,-2))*(VLOOKUP(ROUNDUP(O80,-2),Enthalpy,17)-VLOOKUP(ROUNDDOWN(O80,-2),Enthalpy,17)))</f>
        <v>5728.58</v>
      </c>
      <c r="O85" s="154">
        <f t="shared" si="7"/>
        <v>52976.11632750836</v>
      </c>
      <c r="P85" s="71"/>
      <c r="Q85" s="71"/>
      <c r="R85" s="71"/>
      <c r="S85" s="71"/>
      <c r="T85" s="71"/>
      <c r="U85" s="71"/>
    </row>
    <row r="86" spans="1:21" ht="16.5" x14ac:dyDescent="0.3">
      <c r="A86" s="67" t="s">
        <v>52</v>
      </c>
      <c r="B86" s="88">
        <f>C15</f>
        <v>582.62585529985779</v>
      </c>
      <c r="C86" s="130">
        <f>(IF(ROUNDDOWN(D80,-2)=ROUNDUP(D80,-2),VLOOKUP(D80,Enthalpy,9),VLOOKUP(ROUNDDOWN(D80,-2),Enthalpy,9)+(D80-ROUNDDOWN(D80,-2))/(ROUNDUP(D80,-2)-ROUNDDOWN(D80,-2))*(VLOOKUP(ROUNDUP(D80,-2),Enthalpy,9)-VLOOKUP(ROUNDDOWN(D80,-2),Enthalpy,9))))</f>
        <v>3756.24</v>
      </c>
      <c r="D86" s="150">
        <f t="shared" si="6"/>
        <v>2188482.5427115378</v>
      </c>
      <c r="E86" s="67"/>
      <c r="F86" s="67"/>
      <c r="G86" s="67"/>
      <c r="H86" s="67"/>
      <c r="I86" s="67"/>
      <c r="J86" s="67"/>
      <c r="K86" s="68"/>
      <c r="L86" s="71" t="s">
        <v>52</v>
      </c>
      <c r="M86" s="91">
        <f>N15</f>
        <v>582.62585529985779</v>
      </c>
      <c r="N86" s="113">
        <f>IF(ROUNDDOWN(O80,-2)=ROUNDUP(O80,-2),VLOOKUP(O80,Enthalpy,9),VLOOKUP(ROUNDDOWN(O80,-2),Enthalpy,9)+(O80-ROUNDDOWN(O80,-2))/(ROUNDUP(O80,-2)-ROUNDDOWN(O80,-2))*(VLOOKUP(ROUNDUP(O80,-2),Enthalpy,9)-VLOOKUP(ROUNDDOWN(O80,-2),Enthalpy,9)))</f>
        <v>3756.24</v>
      </c>
      <c r="O86" s="154">
        <f t="shared" si="7"/>
        <v>2188482.5427115378</v>
      </c>
      <c r="P86" s="71"/>
      <c r="Q86" s="71"/>
      <c r="R86" s="71"/>
      <c r="S86" s="71"/>
      <c r="T86" s="71"/>
      <c r="U86" s="71"/>
    </row>
    <row r="87" spans="1:21" ht="16.5" x14ac:dyDescent="0.3">
      <c r="A87" s="67" t="s">
        <v>55</v>
      </c>
      <c r="B87" s="88">
        <f>B77/B78*B88</f>
        <v>3.1278142076502737</v>
      </c>
      <c r="C87" s="130">
        <f>(IF(ROUNDDOWN(D80,-2)=ROUNDUP(D80,-2),VLOOKUP(D80,Enthalpy,22),VLOOKUP(ROUNDDOWN(D80,-2),Enthalpy,22)+(D80-ROUNDDOWN(D80,-2))/(ROUNDUP(D80,-2)-ROUNDDOWN(D80,-2))*(VLOOKUP(ROUNDUP(D80,-2),Enthalpy,22)-VLOOKUP(ROUNDDOWN(D80,-2),Enthalpy,22))))</f>
        <v>15433.2</v>
      </c>
      <c r="D87" s="150">
        <f t="shared" si="6"/>
        <v>48272.182229508209</v>
      </c>
      <c r="E87" s="67"/>
      <c r="F87" s="67"/>
      <c r="G87" s="67"/>
      <c r="H87" s="67"/>
      <c r="I87" s="67"/>
      <c r="J87" s="67"/>
      <c r="K87" s="68"/>
      <c r="L87" s="71" t="s">
        <v>55</v>
      </c>
      <c r="M87" s="91">
        <f>M77/M78*M88</f>
        <v>3.1278142076502737</v>
      </c>
      <c r="N87" s="113">
        <f>IF(ROUNDDOWN(O80,-2)=ROUNDUP(O80,-2),VLOOKUP(O80,Enthalpy,22),VLOOKUP(ROUNDDOWN(O80,-2),Enthalpy,22)+(O80-ROUNDDOWN(O80,-2))/(ROUNDUP(O80,-2)-ROUNDDOWN(O80,-2))*(VLOOKUP(ROUNDUP(O80,-2),Enthalpy,22)-VLOOKUP(ROUNDDOWN(O80,-2),Enthalpy,22)))</f>
        <v>15433.2</v>
      </c>
      <c r="O87" s="154">
        <f t="shared" si="7"/>
        <v>48272.182229508209</v>
      </c>
      <c r="P87" s="71"/>
      <c r="Q87" s="71"/>
      <c r="R87" s="71"/>
      <c r="S87" s="71"/>
      <c r="T87" s="71"/>
      <c r="U87" s="71"/>
    </row>
    <row r="88" spans="1:21" ht="16.5" x14ac:dyDescent="0.3">
      <c r="A88" s="67" t="s">
        <v>56</v>
      </c>
      <c r="B88" s="94">
        <f>(C17+3/16*B75)*8 / (6*B77/B78 + 8)</f>
        <v>6.0716393442622962</v>
      </c>
      <c r="C88" s="130">
        <f>(IF(ROUNDDOWN(D80,-2)=ROUNDUP(D80,-2),VLOOKUP(D80,Enthalpy,23),VLOOKUP(ROUNDDOWN(D80,-2),Enthalpy,23)+(D80-ROUNDDOWN(D80,-2))/(ROUNDUP(D80,-2)-ROUNDDOWN(D80,-2))*(VLOOKUP(ROUNDUP(D80,-2),Enthalpy,23)-VLOOKUP(ROUNDDOWN(D80,-2),Enthalpy,23))))</f>
        <v>21352</v>
      </c>
      <c r="D88" s="158">
        <f t="shared" si="6"/>
        <v>129641.64327868856</v>
      </c>
      <c r="E88" s="67"/>
      <c r="F88" s="67"/>
      <c r="G88" s="67"/>
      <c r="H88" s="67"/>
      <c r="I88" s="67"/>
      <c r="J88" s="67"/>
      <c r="K88" s="68"/>
      <c r="L88" s="71" t="s">
        <v>56</v>
      </c>
      <c r="M88" s="96">
        <f>(N17+3/16*M75)*8 / (6*M77/M78 + 8)</f>
        <v>6.0716393442622962</v>
      </c>
      <c r="N88" s="113">
        <f>IF(ROUNDDOWN(O80,-2)=ROUNDUP(O80,-2),VLOOKUP(O80,Enthalpy,23),VLOOKUP(ROUNDDOWN(O80,-2),Enthalpy,23)+(O80-ROUNDDOWN(O80,-2))/(ROUNDUP(O80,-2)-ROUNDDOWN(O80,-2))*(VLOOKUP(ROUNDUP(O80,-2),Enthalpy,23)-VLOOKUP(ROUNDDOWN(O80,-2),Enthalpy,23)))</f>
        <v>21352</v>
      </c>
      <c r="O88" s="161">
        <f t="shared" si="7"/>
        <v>129641.64327868856</v>
      </c>
      <c r="P88" s="71"/>
      <c r="Q88" s="71"/>
      <c r="R88" s="71"/>
      <c r="S88" s="71"/>
      <c r="T88" s="71"/>
      <c r="U88" s="71"/>
    </row>
    <row r="89" spans="1:21" x14ac:dyDescent="0.25">
      <c r="A89" s="67"/>
      <c r="B89" s="88">
        <f>SUM(B82:B88)</f>
        <v>1112.3118857205702</v>
      </c>
      <c r="C89" s="66"/>
      <c r="D89" s="150">
        <f>SUM(D82:D88)</f>
        <v>4856179.2020377526</v>
      </c>
      <c r="E89" s="67"/>
      <c r="F89" s="67"/>
      <c r="G89" s="67"/>
      <c r="H89" s="67"/>
      <c r="I89" s="67"/>
      <c r="J89" s="67"/>
      <c r="K89" s="68"/>
      <c r="L89" s="71"/>
      <c r="M89" s="91">
        <f>SUM(M82:M88)</f>
        <v>1112.311883963758</v>
      </c>
      <c r="N89" s="70"/>
      <c r="O89" s="154">
        <f>SUM(O82:O88)</f>
        <v>4856179.1918858727</v>
      </c>
      <c r="P89" s="71"/>
      <c r="Q89" s="71"/>
      <c r="R89" s="71"/>
      <c r="S89" s="71"/>
      <c r="T89" s="71"/>
      <c r="U89" s="71"/>
    </row>
    <row r="90" spans="1:21" x14ac:dyDescent="0.25">
      <c r="A90" s="67" t="s">
        <v>154</v>
      </c>
      <c r="B90" s="66"/>
      <c r="C90" s="66"/>
      <c r="D90" s="67"/>
      <c r="E90" s="67"/>
      <c r="F90" s="67"/>
      <c r="G90" s="67"/>
      <c r="H90" s="67"/>
      <c r="I90" s="67"/>
      <c r="J90" s="67"/>
      <c r="K90" s="68"/>
      <c r="L90" s="71" t="s">
        <v>154</v>
      </c>
      <c r="M90" s="70"/>
      <c r="N90" s="70"/>
      <c r="O90" s="71"/>
      <c r="P90" s="71"/>
      <c r="Q90" s="71"/>
      <c r="R90" s="71"/>
      <c r="S90" s="71"/>
      <c r="T90" s="71"/>
      <c r="U90" s="71"/>
    </row>
    <row r="91" spans="1:21" x14ac:dyDescent="0.25">
      <c r="A91" s="75" t="s">
        <v>155</v>
      </c>
      <c r="B91" s="66" t="s">
        <v>1</v>
      </c>
      <c r="C91" s="73">
        <f>'Step 4'!D25</f>
        <v>3965715.7382994904</v>
      </c>
      <c r="D91" s="67" t="s">
        <v>76</v>
      </c>
      <c r="E91" s="67"/>
      <c r="F91" s="67"/>
      <c r="G91" s="67"/>
      <c r="H91" s="67"/>
      <c r="I91" s="67"/>
      <c r="J91" s="67"/>
      <c r="K91" s="68"/>
      <c r="L91" s="77" t="s">
        <v>155</v>
      </c>
      <c r="M91" s="70" t="s">
        <v>1</v>
      </c>
      <c r="N91" s="74">
        <f>'Step 4'!O25</f>
        <v>3965715.7301351437</v>
      </c>
      <c r="O91" s="71" t="s">
        <v>76</v>
      </c>
      <c r="P91" s="71"/>
      <c r="Q91" s="71"/>
      <c r="R91" s="71"/>
      <c r="S91" s="71"/>
      <c r="T91" s="71"/>
      <c r="U91" s="71"/>
    </row>
    <row r="92" spans="1:21" x14ac:dyDescent="0.25">
      <c r="A92" s="75" t="s">
        <v>83</v>
      </c>
      <c r="B92" s="66" t="s">
        <v>1</v>
      </c>
      <c r="C92" s="171">
        <f>B75/2*(-C7)</f>
        <v>1086600</v>
      </c>
      <c r="D92" s="67" t="s">
        <v>76</v>
      </c>
      <c r="E92" s="67"/>
      <c r="F92" s="67"/>
      <c r="G92" s="67"/>
      <c r="H92" s="67"/>
      <c r="I92" s="67"/>
      <c r="J92" s="67"/>
      <c r="K92" s="68"/>
      <c r="L92" s="77" t="s">
        <v>83</v>
      </c>
      <c r="M92" s="70" t="s">
        <v>1</v>
      </c>
      <c r="N92" s="173">
        <f>M75/2*(-N7)</f>
        <v>1086600</v>
      </c>
      <c r="O92" s="71" t="s">
        <v>76</v>
      </c>
      <c r="P92" s="71"/>
      <c r="Q92" s="71"/>
      <c r="R92" s="71"/>
      <c r="S92" s="71"/>
      <c r="T92" s="71"/>
      <c r="U92" s="71"/>
    </row>
    <row r="93" spans="1:21" x14ac:dyDescent="0.25">
      <c r="A93" s="75" t="s">
        <v>156</v>
      </c>
      <c r="B93" s="66" t="s">
        <v>1</v>
      </c>
      <c r="C93" s="73">
        <f>C91+C92</f>
        <v>5052315.7382994909</v>
      </c>
      <c r="D93" s="67" t="s">
        <v>76</v>
      </c>
      <c r="E93" s="67"/>
      <c r="F93" s="67"/>
      <c r="G93" s="67"/>
      <c r="H93" s="67"/>
      <c r="I93" s="67"/>
      <c r="J93" s="67"/>
      <c r="K93" s="68"/>
      <c r="L93" s="77" t="s">
        <v>156</v>
      </c>
      <c r="M93" s="70" t="s">
        <v>1</v>
      </c>
      <c r="N93" s="74">
        <f>N91+N92</f>
        <v>5052315.7301351437</v>
      </c>
      <c r="O93" s="71" t="s">
        <v>76</v>
      </c>
      <c r="P93" s="71"/>
      <c r="Q93" s="71"/>
      <c r="R93" s="71"/>
      <c r="S93" s="71"/>
      <c r="T93" s="71"/>
      <c r="U93" s="71"/>
    </row>
    <row r="94" spans="1:21" x14ac:dyDescent="0.25">
      <c r="A94" s="67"/>
      <c r="B94" s="66"/>
      <c r="C94" s="66"/>
      <c r="D94" s="67"/>
      <c r="E94" s="67"/>
      <c r="F94" s="67"/>
      <c r="G94" s="67"/>
      <c r="H94" s="67"/>
      <c r="I94" s="67"/>
      <c r="J94" s="67"/>
      <c r="K94" s="68"/>
      <c r="L94" s="71"/>
      <c r="M94" s="70"/>
      <c r="N94" s="70"/>
      <c r="O94" s="71"/>
      <c r="P94" s="71"/>
      <c r="Q94" s="71"/>
      <c r="R94" s="71"/>
      <c r="S94" s="71"/>
      <c r="T94" s="71"/>
      <c r="U94" s="71"/>
    </row>
    <row r="95" spans="1:21" x14ac:dyDescent="0.25">
      <c r="A95" s="67"/>
      <c r="B95" s="66"/>
      <c r="C95" s="66"/>
      <c r="D95" s="67"/>
      <c r="E95" s="67"/>
      <c r="F95" s="67"/>
      <c r="G95" s="67"/>
      <c r="H95" s="67"/>
      <c r="I95" s="67"/>
      <c r="J95" s="67"/>
      <c r="K95" s="68"/>
      <c r="L95" s="71"/>
      <c r="M95" s="70"/>
      <c r="N95" s="70"/>
      <c r="O95" s="71"/>
      <c r="P95" s="71"/>
      <c r="Q95" s="71"/>
      <c r="R95" s="71"/>
      <c r="S95" s="71"/>
      <c r="T95" s="71"/>
      <c r="U95" s="71"/>
    </row>
    <row r="96" spans="1:21" x14ac:dyDescent="0.25">
      <c r="A96" s="67" t="s">
        <v>157</v>
      </c>
      <c r="B96" s="66"/>
      <c r="C96" s="66"/>
      <c r="D96" s="67"/>
      <c r="E96" s="67"/>
      <c r="F96" s="67"/>
      <c r="G96" s="67"/>
      <c r="H96" s="67"/>
      <c r="I96" s="67"/>
      <c r="J96" s="67"/>
      <c r="K96" s="68"/>
      <c r="L96" s="71" t="s">
        <v>157</v>
      </c>
      <c r="M96" s="70"/>
      <c r="N96" s="70"/>
      <c r="O96" s="71"/>
      <c r="P96" s="71"/>
      <c r="Q96" s="71"/>
      <c r="R96" s="71"/>
      <c r="S96" s="71"/>
      <c r="T96" s="71"/>
      <c r="U96" s="71"/>
    </row>
    <row r="97" spans="1:21" x14ac:dyDescent="0.25">
      <c r="A97" s="67"/>
      <c r="B97" s="117" t="s">
        <v>158</v>
      </c>
      <c r="C97" s="117" t="s">
        <v>159</v>
      </c>
      <c r="D97" s="252" t="s">
        <v>160</v>
      </c>
      <c r="E97" s="67"/>
      <c r="F97" s="67"/>
      <c r="G97" s="67"/>
      <c r="H97" s="67"/>
      <c r="I97" s="67"/>
      <c r="J97" s="67"/>
      <c r="K97" s="68"/>
      <c r="L97" s="71"/>
      <c r="M97" s="97" t="s">
        <v>158</v>
      </c>
      <c r="N97" s="97" t="s">
        <v>159</v>
      </c>
      <c r="O97" s="253" t="s">
        <v>160</v>
      </c>
      <c r="P97" s="71"/>
      <c r="Q97" s="71"/>
      <c r="R97" s="71"/>
      <c r="S97" s="71"/>
      <c r="T97" s="71"/>
      <c r="U97" s="71"/>
    </row>
    <row r="98" spans="1:21" x14ac:dyDescent="0.25">
      <c r="A98" s="67"/>
      <c r="B98" s="66">
        <f>B32</f>
        <v>36</v>
      </c>
      <c r="C98" s="218">
        <f>D47</f>
        <v>5143291.802120015</v>
      </c>
      <c r="D98" s="218">
        <f>C51</f>
        <v>4943655.7382994909</v>
      </c>
      <c r="E98" s="67"/>
      <c r="F98" s="67"/>
      <c r="G98" s="67"/>
      <c r="H98" s="67"/>
      <c r="I98" s="67"/>
      <c r="J98" s="67"/>
      <c r="K98" s="68"/>
      <c r="L98" s="71"/>
      <c r="M98" s="70">
        <f>M32</f>
        <v>36</v>
      </c>
      <c r="N98" s="206">
        <f>O47</f>
        <v>5143291.7912802901</v>
      </c>
      <c r="O98" s="206">
        <f>N51</f>
        <v>4943655.7301351437</v>
      </c>
      <c r="P98" s="71"/>
      <c r="Q98" s="71"/>
      <c r="R98" s="71"/>
      <c r="S98" s="71"/>
      <c r="T98" s="71"/>
      <c r="U98" s="71"/>
    </row>
    <row r="99" spans="1:21" x14ac:dyDescent="0.25">
      <c r="A99" s="67"/>
      <c r="B99" s="66">
        <f>B54</f>
        <v>38</v>
      </c>
      <c r="C99" s="218">
        <f>D68</f>
        <v>4985670.2403027238</v>
      </c>
      <c r="D99" s="218">
        <f>C72</f>
        <v>4997985.7382994909</v>
      </c>
      <c r="E99" s="67"/>
      <c r="F99" s="67"/>
      <c r="G99" s="67"/>
      <c r="H99" s="67"/>
      <c r="I99" s="67"/>
      <c r="J99" s="67"/>
      <c r="K99" s="68"/>
      <c r="L99" s="71"/>
      <c r="M99" s="70">
        <f>M54</f>
        <v>38</v>
      </c>
      <c r="N99" s="206">
        <f>O68</f>
        <v>4985670.2298402032</v>
      </c>
      <c r="O99" s="206">
        <f>N72</f>
        <v>4997985.7301351437</v>
      </c>
      <c r="P99" s="71"/>
      <c r="Q99" s="71"/>
      <c r="R99" s="71"/>
      <c r="S99" s="71"/>
      <c r="T99" s="71"/>
      <c r="U99" s="71"/>
    </row>
    <row r="100" spans="1:21" x14ac:dyDescent="0.25">
      <c r="A100" s="67"/>
      <c r="B100" s="66">
        <f>B75</f>
        <v>40</v>
      </c>
      <c r="C100" s="218">
        <f>D89</f>
        <v>4856179.2020377526</v>
      </c>
      <c r="D100" s="218">
        <f>C93</f>
        <v>5052315.7382994909</v>
      </c>
      <c r="E100" s="67"/>
      <c r="F100" s="67"/>
      <c r="G100" s="67"/>
      <c r="H100" s="67"/>
      <c r="I100" s="67"/>
      <c r="J100" s="67"/>
      <c r="K100" s="68"/>
      <c r="L100" s="71"/>
      <c r="M100" s="70">
        <f>M75</f>
        <v>40</v>
      </c>
      <c r="N100" s="206">
        <f>O89</f>
        <v>4856179.1918858727</v>
      </c>
      <c r="O100" s="206">
        <f>N93</f>
        <v>5052315.7301351437</v>
      </c>
      <c r="P100" s="71"/>
      <c r="Q100" s="71"/>
      <c r="R100" s="71"/>
      <c r="S100" s="71"/>
      <c r="T100" s="71"/>
      <c r="U100" s="71"/>
    </row>
    <row r="101" spans="1:21" x14ac:dyDescent="0.25">
      <c r="A101" s="67"/>
      <c r="B101" s="66"/>
      <c r="C101" s="66"/>
      <c r="D101" s="67"/>
      <c r="E101" s="67"/>
      <c r="F101" s="67"/>
      <c r="G101" s="67"/>
      <c r="H101" s="67"/>
      <c r="I101" s="67"/>
      <c r="J101" s="67"/>
      <c r="K101" s="68"/>
      <c r="L101" s="71"/>
      <c r="M101" s="70"/>
      <c r="N101" s="70"/>
      <c r="O101" s="71"/>
      <c r="P101" s="71"/>
      <c r="Q101" s="71"/>
      <c r="R101" s="71"/>
      <c r="S101" s="71"/>
      <c r="T101" s="71"/>
      <c r="U101" s="71"/>
    </row>
    <row r="102" spans="1:21" x14ac:dyDescent="0.25">
      <c r="A102" s="67"/>
      <c r="B102" s="66"/>
      <c r="C102" s="66"/>
      <c r="D102" s="67"/>
      <c r="E102" s="67"/>
      <c r="F102" s="67"/>
      <c r="G102" s="67"/>
      <c r="H102" s="67"/>
      <c r="I102" s="67"/>
      <c r="J102" s="67"/>
      <c r="K102" s="68"/>
      <c r="L102" s="71"/>
      <c r="M102" s="70"/>
      <c r="N102" s="70"/>
      <c r="O102" s="71"/>
      <c r="P102" s="71"/>
      <c r="Q102" s="71"/>
      <c r="R102" s="71"/>
      <c r="S102" s="71"/>
      <c r="T102" s="71"/>
      <c r="U102" s="71"/>
    </row>
    <row r="103" spans="1:21" x14ac:dyDescent="0.25">
      <c r="A103" s="67"/>
      <c r="B103" s="66"/>
      <c r="C103" s="66"/>
      <c r="D103" s="67"/>
      <c r="E103" s="67"/>
      <c r="F103" s="67"/>
      <c r="G103" s="67"/>
      <c r="H103" s="67"/>
      <c r="I103" s="67"/>
      <c r="J103" s="67"/>
      <c r="K103" s="68"/>
      <c r="L103" s="71"/>
      <c r="M103" s="70"/>
      <c r="N103" s="70"/>
      <c r="O103" s="71"/>
      <c r="P103" s="71"/>
      <c r="Q103" s="71"/>
      <c r="R103" s="71"/>
      <c r="S103" s="71"/>
      <c r="T103" s="71"/>
      <c r="U103" s="71"/>
    </row>
    <row r="104" spans="1:21" x14ac:dyDescent="0.25">
      <c r="A104" s="67"/>
      <c r="B104" s="66"/>
      <c r="C104" s="66"/>
      <c r="D104" s="67"/>
      <c r="E104" s="67"/>
      <c r="F104" s="67"/>
      <c r="G104" s="67"/>
      <c r="H104" s="67"/>
      <c r="I104" s="67"/>
      <c r="J104" s="67"/>
      <c r="K104" s="68"/>
      <c r="L104" s="71"/>
      <c r="M104" s="70"/>
      <c r="N104" s="70"/>
      <c r="O104" s="71"/>
      <c r="P104" s="71"/>
      <c r="Q104" s="71"/>
      <c r="R104" s="71"/>
      <c r="S104" s="71"/>
      <c r="T104" s="71"/>
      <c r="U104" s="71"/>
    </row>
    <row r="105" spans="1:21" x14ac:dyDescent="0.25">
      <c r="A105" s="67"/>
      <c r="B105" s="66"/>
      <c r="C105" s="66"/>
      <c r="D105" s="67"/>
      <c r="E105" s="67"/>
      <c r="F105" s="67"/>
      <c r="G105" s="67"/>
      <c r="H105" s="67"/>
      <c r="I105" s="67"/>
      <c r="J105" s="67"/>
      <c r="K105" s="68"/>
      <c r="L105" s="71"/>
      <c r="M105" s="70"/>
      <c r="N105" s="70"/>
      <c r="O105" s="71"/>
      <c r="P105" s="71"/>
      <c r="Q105" s="71"/>
      <c r="R105" s="71"/>
      <c r="S105" s="71"/>
      <c r="T105" s="71"/>
      <c r="U105" s="71"/>
    </row>
    <row r="106" spans="1:21" x14ac:dyDescent="0.25">
      <c r="A106" s="67"/>
      <c r="B106" s="66"/>
      <c r="C106" s="66"/>
      <c r="D106" s="67"/>
      <c r="E106" s="67"/>
      <c r="F106" s="67"/>
      <c r="G106" s="67"/>
      <c r="H106" s="67"/>
      <c r="I106" s="67"/>
      <c r="J106" s="67"/>
      <c r="K106" s="68"/>
      <c r="L106" s="71"/>
      <c r="M106" s="70"/>
      <c r="N106" s="70"/>
      <c r="O106" s="71"/>
      <c r="P106" s="71"/>
      <c r="Q106" s="71"/>
      <c r="R106" s="71"/>
      <c r="S106" s="71"/>
      <c r="T106" s="71"/>
      <c r="U106" s="71"/>
    </row>
    <row r="107" spans="1:21" x14ac:dyDescent="0.25">
      <c r="A107" s="67"/>
      <c r="B107" s="66"/>
      <c r="C107" s="66"/>
      <c r="D107" s="67"/>
      <c r="E107" s="67"/>
      <c r="F107" s="67"/>
      <c r="G107" s="67"/>
      <c r="H107" s="67"/>
      <c r="I107" s="67"/>
      <c r="J107" s="67"/>
      <c r="K107" s="68"/>
      <c r="L107" s="71"/>
      <c r="M107" s="70"/>
      <c r="N107" s="70"/>
      <c r="O107" s="71"/>
      <c r="P107" s="71"/>
      <c r="Q107" s="71"/>
      <c r="R107" s="71"/>
      <c r="S107" s="71"/>
      <c r="T107" s="71"/>
      <c r="U107" s="71"/>
    </row>
    <row r="108" spans="1:21" x14ac:dyDescent="0.25">
      <c r="A108" s="67"/>
      <c r="B108" s="66"/>
      <c r="C108" s="66"/>
      <c r="D108" s="67"/>
      <c r="E108" s="67"/>
      <c r="F108" s="67"/>
      <c r="G108" s="67"/>
      <c r="H108" s="67"/>
      <c r="I108" s="67"/>
      <c r="J108" s="67"/>
      <c r="K108" s="68"/>
      <c r="L108" s="71"/>
      <c r="M108" s="70"/>
      <c r="N108" s="70"/>
      <c r="O108" s="71"/>
      <c r="P108" s="71"/>
      <c r="Q108" s="71"/>
      <c r="R108" s="71"/>
      <c r="S108" s="71"/>
      <c r="T108" s="71"/>
      <c r="U108" s="71"/>
    </row>
    <row r="109" spans="1:21" x14ac:dyDescent="0.25">
      <c r="A109" s="67"/>
      <c r="B109" s="66"/>
      <c r="C109" s="66"/>
      <c r="D109" s="67"/>
      <c r="E109" s="67"/>
      <c r="F109" s="67"/>
      <c r="G109" s="67"/>
      <c r="H109" s="67"/>
      <c r="I109" s="67"/>
      <c r="J109" s="67"/>
      <c r="K109" s="68"/>
      <c r="L109" s="71"/>
      <c r="M109" s="70"/>
      <c r="N109" s="70"/>
      <c r="O109" s="71"/>
      <c r="P109" s="71"/>
      <c r="Q109" s="71"/>
      <c r="R109" s="71"/>
      <c r="S109" s="71"/>
      <c r="T109" s="71"/>
      <c r="U109" s="71"/>
    </row>
    <row r="110" spans="1:21" x14ac:dyDescent="0.25">
      <c r="A110" s="67"/>
      <c r="B110" s="66"/>
      <c r="C110" s="66"/>
      <c r="D110" s="67"/>
      <c r="E110" s="67"/>
      <c r="F110" s="67"/>
      <c r="G110" s="67"/>
      <c r="H110" s="67"/>
      <c r="I110" s="67"/>
      <c r="J110" s="67"/>
      <c r="K110" s="68"/>
      <c r="L110" s="71"/>
      <c r="M110" s="70"/>
      <c r="N110" s="70"/>
      <c r="O110" s="71"/>
      <c r="P110" s="71"/>
      <c r="Q110" s="71"/>
      <c r="R110" s="71"/>
      <c r="S110" s="71"/>
      <c r="T110" s="71"/>
      <c r="U110" s="71"/>
    </row>
    <row r="111" spans="1:21" x14ac:dyDescent="0.25">
      <c r="A111" s="67"/>
      <c r="B111" s="66"/>
      <c r="C111" s="66"/>
      <c r="D111" s="67"/>
      <c r="E111" s="67"/>
      <c r="F111" s="67"/>
      <c r="G111" s="67"/>
      <c r="H111" s="67"/>
      <c r="I111" s="67"/>
      <c r="J111" s="67"/>
      <c r="K111" s="68"/>
      <c r="L111" s="71"/>
      <c r="M111" s="70"/>
      <c r="N111" s="70"/>
      <c r="O111" s="71"/>
      <c r="P111" s="71"/>
      <c r="Q111" s="71"/>
      <c r="R111" s="71"/>
      <c r="S111" s="71"/>
      <c r="T111" s="71"/>
      <c r="U111" s="71"/>
    </row>
    <row r="112" spans="1:21" x14ac:dyDescent="0.25">
      <c r="A112" s="67"/>
      <c r="B112" s="66"/>
      <c r="C112" s="66"/>
      <c r="D112" s="67"/>
      <c r="E112" s="67"/>
      <c r="F112" s="67"/>
      <c r="G112" s="67"/>
      <c r="H112" s="67"/>
      <c r="I112" s="67"/>
      <c r="J112" s="67"/>
      <c r="K112" s="68"/>
      <c r="L112" s="71"/>
      <c r="M112" s="70"/>
      <c r="N112" s="70"/>
      <c r="O112" s="71"/>
      <c r="P112" s="71"/>
      <c r="Q112" s="71"/>
      <c r="R112" s="71"/>
      <c r="S112" s="71"/>
      <c r="T112" s="71"/>
      <c r="U112" s="71"/>
    </row>
    <row r="113" spans="1:21" x14ac:dyDescent="0.25">
      <c r="A113" s="67"/>
      <c r="B113" s="66"/>
      <c r="C113" s="66"/>
      <c r="D113" s="67"/>
      <c r="E113" s="67"/>
      <c r="F113" s="67"/>
      <c r="G113" s="67"/>
      <c r="H113" s="67"/>
      <c r="I113" s="67"/>
      <c r="J113" s="67"/>
      <c r="K113" s="68"/>
      <c r="L113" s="71"/>
      <c r="M113" s="70"/>
      <c r="N113" s="70"/>
      <c r="O113" s="71"/>
      <c r="P113" s="71"/>
      <c r="Q113" s="71"/>
      <c r="R113" s="71"/>
      <c r="S113" s="71"/>
      <c r="T113" s="71"/>
      <c r="U113" s="71"/>
    </row>
    <row r="114" spans="1:21" x14ac:dyDescent="0.25">
      <c r="A114" s="67"/>
      <c r="B114" s="66"/>
      <c r="C114" s="66"/>
      <c r="D114" s="67"/>
      <c r="E114" s="67"/>
      <c r="F114" s="67"/>
      <c r="G114" s="67"/>
      <c r="H114" s="67"/>
      <c r="I114" s="67"/>
      <c r="J114" s="67"/>
      <c r="K114" s="68"/>
      <c r="L114" s="71"/>
      <c r="M114" s="70"/>
      <c r="N114" s="70"/>
      <c r="O114" s="71"/>
      <c r="P114" s="71"/>
      <c r="Q114" s="71"/>
      <c r="R114" s="71"/>
      <c r="S114" s="71"/>
      <c r="T114" s="71"/>
      <c r="U114" s="71"/>
    </row>
    <row r="115" spans="1:21" x14ac:dyDescent="0.25">
      <c r="A115" s="67"/>
      <c r="B115" s="66"/>
      <c r="C115" s="66"/>
      <c r="D115" s="67"/>
      <c r="E115" s="67"/>
      <c r="F115" s="67"/>
      <c r="G115" s="67"/>
      <c r="H115" s="67"/>
      <c r="I115" s="67"/>
      <c r="J115" s="67"/>
      <c r="K115" s="68"/>
      <c r="L115" s="71"/>
      <c r="M115" s="70"/>
      <c r="N115" s="70"/>
      <c r="O115" s="71"/>
      <c r="P115" s="71"/>
      <c r="Q115" s="71"/>
      <c r="R115" s="71"/>
      <c r="S115" s="71"/>
      <c r="T115" s="71"/>
      <c r="U115" s="71"/>
    </row>
    <row r="116" spans="1:21" x14ac:dyDescent="0.25">
      <c r="A116" s="67"/>
      <c r="B116" s="66"/>
      <c r="C116" s="66"/>
      <c r="D116" s="67"/>
      <c r="E116" s="67"/>
      <c r="F116" s="67"/>
      <c r="G116" s="67"/>
      <c r="H116" s="67"/>
      <c r="I116" s="67"/>
      <c r="J116" s="67"/>
      <c r="K116" s="68"/>
      <c r="L116" s="71"/>
      <c r="M116" s="70"/>
      <c r="N116" s="70"/>
      <c r="O116" s="71"/>
      <c r="P116" s="71"/>
      <c r="Q116" s="71"/>
      <c r="R116" s="71"/>
      <c r="S116" s="71"/>
      <c r="T116" s="71"/>
      <c r="U116" s="71"/>
    </row>
    <row r="117" spans="1:21" x14ac:dyDescent="0.25">
      <c r="A117" s="67"/>
      <c r="B117" s="66"/>
      <c r="C117" s="66"/>
      <c r="D117" s="67"/>
      <c r="E117" s="67"/>
      <c r="F117" s="67"/>
      <c r="G117" s="67"/>
      <c r="H117" s="67"/>
      <c r="I117" s="67"/>
      <c r="J117" s="67"/>
      <c r="K117" s="68"/>
      <c r="L117" s="71"/>
      <c r="M117" s="70"/>
      <c r="N117" s="70"/>
      <c r="O117" s="71"/>
      <c r="P117" s="71"/>
      <c r="Q117" s="71"/>
      <c r="R117" s="71"/>
      <c r="S117" s="71"/>
      <c r="T117" s="71"/>
      <c r="U117" s="71"/>
    </row>
    <row r="118" spans="1:21" ht="57" customHeight="1" x14ac:dyDescent="0.3">
      <c r="A118" s="67"/>
      <c r="B118" s="67"/>
      <c r="C118" s="84" t="s">
        <v>88</v>
      </c>
      <c r="D118" s="84" t="s">
        <v>70</v>
      </c>
      <c r="E118" s="84" t="s">
        <v>264</v>
      </c>
      <c r="F118" s="84" t="s">
        <v>261</v>
      </c>
      <c r="G118" s="67"/>
      <c r="H118" s="67"/>
      <c r="I118" s="67"/>
      <c r="J118" s="67"/>
      <c r="K118" s="68"/>
      <c r="L118" s="71"/>
      <c r="M118" s="71"/>
      <c r="N118" s="86" t="s">
        <v>88</v>
      </c>
      <c r="O118" s="86" t="s">
        <v>70</v>
      </c>
      <c r="P118" s="86" t="s">
        <v>264</v>
      </c>
      <c r="Q118" s="86" t="s">
        <v>261</v>
      </c>
      <c r="R118" s="71"/>
      <c r="S118" s="71"/>
      <c r="T118" s="71"/>
      <c r="U118" s="71"/>
    </row>
    <row r="119" spans="1:21" x14ac:dyDescent="0.25">
      <c r="A119" s="67"/>
      <c r="B119" s="75" t="s">
        <v>90</v>
      </c>
      <c r="C119" s="88">
        <f>( (D98 - SLOPE(D98:D100,B98:B100) * B98) - (C98 - SLOPE(C98:C100,B98:B100) * B98) ) / ( SLOPE(C98:C100,B98:B100) - SLOPE(D98:D100,B98:B100) )</f>
        <v>38.017684536817647</v>
      </c>
      <c r="D119" s="130">
        <f>( (C13+C119)^2 * (C17+3/16*C119)^(3/8) ) / ( (C11-C119)^2 * (C14-C119/2) ) * ('Step 4'!B7 *0.068 / ('Step 5'!C18-0.3125*'Step 5'!C119) )^(-5/8)</f>
        <v>4011.1129373921981</v>
      </c>
      <c r="E119" s="130">
        <v>581</v>
      </c>
      <c r="F119" s="111">
        <f t="shared" ref="F119" si="8">1143-90.19*LN(D119)+3.108*LN(D119)^2-0.04539*LN(D119)^3</f>
        <v>582.73210492497583</v>
      </c>
      <c r="G119" s="67"/>
      <c r="H119" s="67"/>
      <c r="I119" s="67"/>
      <c r="J119" s="67"/>
      <c r="K119" s="68"/>
      <c r="L119" s="71"/>
      <c r="M119" s="77" t="s">
        <v>90</v>
      </c>
      <c r="N119" s="91">
        <f>( (O98 - SLOPE(O98:O100,M98:M100) * M98) - (N98 - SLOPE(N98:N100,M98:M100) * M98) ) / ( SLOPE(N98:N100,M98:M100) - SLOPE(O98:O100,M98:M100) )</f>
        <v>38.017684513284799</v>
      </c>
      <c r="O119" s="113">
        <f>( (N13+N119)^2 * (N17+3/16*N119)^(3/8) ) / ( (N11-N119)^2 * (N14-N119/2) ) * ('Step 4'!M7 *0.068 / ('Step 5'!N18-0.3125*'Step 5'!N119) )^(-5/8)</f>
        <v>4011.1150679298798</v>
      </c>
      <c r="P119" s="293">
        <v>581</v>
      </c>
      <c r="Q119" s="153">
        <f t="shared" ref="Q119" si="9">1143-90.19*LN(O119)+3.108*LN(O119)^2-0.04539*LN(O119)^3</f>
        <v>582.7320794344015</v>
      </c>
      <c r="R119" s="71"/>
      <c r="S119" s="71"/>
      <c r="T119" s="71"/>
      <c r="U119" s="71"/>
    </row>
    <row r="120" spans="1:21" x14ac:dyDescent="0.25">
      <c r="A120" s="67"/>
      <c r="B120" s="75"/>
      <c r="C120" s="130"/>
      <c r="D120" s="130"/>
      <c r="E120" s="67"/>
      <c r="F120" s="67"/>
      <c r="G120" s="67"/>
      <c r="H120" s="67"/>
      <c r="I120" s="67"/>
      <c r="J120" s="67"/>
      <c r="K120" s="68"/>
      <c r="L120" s="71"/>
      <c r="M120" s="77"/>
      <c r="N120" s="113"/>
      <c r="O120" s="113"/>
      <c r="P120" s="71"/>
      <c r="Q120" s="71"/>
      <c r="R120" s="71"/>
      <c r="S120" s="71"/>
      <c r="T120" s="71"/>
      <c r="U120" s="71"/>
    </row>
    <row r="121" spans="1:21" x14ac:dyDescent="0.25">
      <c r="A121" s="101" t="s">
        <v>161</v>
      </c>
      <c r="B121" s="101"/>
      <c r="C121" s="66"/>
      <c r="D121" s="67"/>
      <c r="E121" s="67"/>
      <c r="F121" s="67"/>
      <c r="G121" s="67"/>
      <c r="H121" s="67"/>
      <c r="I121" s="67"/>
      <c r="J121" s="67"/>
      <c r="K121" s="68"/>
      <c r="L121" s="102" t="s">
        <v>161</v>
      </c>
      <c r="M121" s="102"/>
      <c r="N121" s="70"/>
      <c r="O121" s="71"/>
      <c r="P121" s="71"/>
      <c r="Q121" s="71"/>
      <c r="R121" s="71"/>
      <c r="S121" s="71"/>
      <c r="T121" s="71"/>
      <c r="U121" s="71"/>
    </row>
    <row r="122" spans="1:21" ht="16.5" x14ac:dyDescent="0.3">
      <c r="A122" s="101"/>
      <c r="B122" s="75">
        <v>34.5</v>
      </c>
      <c r="C122" s="67" t="s">
        <v>97</v>
      </c>
      <c r="D122" s="67"/>
      <c r="E122" s="67"/>
      <c r="F122" s="67"/>
      <c r="G122" s="67" t="s">
        <v>251</v>
      </c>
      <c r="H122" s="67"/>
      <c r="I122" s="67"/>
      <c r="J122" s="67"/>
      <c r="K122" s="68"/>
      <c r="L122" s="102"/>
      <c r="M122" s="290">
        <v>34.5</v>
      </c>
      <c r="N122" s="71" t="s">
        <v>97</v>
      </c>
      <c r="O122" s="71"/>
      <c r="P122" s="71"/>
      <c r="Q122" s="71"/>
      <c r="R122" s="71" t="s">
        <v>251</v>
      </c>
      <c r="S122" s="71"/>
      <c r="T122" s="71"/>
      <c r="U122" s="71"/>
    </row>
    <row r="123" spans="1:21" ht="16.5" x14ac:dyDescent="0.3">
      <c r="A123" s="75"/>
      <c r="B123" s="75">
        <v>65.5</v>
      </c>
      <c r="C123" s="67" t="s">
        <v>98</v>
      </c>
      <c r="D123" s="67"/>
      <c r="E123" s="67"/>
      <c r="F123" s="67"/>
      <c r="G123" s="67"/>
      <c r="H123" s="67"/>
      <c r="I123" s="67"/>
      <c r="J123" s="67"/>
      <c r="K123" s="68"/>
      <c r="L123" s="77"/>
      <c r="M123" s="290">
        <v>65.5</v>
      </c>
      <c r="N123" s="71" t="s">
        <v>98</v>
      </c>
      <c r="O123" s="71"/>
      <c r="P123" s="71"/>
      <c r="Q123" s="71"/>
      <c r="R123" s="71"/>
      <c r="S123" s="71"/>
      <c r="T123" s="71"/>
      <c r="U123" s="71"/>
    </row>
    <row r="124" spans="1:21" x14ac:dyDescent="0.25">
      <c r="A124" s="75"/>
      <c r="B124" s="75"/>
      <c r="C124" s="67"/>
      <c r="D124" s="67"/>
      <c r="E124" s="67"/>
      <c r="F124" s="67"/>
      <c r="G124" s="67"/>
      <c r="H124" s="67"/>
      <c r="I124" s="67"/>
      <c r="J124" s="67"/>
      <c r="K124" s="68"/>
      <c r="L124" s="77"/>
      <c r="M124" s="77"/>
      <c r="N124" s="71"/>
      <c r="O124" s="71"/>
      <c r="P124" s="71"/>
      <c r="Q124" s="71"/>
      <c r="R124" s="71"/>
      <c r="S124" s="71"/>
      <c r="T124" s="71"/>
      <c r="U124" s="71"/>
    </row>
    <row r="125" spans="1:21" x14ac:dyDescent="0.25">
      <c r="A125" s="67"/>
      <c r="B125" s="66" t="s">
        <v>153</v>
      </c>
      <c r="C125" s="116" t="s">
        <v>85</v>
      </c>
      <c r="D125" s="132">
        <v>581</v>
      </c>
      <c r="E125" s="67" t="s">
        <v>17</v>
      </c>
      <c r="F125" s="67"/>
      <c r="G125" s="67"/>
      <c r="H125" s="67"/>
      <c r="I125" s="67"/>
      <c r="J125" s="67"/>
      <c r="K125" s="68"/>
      <c r="L125" s="71"/>
      <c r="M125" s="70" t="s">
        <v>153</v>
      </c>
      <c r="N125" s="118" t="s">
        <v>85</v>
      </c>
      <c r="O125" s="133">
        <f>+P119</f>
        <v>581</v>
      </c>
      <c r="P125" s="71" t="s">
        <v>17</v>
      </c>
      <c r="Q125" s="71"/>
      <c r="R125" s="71"/>
      <c r="S125" s="71"/>
      <c r="T125" s="71"/>
      <c r="U125" s="71"/>
    </row>
    <row r="126" spans="1:21" x14ac:dyDescent="0.25">
      <c r="A126" s="67"/>
      <c r="B126" s="117" t="s">
        <v>74</v>
      </c>
      <c r="C126" s="117" t="s">
        <v>75</v>
      </c>
      <c r="D126" s="117" t="s">
        <v>76</v>
      </c>
      <c r="E126" s="67"/>
      <c r="F126" s="67"/>
      <c r="G126" s="67"/>
      <c r="H126" s="67"/>
      <c r="I126" s="67"/>
      <c r="J126" s="67"/>
      <c r="K126" s="68"/>
      <c r="L126" s="71"/>
      <c r="M126" s="97" t="s">
        <v>74</v>
      </c>
      <c r="N126" s="97" t="s">
        <v>75</v>
      </c>
      <c r="O126" s="97" t="s">
        <v>76</v>
      </c>
      <c r="P126" s="71"/>
      <c r="Q126" s="71"/>
      <c r="R126" s="71"/>
      <c r="S126" s="71"/>
      <c r="T126" s="71"/>
      <c r="U126" s="71"/>
    </row>
    <row r="127" spans="1:21" ht="16.5" x14ac:dyDescent="0.3">
      <c r="A127" s="67" t="s">
        <v>42</v>
      </c>
      <c r="B127" s="88">
        <f>C11-C119</f>
        <v>20.47769351203511</v>
      </c>
      <c r="C127" s="130">
        <f>(IF(ROUNDDOWN(D125,-2)=ROUNDUP(D125,-2),VLOOKUP(D125,Enthalpy,19),VLOOKUP(ROUNDDOWN(D125,-2),Enthalpy,19)+(D125-ROUNDDOWN(D125,-2))/(ROUNDUP(D125,-2)-ROUNDDOWN(D125,-2))*(VLOOKUP(ROUNDUP(D125,-2),Enthalpy,19)-VLOOKUP(ROUNDDOWN(D125,-2),Enthalpy,19))))</f>
        <v>4657.91</v>
      </c>
      <c r="D127" s="150">
        <f>(B127*C127)</f>
        <v>95383.253386643453</v>
      </c>
      <c r="E127" s="67"/>
      <c r="F127" s="67"/>
      <c r="G127" s="67"/>
      <c r="H127" s="67"/>
      <c r="I127" s="67"/>
      <c r="J127" s="67"/>
      <c r="K127" s="68"/>
      <c r="L127" s="71" t="s">
        <v>42</v>
      </c>
      <c r="M127" s="91">
        <f>N11-N119</f>
        <v>20.477690021943253</v>
      </c>
      <c r="N127" s="113">
        <f>IF(ROUNDDOWN(O125,-2)=ROUNDUP(O125,-2),VLOOKUP(O125,Enthalpy,19),VLOOKUP(ROUNDDOWN(O125,-2),Enthalpy,19)+(O125-ROUNDDOWN(O125,-2))/(ROUNDUP(O125,-2)-ROUNDDOWN(O125,-2))*(VLOOKUP(ROUNDUP(O125,-2),Enthalpy,19)-VLOOKUP(ROUNDDOWN(O125,-2),Enthalpy,19)))</f>
        <v>4657.91</v>
      </c>
      <c r="O127" s="154">
        <f>M127*N127</f>
        <v>95383.237130109701</v>
      </c>
      <c r="P127" s="71"/>
      <c r="Q127" s="71"/>
      <c r="R127" s="71"/>
      <c r="S127" s="71"/>
      <c r="T127" s="71"/>
      <c r="U127" s="71"/>
    </row>
    <row r="128" spans="1:21" ht="16.5" x14ac:dyDescent="0.3">
      <c r="A128" s="67" t="s">
        <v>43</v>
      </c>
      <c r="B128" s="88">
        <f>C12</f>
        <v>159.09563336735241</v>
      </c>
      <c r="C128" s="130">
        <f>(IF(ROUNDDOWN(D125,-2)=ROUNDUP(D125,-2),VLOOKUP(D125,Enthalpy,14),VLOOKUP(ROUNDDOWN(D125,-2),Enthalpy,14)+(D125-ROUNDDOWN(D125,-2))/(ROUNDUP(D125,-2)-ROUNDDOWN(D125,-2))*(VLOOKUP(ROUNDUP(D125,-2),Enthalpy,14)-VLOOKUP(ROUNDDOWN(D125,-2),Enthalpy,14))))</f>
        <v>5526.81</v>
      </c>
      <c r="D128" s="150">
        <f t="shared" ref="D128:D133" si="10">(B128*C128)</f>
        <v>879291.337451017</v>
      </c>
      <c r="E128" s="67"/>
      <c r="F128" s="67"/>
      <c r="G128" s="67"/>
      <c r="H128" s="67"/>
      <c r="I128" s="67"/>
      <c r="J128" s="67"/>
      <c r="K128" s="68"/>
      <c r="L128" s="71" t="s">
        <v>43</v>
      </c>
      <c r="M128" s="91">
        <f>N12</f>
        <v>159.09563336735241</v>
      </c>
      <c r="N128" s="113">
        <f>IF(ROUNDDOWN(O125,-2)=ROUNDUP(O125,-2),VLOOKUP(O125,Enthalpy,14),VLOOKUP(ROUNDDOWN(O125,-2),Enthalpy,14)+(O125-ROUNDDOWN(O125,-2))/(ROUNDUP(O125,-2)-ROUNDDOWN(O125,-2))*(VLOOKUP(ROUNDUP(O125,-2),Enthalpy,14)-VLOOKUP(ROUNDDOWN(O125,-2),Enthalpy,14)))</f>
        <v>5526.81</v>
      </c>
      <c r="O128" s="154">
        <f t="shared" ref="O128:O133" si="11">M128*N128</f>
        <v>879291.337451017</v>
      </c>
      <c r="P128" s="71"/>
      <c r="Q128" s="71"/>
      <c r="R128" s="71"/>
      <c r="S128" s="71"/>
      <c r="T128" s="71"/>
      <c r="U128" s="71"/>
    </row>
    <row r="129" spans="1:21" ht="16.5" x14ac:dyDescent="0.3">
      <c r="A129" s="67" t="s">
        <v>44</v>
      </c>
      <c r="B129" s="88">
        <f>C13+C119</f>
        <v>331.66556096498567</v>
      </c>
      <c r="C129" s="130">
        <f>(IF(ROUNDDOWN(D125,-2)=ROUNDUP(D125,-2),VLOOKUP(D125,Enthalpy,15),VLOOKUP(ROUNDDOWN(D125,-2),Enthalpy,15)+(D125-ROUNDDOWN(D125,-2))/(ROUNDUP(D125,-2)-ROUNDDOWN(D125,-2))*(VLOOKUP(ROUNDUP(D125,-2),Enthalpy,15)-VLOOKUP(ROUNDDOWN(D125,-2),Enthalpy,15))))</f>
        <v>4625.41</v>
      </c>
      <c r="D129" s="150">
        <f t="shared" si="10"/>
        <v>1534089.2023430543</v>
      </c>
      <c r="E129" s="67"/>
      <c r="F129" s="67"/>
      <c r="G129" s="67"/>
      <c r="H129" s="67"/>
      <c r="I129" s="67"/>
      <c r="J129" s="67"/>
      <c r="K129" s="68"/>
      <c r="L129" s="71" t="s">
        <v>44</v>
      </c>
      <c r="M129" s="91">
        <f>N13+N119</f>
        <v>331.66556445507757</v>
      </c>
      <c r="N129" s="113">
        <f>IF(ROUNDDOWN(O125,-2)=ROUNDUP(O125,-2),VLOOKUP(O125,Enthalpy,15),VLOOKUP(ROUNDDOWN(O125,-2),Enthalpy,15)+(O125-ROUNDDOWN(O125,-2))/(ROUNDUP(O125,-2)-ROUNDDOWN(O125,-2))*(VLOOKUP(ROUNDUP(O125,-2),Enthalpy,15)-VLOOKUP(ROUNDDOWN(O125,-2),Enthalpy,15)))</f>
        <v>4625.41</v>
      </c>
      <c r="O129" s="154">
        <f t="shared" si="11"/>
        <v>1534089.2184861603</v>
      </c>
      <c r="P129" s="71"/>
      <c r="Q129" s="71"/>
      <c r="R129" s="71"/>
      <c r="S129" s="71"/>
      <c r="T129" s="71"/>
      <c r="U129" s="71"/>
    </row>
    <row r="130" spans="1:21" ht="16.5" x14ac:dyDescent="0.3">
      <c r="A130" s="67" t="s">
        <v>51</v>
      </c>
      <c r="B130" s="88">
        <f>C14-C119/2</f>
        <v>10.238846756017555</v>
      </c>
      <c r="C130" s="130">
        <f>(IF(ROUNDDOWN(D125,-2)=ROUNDUP(D125,-2),VLOOKUP(D125,Enthalpy,17),VLOOKUP(ROUNDDOWN(D125,-2),Enthalpy,17)+(D125-ROUNDDOWN(D125,-2))/(ROUNDUP(D125,-2)-ROUNDDOWN(D125,-2))*(VLOOKUP(ROUNDUP(D125,-2),Enthalpy,17)-VLOOKUP(ROUNDDOWN(D125,-2),Enthalpy,17))))</f>
        <v>5903.03</v>
      </c>
      <c r="D130" s="150">
        <f t="shared" si="10"/>
        <v>60440.219566174303</v>
      </c>
      <c r="E130" s="67"/>
      <c r="F130" s="67"/>
      <c r="G130" s="67"/>
      <c r="H130" s="67"/>
      <c r="I130" s="67"/>
      <c r="J130" s="67"/>
      <c r="K130" s="68"/>
      <c r="L130" s="71" t="s">
        <v>51</v>
      </c>
      <c r="M130" s="91">
        <f>N14-N119/2</f>
        <v>10.238845010971627</v>
      </c>
      <c r="N130" s="113">
        <f>IF(ROUNDDOWN(O125,-2)=ROUNDUP(O125,-2),VLOOKUP(O125,Enthalpy,17),VLOOKUP(ROUNDDOWN(O125,-2),Enthalpy,17)+(O125-ROUNDDOWN(O125,-2))/(ROUNDUP(O125,-2)-ROUNDDOWN(O125,-2))*(VLOOKUP(ROUNDUP(O125,-2),Enthalpy,17)-VLOOKUP(ROUNDDOWN(O125,-2),Enthalpy,17)))</f>
        <v>5903.03</v>
      </c>
      <c r="O130" s="154">
        <f t="shared" si="11"/>
        <v>60440.209265115838</v>
      </c>
      <c r="P130" s="71"/>
      <c r="Q130" s="71"/>
      <c r="R130" s="71"/>
      <c r="S130" s="71"/>
      <c r="T130" s="71"/>
      <c r="U130" s="71"/>
    </row>
    <row r="131" spans="1:21" ht="16.5" x14ac:dyDescent="0.3">
      <c r="A131" s="67" t="s">
        <v>52</v>
      </c>
      <c r="B131" s="88">
        <f>C15</f>
        <v>582.62585529985779</v>
      </c>
      <c r="C131" s="130">
        <f>(IF(ROUNDDOWN(D125,-2)=ROUNDUP(D125,-2),VLOOKUP(D125,Enthalpy,9),VLOOKUP(ROUNDDOWN(D125,-2),Enthalpy,9)+(D125-ROUNDDOWN(D125,-2))/(ROUNDUP(D125,-2)-ROUNDDOWN(D125,-2))*(VLOOKUP(ROUNDUP(D125,-2),Enthalpy,9)-VLOOKUP(ROUNDDOWN(D125,-2),Enthalpy,9))))</f>
        <v>3863.34</v>
      </c>
      <c r="D131" s="150">
        <f t="shared" si="10"/>
        <v>2250881.7718141526</v>
      </c>
      <c r="E131" s="67"/>
      <c r="F131" s="67"/>
      <c r="G131" s="67"/>
      <c r="H131" s="67"/>
      <c r="I131" s="67"/>
      <c r="J131" s="67"/>
      <c r="K131" s="68"/>
      <c r="L131" s="71" t="s">
        <v>52</v>
      </c>
      <c r="M131" s="91">
        <f>N15</f>
        <v>582.62585529985779</v>
      </c>
      <c r="N131" s="113">
        <f>IF(ROUNDDOWN(O125,-2)=ROUNDUP(O125,-2),VLOOKUP(O125,Enthalpy,9),VLOOKUP(ROUNDDOWN(O125,-2),Enthalpy,9)+(O125-ROUNDDOWN(O125,-2))/(ROUNDUP(O125,-2)-ROUNDDOWN(O125,-2))*(VLOOKUP(ROUNDUP(O125,-2),Enthalpy,9)-VLOOKUP(ROUNDDOWN(O125,-2),Enthalpy,9)))</f>
        <v>3863.34</v>
      </c>
      <c r="O131" s="154">
        <f t="shared" si="11"/>
        <v>2250881.7718141526</v>
      </c>
      <c r="P131" s="71"/>
      <c r="Q131" s="71"/>
      <c r="R131" s="71"/>
      <c r="S131" s="71"/>
      <c r="T131" s="71"/>
      <c r="U131" s="71"/>
    </row>
    <row r="132" spans="1:21" ht="16.5" x14ac:dyDescent="0.3">
      <c r="A132" s="67" t="s">
        <v>55</v>
      </c>
      <c r="B132" s="88">
        <f>B122/B123*B133</f>
        <v>3.037818296553096</v>
      </c>
      <c r="C132" s="130">
        <f>(IF(ROUNDDOWN(D125,-2)=ROUNDUP(D125,-2),VLOOKUP(D125,Enthalpy,22),VLOOKUP(ROUNDDOWN(D125,-2),Enthalpy,22)+(D125-ROUNDDOWN(D125,-2))/(ROUNDUP(D125,-2)-ROUNDDOWN(D125,-2))*(VLOOKUP(ROUNDUP(D125,-2),Enthalpy,22)-VLOOKUP(ROUNDDOWN(D125,-2),Enthalpy,22))))</f>
        <v>15886.2</v>
      </c>
      <c r="D132" s="150">
        <f t="shared" si="10"/>
        <v>48259.389022701798</v>
      </c>
      <c r="E132" s="67"/>
      <c r="F132" s="67"/>
      <c r="G132" s="67"/>
      <c r="H132" s="67"/>
      <c r="I132" s="67"/>
      <c r="J132" s="67"/>
      <c r="K132" s="68"/>
      <c r="L132" s="71" t="s">
        <v>55</v>
      </c>
      <c r="M132" s="91">
        <f>M122/M123*M133</f>
        <v>3.0378182948871255</v>
      </c>
      <c r="N132" s="113">
        <f>IF(ROUNDDOWN(O125,-2)=ROUNDUP(O125,-2),VLOOKUP(O125,Enthalpy,22),VLOOKUP(ROUNDDOWN(O125,-2),Enthalpy,22)+(O125-ROUNDDOWN(O125,-2))/(ROUNDUP(O125,-2)-ROUNDDOWN(O125,-2))*(VLOOKUP(ROUNDUP(O125,-2),Enthalpy,22)-VLOOKUP(ROUNDDOWN(O125,-2),Enthalpy,22)))</f>
        <v>15886.2</v>
      </c>
      <c r="O132" s="154">
        <f t="shared" si="11"/>
        <v>48259.388996235859</v>
      </c>
      <c r="P132" s="71"/>
      <c r="Q132" s="71"/>
      <c r="R132" s="71"/>
      <c r="S132" s="71"/>
      <c r="T132" s="71"/>
      <c r="U132" s="71"/>
    </row>
    <row r="133" spans="1:21" ht="16.5" x14ac:dyDescent="0.3">
      <c r="A133" s="67" t="s">
        <v>56</v>
      </c>
      <c r="B133" s="94">
        <f>(C17+3/16*C119)*8 / (6*B122/B123 + 8)</f>
        <v>5.767452128238487</v>
      </c>
      <c r="C133" s="130">
        <f>(IF(ROUNDDOWN(D125,-2)=ROUNDUP(D125,-2),VLOOKUP(D125,Enthalpy,23),VLOOKUP(ROUNDDOWN(D125,-2),Enthalpy,23)+(D125-ROUNDDOWN(D125,-2))/(ROUNDUP(D125,-2)-ROUNDDOWN(D125,-2))*(VLOOKUP(ROUNDUP(D125,-2),Enthalpy,23)-VLOOKUP(ROUNDDOWN(D125,-2),Enthalpy,23))))</f>
        <v>21982</v>
      </c>
      <c r="D133" s="150">
        <f t="shared" si="10"/>
        <v>126780.13268293842</v>
      </c>
      <c r="E133" s="67"/>
      <c r="F133" s="67"/>
      <c r="G133" s="67"/>
      <c r="H133" s="67"/>
      <c r="I133" s="67"/>
      <c r="J133" s="67"/>
      <c r="K133" s="68"/>
      <c r="L133" s="71" t="s">
        <v>56</v>
      </c>
      <c r="M133" s="96">
        <f>(N17+3/16*N119)*8 / (6*M122/M123 + 8)</f>
        <v>5.7674521250755575</v>
      </c>
      <c r="N133" s="113">
        <f>IF(ROUNDDOWN(O125,-2)=ROUNDUP(O125,-2),VLOOKUP(O125,Enthalpy,23),VLOOKUP(ROUNDDOWN(O125,-2),Enthalpy,23)+(O125-ROUNDDOWN(O125,-2))/(ROUNDUP(O125,-2)-ROUNDDOWN(O125,-2))*(VLOOKUP(ROUNDUP(O125,-2),Enthalpy,23)-VLOOKUP(ROUNDDOWN(O125,-2),Enthalpy,23)))</f>
        <v>21982</v>
      </c>
      <c r="O133" s="161">
        <f t="shared" si="11"/>
        <v>126780.13261341091</v>
      </c>
      <c r="P133" s="71"/>
      <c r="Q133" s="71"/>
      <c r="R133" s="71"/>
      <c r="S133" s="71"/>
      <c r="T133" s="71"/>
      <c r="U133" s="71"/>
    </row>
    <row r="134" spans="1:21" x14ac:dyDescent="0.25">
      <c r="A134" s="67"/>
      <c r="B134" s="88">
        <f>SUM(B127:B133)</f>
        <v>1112.9088603250402</v>
      </c>
      <c r="C134" s="66"/>
      <c r="D134" s="150">
        <f>SUM(D127:D133)</f>
        <v>4995125.3062666813</v>
      </c>
      <c r="E134" s="67"/>
      <c r="F134" s="67"/>
      <c r="G134" s="67"/>
      <c r="H134" s="67"/>
      <c r="I134" s="67"/>
      <c r="J134" s="67"/>
      <c r="K134" s="68"/>
      <c r="L134" s="71"/>
      <c r="M134" s="91">
        <f>SUM(M127:M133)</f>
        <v>1112.9088585751654</v>
      </c>
      <c r="N134" s="70"/>
      <c r="O134" s="154">
        <f>SUM(O127:O133)</f>
        <v>4995125.2957562022</v>
      </c>
      <c r="P134" s="71"/>
      <c r="Q134" s="71"/>
      <c r="R134" s="71"/>
      <c r="S134" s="71"/>
      <c r="T134" s="71"/>
      <c r="U134" s="71"/>
    </row>
    <row r="135" spans="1:21" x14ac:dyDescent="0.25">
      <c r="A135" s="67"/>
      <c r="B135" s="88"/>
      <c r="C135" s="66"/>
      <c r="D135" s="150"/>
      <c r="E135" s="67"/>
      <c r="F135" s="67"/>
      <c r="G135" s="67"/>
      <c r="H135" s="67"/>
      <c r="I135" s="67"/>
      <c r="J135" s="67"/>
      <c r="K135" s="68"/>
      <c r="L135" s="71"/>
      <c r="M135" s="91"/>
      <c r="N135" s="70"/>
      <c r="O135" s="154"/>
      <c r="P135" s="71"/>
      <c r="Q135" s="71"/>
      <c r="R135" s="71"/>
      <c r="S135" s="71"/>
      <c r="T135" s="71"/>
      <c r="U135" s="71"/>
    </row>
    <row r="136" spans="1:21" x14ac:dyDescent="0.25">
      <c r="A136" s="67" t="s">
        <v>178</v>
      </c>
      <c r="B136" s="88"/>
      <c r="C136" s="66"/>
      <c r="D136" s="150"/>
      <c r="E136" s="67"/>
      <c r="F136" s="67"/>
      <c r="G136" s="67"/>
      <c r="H136" s="67"/>
      <c r="I136" s="67"/>
      <c r="J136" s="67"/>
      <c r="K136" s="68"/>
      <c r="L136" s="71" t="s">
        <v>178</v>
      </c>
      <c r="M136" s="71"/>
      <c r="N136" s="71"/>
      <c r="O136" s="71"/>
      <c r="P136" s="71"/>
      <c r="Q136" s="71"/>
      <c r="R136" s="71"/>
      <c r="S136" s="71"/>
      <c r="T136" s="71"/>
      <c r="U136" s="71"/>
    </row>
    <row r="137" spans="1:21" x14ac:dyDescent="0.25">
      <c r="A137" s="67"/>
      <c r="B137" s="76" t="s">
        <v>265</v>
      </c>
      <c r="C137" s="254" t="s">
        <v>1</v>
      </c>
      <c r="D137" s="150">
        <f>+'Step 4'!D25</f>
        <v>3965715.7382994904</v>
      </c>
      <c r="E137" s="67" t="s">
        <v>266</v>
      </c>
      <c r="F137" s="67"/>
      <c r="G137" s="67"/>
      <c r="H137" s="67"/>
      <c r="I137" s="67"/>
      <c r="J137" s="67"/>
      <c r="K137" s="68"/>
      <c r="L137" s="71"/>
      <c r="M137" s="77" t="s">
        <v>265</v>
      </c>
      <c r="N137" s="71" t="s">
        <v>1</v>
      </c>
      <c r="O137" s="124">
        <f>+'Step 4'!O25</f>
        <v>3965715.7301351437</v>
      </c>
      <c r="P137" s="71" t="s">
        <v>266</v>
      </c>
      <c r="Q137" s="71"/>
      <c r="R137" s="71"/>
      <c r="S137" s="71"/>
      <c r="T137" s="71"/>
      <c r="U137" s="71"/>
    </row>
    <row r="138" spans="1:21" x14ac:dyDescent="0.25">
      <c r="A138" s="67"/>
      <c r="B138" s="76" t="s">
        <v>83</v>
      </c>
      <c r="C138" s="254" t="s">
        <v>1</v>
      </c>
      <c r="D138" s="158">
        <f>+C119/2*(-C7)</f>
        <v>1032750.4004426514</v>
      </c>
      <c r="E138" s="67" t="s">
        <v>266</v>
      </c>
      <c r="F138" s="67"/>
      <c r="G138" s="67"/>
      <c r="H138" s="67"/>
      <c r="I138" s="67"/>
      <c r="J138" s="67"/>
      <c r="K138" s="68"/>
      <c r="L138" s="71"/>
      <c r="M138" s="77" t="s">
        <v>83</v>
      </c>
      <c r="N138" s="71" t="s">
        <v>1</v>
      </c>
      <c r="O138" s="124">
        <f>+N119/2*(-N7)</f>
        <v>1032750.3998033815</v>
      </c>
      <c r="P138" s="71" t="s">
        <v>266</v>
      </c>
      <c r="Q138" s="71"/>
      <c r="R138" s="71"/>
      <c r="S138" s="71"/>
      <c r="T138" s="71"/>
      <c r="U138" s="71"/>
    </row>
    <row r="139" spans="1:21" x14ac:dyDescent="0.25">
      <c r="A139" s="67"/>
      <c r="B139" s="76" t="s">
        <v>156</v>
      </c>
      <c r="C139" s="254" t="s">
        <v>1</v>
      </c>
      <c r="D139" s="150">
        <f>SUM(D137:D138)</f>
        <v>4998466.1387421414</v>
      </c>
      <c r="E139" s="67" t="s">
        <v>266</v>
      </c>
      <c r="F139" s="67"/>
      <c r="G139" s="67"/>
      <c r="H139" s="67"/>
      <c r="I139" s="67"/>
      <c r="J139" s="67"/>
      <c r="K139" s="68"/>
      <c r="L139" s="71"/>
      <c r="M139" s="77" t="s">
        <v>156</v>
      </c>
      <c r="N139" s="71" t="s">
        <v>1</v>
      </c>
      <c r="O139" s="124">
        <f>SUM(O137:O138)</f>
        <v>4998466.1299385251</v>
      </c>
      <c r="P139" s="71" t="s">
        <v>266</v>
      </c>
      <c r="Q139" s="71"/>
      <c r="R139" s="71"/>
      <c r="S139" s="71"/>
      <c r="T139" s="71"/>
      <c r="U139" s="71"/>
    </row>
    <row r="140" spans="1:21" x14ac:dyDescent="0.25">
      <c r="A140" s="67" t="s">
        <v>282</v>
      </c>
      <c r="B140" s="66"/>
      <c r="C140" s="73"/>
      <c r="D140" s="67"/>
      <c r="E140" s="67"/>
      <c r="F140" s="255">
        <v>0.01</v>
      </c>
      <c r="G140" s="67"/>
      <c r="H140" s="67"/>
      <c r="I140" s="67"/>
      <c r="J140" s="67"/>
      <c r="K140" s="68"/>
      <c r="L140" s="71" t="s">
        <v>282</v>
      </c>
      <c r="M140" s="91"/>
      <c r="N140" s="70"/>
      <c r="O140" s="154"/>
      <c r="P140" s="71"/>
      <c r="Q140" s="294">
        <v>0.01</v>
      </c>
      <c r="R140" s="71"/>
      <c r="S140" s="71"/>
      <c r="T140" s="71"/>
      <c r="U140" s="71"/>
    </row>
    <row r="141" spans="1:21" x14ac:dyDescent="0.25">
      <c r="A141" s="256"/>
      <c r="B141" s="66"/>
      <c r="C141" s="73"/>
      <c r="D141" s="67"/>
      <c r="E141" s="67"/>
      <c r="F141" s="67"/>
      <c r="G141" s="67"/>
      <c r="H141" s="67"/>
      <c r="I141" s="67"/>
      <c r="J141" s="67"/>
      <c r="K141" s="68"/>
      <c r="L141" s="71"/>
      <c r="M141" s="91"/>
      <c r="N141" s="70"/>
      <c r="O141" s="154"/>
      <c r="P141" s="71"/>
      <c r="Q141" s="71"/>
      <c r="R141" s="71"/>
      <c r="S141" s="71"/>
      <c r="T141" s="71"/>
      <c r="U141" s="71"/>
    </row>
    <row r="142" spans="1:21" x14ac:dyDescent="0.25">
      <c r="A142" s="67" t="str">
        <f>IF(ABS((D134-D139)/D139)&lt;F140,+CONCATENATE("The heat in plus heat of reactions equals the heat out within ",F140*100,"%, validating the convergence."),+CONCATENATE("The heat in plus the heat of reactions is outside of +/- ",F140*100,"% of the heat out, requiring another iteration."))</f>
        <v>The heat in plus heat of reactions equals the heat out within 1%, validating the convergence.</v>
      </c>
      <c r="B142" s="75"/>
      <c r="C142" s="73"/>
      <c r="D142" s="67"/>
      <c r="E142" s="67"/>
      <c r="F142" s="67"/>
      <c r="G142" s="67"/>
      <c r="H142" s="67"/>
      <c r="I142" s="67"/>
      <c r="J142" s="67"/>
      <c r="K142" s="68"/>
      <c r="L142" s="71" t="str">
        <f>IF(ABS((O134-O139)/O139)&lt;Q140,+CONCATENATE("The heat in plus heat of reactions equals the heat out within ",Q140*100,"%, validating the convergence."),+CONCATENATE("The heat in plus the heat of reactions is outside of +/- ",Q140*100,"% of the heat out, requiring another iteration."))</f>
        <v>The heat in plus heat of reactions equals the heat out within 1%, validating the convergence.</v>
      </c>
      <c r="M142" s="70"/>
      <c r="N142" s="70"/>
      <c r="O142" s="71"/>
      <c r="P142" s="71"/>
      <c r="Q142" s="71"/>
      <c r="R142" s="71"/>
      <c r="S142" s="71"/>
      <c r="T142" s="71"/>
      <c r="U142" s="71"/>
    </row>
    <row r="145" spans="1:1" x14ac:dyDescent="0.25">
      <c r="A145" s="58" t="s">
        <v>327</v>
      </c>
    </row>
    <row r="146" spans="1:1" x14ac:dyDescent="0.25">
      <c r="A146" s="58" t="s">
        <v>328</v>
      </c>
    </row>
    <row r="147" spans="1:1" x14ac:dyDescent="0.25">
      <c r="A147" s="58" t="s">
        <v>329</v>
      </c>
    </row>
    <row r="148" spans="1:1" x14ac:dyDescent="0.25">
      <c r="A148" s="58" t="s">
        <v>330</v>
      </c>
    </row>
    <row r="149" spans="1:1" x14ac:dyDescent="0.25">
      <c r="A149" s="58" t="s">
        <v>331</v>
      </c>
    </row>
  </sheetData>
  <sheetProtection password="F030" sheet="1" objects="1" scenarios="1"/>
  <sortState ref="B11:D11">
    <sortCondition sortBy="icon" ref="D10"/>
  </sortState>
  <mergeCells count="9">
    <mergeCell ref="A36:G36"/>
    <mergeCell ref="L36:R36"/>
    <mergeCell ref="A2:G2"/>
    <mergeCell ref="L2:R2"/>
    <mergeCell ref="C9:D9"/>
    <mergeCell ref="N10:O10"/>
    <mergeCell ref="C10:D10"/>
    <mergeCell ref="N9:O9"/>
    <mergeCell ref="F29:I30"/>
  </mergeCells>
  <phoneticPr fontId="21"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7"/>
  <sheetViews>
    <sheetView zoomScale="80" zoomScaleNormal="80" workbookViewId="0"/>
  </sheetViews>
  <sheetFormatPr defaultRowHeight="15" x14ac:dyDescent="0.25"/>
  <cols>
    <col min="1" max="2" width="16" style="242" customWidth="1"/>
    <col min="3" max="3" width="13.85546875" style="242" customWidth="1"/>
    <col min="4" max="4" width="14.7109375" style="242" customWidth="1"/>
    <col min="5" max="5" width="16.5703125" style="242" customWidth="1"/>
    <col min="6" max="6" width="12.42578125" style="242" customWidth="1"/>
    <col min="7" max="10" width="11.42578125" style="242" customWidth="1"/>
    <col min="11" max="11" width="9.140625" style="242"/>
    <col min="12" max="12" width="17.28515625" style="242" customWidth="1"/>
    <col min="13" max="13" width="13.7109375" style="242" customWidth="1"/>
    <col min="14" max="14" width="14" style="242" customWidth="1"/>
    <col min="15" max="15" width="15.5703125" style="242" customWidth="1"/>
    <col min="16" max="16" width="16.28515625" style="242" customWidth="1"/>
    <col min="17" max="17" width="11.7109375" style="242" customWidth="1"/>
    <col min="18" max="21" width="12" style="242" customWidth="1"/>
    <col min="22" max="16384" width="9.140625" style="242"/>
  </cols>
  <sheetData>
    <row r="1" spans="1:21" ht="20.25" x14ac:dyDescent="0.3">
      <c r="A1" s="65" t="s">
        <v>219</v>
      </c>
      <c r="B1" s="66"/>
      <c r="C1" s="66"/>
      <c r="D1" s="67"/>
      <c r="E1" s="67"/>
      <c r="F1" s="67"/>
      <c r="G1" s="67"/>
      <c r="H1" s="67"/>
      <c r="I1" s="67"/>
      <c r="J1" s="67"/>
      <c r="K1" s="68"/>
      <c r="L1" s="241" t="s">
        <v>219</v>
      </c>
      <c r="M1" s="70"/>
      <c r="N1" s="70"/>
      <c r="O1" s="71"/>
      <c r="P1" s="71"/>
      <c r="Q1" s="71"/>
      <c r="R1" s="71"/>
      <c r="S1" s="71"/>
      <c r="T1" s="71"/>
      <c r="U1" s="71"/>
    </row>
    <row r="2" spans="1:21" x14ac:dyDescent="0.25">
      <c r="A2" s="67"/>
      <c r="B2" s="66"/>
      <c r="C2" s="66"/>
      <c r="D2" s="67"/>
      <c r="E2" s="67"/>
      <c r="F2" s="67"/>
      <c r="G2" s="67"/>
      <c r="H2" s="67"/>
      <c r="I2" s="67"/>
      <c r="J2" s="67"/>
      <c r="K2" s="68"/>
      <c r="L2" s="71"/>
      <c r="M2" s="70"/>
      <c r="N2" s="70"/>
      <c r="O2" s="71"/>
      <c r="P2" s="71"/>
      <c r="Q2" s="71"/>
      <c r="R2" s="71"/>
      <c r="S2" s="71"/>
      <c r="T2" s="71"/>
      <c r="U2" s="71"/>
    </row>
    <row r="3" spans="1:21" x14ac:dyDescent="0.25">
      <c r="A3" s="67" t="s">
        <v>165</v>
      </c>
      <c r="B3" s="66"/>
      <c r="C3" s="257">
        <v>0.98</v>
      </c>
      <c r="D3" s="67"/>
      <c r="E3" s="67"/>
      <c r="F3" s="67"/>
      <c r="G3" s="67"/>
      <c r="H3" s="67"/>
      <c r="I3" s="67"/>
      <c r="J3" s="67"/>
      <c r="K3" s="68"/>
      <c r="L3" s="71" t="s">
        <v>165</v>
      </c>
      <c r="M3" s="70"/>
      <c r="N3" s="295">
        <v>0.98</v>
      </c>
      <c r="O3" s="71"/>
      <c r="P3" s="71"/>
      <c r="Q3" s="71"/>
      <c r="R3" s="71"/>
      <c r="S3" s="71"/>
      <c r="T3" s="71"/>
      <c r="U3" s="71"/>
    </row>
    <row r="4" spans="1:21" x14ac:dyDescent="0.25">
      <c r="A4" s="182" t="s">
        <v>166</v>
      </c>
      <c r="B4" s="182"/>
      <c r="C4" s="182"/>
      <c r="D4" s="67"/>
      <c r="E4" s="67"/>
      <c r="F4" s="67"/>
      <c r="G4" s="67"/>
      <c r="H4" s="67"/>
      <c r="I4" s="67"/>
      <c r="J4" s="67"/>
      <c r="K4" s="68"/>
      <c r="L4" s="184" t="s">
        <v>166</v>
      </c>
      <c r="M4" s="184"/>
      <c r="N4" s="184"/>
      <c r="O4" s="71"/>
      <c r="P4" s="71"/>
      <c r="Q4" s="71"/>
      <c r="R4" s="71"/>
      <c r="S4" s="71"/>
      <c r="T4" s="71"/>
      <c r="U4" s="71"/>
    </row>
    <row r="5" spans="1:21" ht="15" customHeight="1" x14ac:dyDescent="0.25">
      <c r="A5" s="182"/>
      <c r="B5" s="182"/>
      <c r="C5" s="182"/>
      <c r="D5" s="258">
        <v>0.97</v>
      </c>
      <c r="E5" s="67"/>
      <c r="F5" s="259" t="s">
        <v>197</v>
      </c>
      <c r="G5" s="259"/>
      <c r="H5" s="107"/>
      <c r="I5" s="107"/>
      <c r="J5" s="107"/>
      <c r="K5" s="68"/>
      <c r="L5" s="184"/>
      <c r="M5" s="184"/>
      <c r="N5" s="184"/>
      <c r="O5" s="294">
        <v>0.97</v>
      </c>
      <c r="P5" s="71"/>
      <c r="Q5" s="201" t="s">
        <v>197</v>
      </c>
      <c r="R5" s="201"/>
      <c r="S5" s="260"/>
      <c r="T5" s="260"/>
      <c r="U5" s="260"/>
    </row>
    <row r="6" spans="1:21" x14ac:dyDescent="0.25">
      <c r="A6" s="67"/>
      <c r="B6" s="66"/>
      <c r="C6" s="66"/>
      <c r="D6" s="67"/>
      <c r="E6" s="67"/>
      <c r="F6" s="259"/>
      <c r="G6" s="259"/>
      <c r="H6" s="107"/>
      <c r="I6" s="107"/>
      <c r="J6" s="107"/>
      <c r="K6" s="68"/>
      <c r="L6" s="71"/>
      <c r="M6" s="70"/>
      <c r="N6" s="70"/>
      <c r="O6" s="71"/>
      <c r="P6" s="71"/>
      <c r="Q6" s="201"/>
      <c r="R6" s="201"/>
      <c r="S6" s="260"/>
      <c r="T6" s="260"/>
      <c r="U6" s="260"/>
    </row>
    <row r="7" spans="1:21" x14ac:dyDescent="0.25">
      <c r="A7" s="67" t="s">
        <v>167</v>
      </c>
      <c r="B7" s="66"/>
      <c r="C7" s="66"/>
      <c r="D7" s="67"/>
      <c r="E7" s="67"/>
      <c r="F7" s="259"/>
      <c r="G7" s="259"/>
      <c r="H7" s="107"/>
      <c r="I7" s="107"/>
      <c r="J7" s="107"/>
      <c r="K7" s="68"/>
      <c r="L7" s="71" t="s">
        <v>167</v>
      </c>
      <c r="M7" s="70"/>
      <c r="N7" s="70"/>
      <c r="O7" s="71"/>
      <c r="P7" s="71"/>
      <c r="Q7" s="201"/>
      <c r="R7" s="201"/>
      <c r="S7" s="260"/>
      <c r="T7" s="260"/>
      <c r="U7" s="260"/>
    </row>
    <row r="8" spans="1:21" x14ac:dyDescent="0.25">
      <c r="A8" s="67"/>
      <c r="B8" s="66"/>
      <c r="C8" s="116" t="s">
        <v>85</v>
      </c>
      <c r="D8" s="139">
        <v>300</v>
      </c>
      <c r="E8" s="67" t="s">
        <v>17</v>
      </c>
      <c r="F8" s="259"/>
      <c r="G8" s="259"/>
      <c r="H8" s="107"/>
      <c r="I8" s="107"/>
      <c r="J8" s="107"/>
      <c r="K8" s="68"/>
      <c r="L8" s="71"/>
      <c r="M8" s="70"/>
      <c r="N8" s="118" t="s">
        <v>85</v>
      </c>
      <c r="O8" s="142">
        <v>300</v>
      </c>
      <c r="P8" s="71" t="s">
        <v>17</v>
      </c>
      <c r="Q8" s="201"/>
      <c r="R8" s="201"/>
      <c r="S8" s="260"/>
      <c r="T8" s="260"/>
      <c r="U8" s="260"/>
    </row>
    <row r="9" spans="1:21" x14ac:dyDescent="0.25">
      <c r="A9" s="67"/>
      <c r="B9" s="117" t="s">
        <v>74</v>
      </c>
      <c r="C9" s="117" t="s">
        <v>75</v>
      </c>
      <c r="D9" s="117" t="s">
        <v>76</v>
      </c>
      <c r="E9" s="67"/>
      <c r="F9" s="259"/>
      <c r="G9" s="259"/>
      <c r="H9" s="107"/>
      <c r="I9" s="107"/>
      <c r="J9" s="107"/>
      <c r="K9" s="68"/>
      <c r="L9" s="71"/>
      <c r="M9" s="97" t="s">
        <v>74</v>
      </c>
      <c r="N9" s="118" t="s">
        <v>75</v>
      </c>
      <c r="O9" s="97" t="s">
        <v>76</v>
      </c>
      <c r="P9" s="71"/>
      <c r="Q9" s="201"/>
      <c r="R9" s="201"/>
      <c r="S9" s="260"/>
      <c r="T9" s="260"/>
      <c r="U9" s="260"/>
    </row>
    <row r="10" spans="1:21" ht="16.5" x14ac:dyDescent="0.3">
      <c r="A10" s="67" t="s">
        <v>42</v>
      </c>
      <c r="B10" s="66">
        <v>3.88</v>
      </c>
      <c r="C10" s="66">
        <f>(IF(ROUNDDOWN(D8,-2)=ROUNDUP(D8,-2),VLOOKUP(D8,Enthalpy,19),VLOOKUP(ROUNDDOWN(D8,-2),Enthalpy,19)+(D8-ROUNDDOWN(D8,-2))/(ROUNDUP(D8,-2)-ROUNDDOWN(D8,-2))*(VLOOKUP(ROUNDUP(D8,-2),Enthalpy,19)-VLOOKUP(ROUNDDOWN(D8,-2),Enthalpy,19))))</f>
        <v>2188</v>
      </c>
      <c r="D10" s="150">
        <f>(B10*C10)</f>
        <v>8489.44</v>
      </c>
      <c r="E10" s="67"/>
      <c r="F10" s="259"/>
      <c r="G10" s="259"/>
      <c r="H10" s="107"/>
      <c r="I10" s="107"/>
      <c r="J10" s="107"/>
      <c r="K10" s="68"/>
      <c r="L10" s="71" t="s">
        <v>42</v>
      </c>
      <c r="M10" s="283">
        <v>3.88</v>
      </c>
      <c r="N10" s="70">
        <f>IF(ROUNDDOWN(O8,-2)=ROUNDUP(O8,-2),VLOOKUP(O8,Enthalpy,19),VLOOKUP(ROUNDDOWN(O8,-2),Enthalpy,19)+(O8-ROUNDDOWN(O8,-2))/(ROUNDUP(O8,-2)-ROUNDDOWN(O8,-2))*(VLOOKUP(ROUNDUP(O8,-2),Enthalpy,19)-VLOOKUP(ROUNDDOWN(O8,-2),Enthalpy,19)))</f>
        <v>2188</v>
      </c>
      <c r="O10" s="154">
        <f>M10*N10</f>
        <v>8489.44</v>
      </c>
      <c r="P10" s="71"/>
      <c r="Q10" s="201"/>
      <c r="R10" s="201"/>
      <c r="S10" s="260"/>
      <c r="T10" s="260"/>
      <c r="U10" s="260"/>
    </row>
    <row r="11" spans="1:21" ht="16.5" x14ac:dyDescent="0.3">
      <c r="A11" s="67" t="s">
        <v>43</v>
      </c>
      <c r="B11" s="66">
        <v>159.1</v>
      </c>
      <c r="C11" s="66">
        <f>(IF(ROUNDDOWN(D8,-2)=ROUNDUP(D8,-2),VLOOKUP(D8,Enthalpy,14),VLOOKUP(ROUNDDOWN(D8,-2),Enthalpy,14)+(D8-ROUNDDOWN(D8,-2))/(ROUNDUP(D8,-2)-ROUNDDOWN(D8,-2))*(VLOOKUP(ROUNDUP(D8,-2),Enthalpy,14)-VLOOKUP(ROUNDDOWN(D8,-2),Enthalpy,14))))</f>
        <v>2534</v>
      </c>
      <c r="D11" s="150">
        <f t="shared" ref="D11:D17" si="0">(B11*C11)</f>
        <v>403159.39999999997</v>
      </c>
      <c r="E11" s="67"/>
      <c r="F11" s="259"/>
      <c r="G11" s="259"/>
      <c r="H11" s="107"/>
      <c r="I11" s="107"/>
      <c r="J11" s="107"/>
      <c r="K11" s="68"/>
      <c r="L11" s="71" t="s">
        <v>43</v>
      </c>
      <c r="M11" s="283">
        <v>159.1</v>
      </c>
      <c r="N11" s="70">
        <f>IF(ROUNDDOWN(O8,-2)=ROUNDUP(O8,-2),VLOOKUP(O8,Enthalpy,14),VLOOKUP(ROUNDDOWN(O8,-2),Enthalpy,14)+(O8-ROUNDDOWN(O8,-2))/(ROUNDUP(O8,-2)-ROUNDDOWN(O8,-2))*(VLOOKUP(ROUNDUP(O8,-2),Enthalpy,14)-VLOOKUP(ROUNDDOWN(O8,-2),Enthalpy,14)))</f>
        <v>2534</v>
      </c>
      <c r="O11" s="154">
        <f t="shared" ref="O11:O17" si="1">M11*N11</f>
        <v>403159.39999999997</v>
      </c>
      <c r="P11" s="71"/>
      <c r="Q11" s="201"/>
      <c r="R11" s="201"/>
      <c r="S11" s="260"/>
      <c r="T11" s="260"/>
      <c r="U11" s="260"/>
    </row>
    <row r="12" spans="1:21" ht="16.5" x14ac:dyDescent="0.3">
      <c r="A12" s="67" t="s">
        <v>44</v>
      </c>
      <c r="B12" s="66">
        <v>348.26</v>
      </c>
      <c r="C12" s="66">
        <f>(IF(ROUNDDOWN(D8,-2)=ROUNDUP(D8,-2),VLOOKUP(D8,Enthalpy,15),VLOOKUP(ROUNDDOWN(D8,-2),Enthalpy,15)+(D8-ROUNDDOWN(D8,-2))/(ROUNDUP(D8,-2)-ROUNDDOWN(D8,-2))*(VLOOKUP(ROUNDUP(D8,-2),Enthalpy,15)-VLOOKUP(ROUNDDOWN(D8,-2),Enthalpy,15))))</f>
        <v>2228</v>
      </c>
      <c r="D12" s="150">
        <f t="shared" si="0"/>
        <v>775923.28</v>
      </c>
      <c r="E12" s="67"/>
      <c r="F12" s="259"/>
      <c r="G12" s="259"/>
      <c r="H12" s="107"/>
      <c r="I12" s="107"/>
      <c r="J12" s="107"/>
      <c r="K12" s="68"/>
      <c r="L12" s="71" t="s">
        <v>44</v>
      </c>
      <c r="M12" s="283">
        <v>348.26</v>
      </c>
      <c r="N12" s="70">
        <f>IF(ROUNDDOWN(O8,-2)=ROUNDUP(O8,-2),VLOOKUP(O8,Enthalpy,15),VLOOKUP(ROUNDDOWN(O8,-2),Enthalpy,15)+(O8-ROUNDDOWN(O8,-2))/(ROUNDUP(O8,-2)-ROUNDDOWN(O8,-2))*(VLOOKUP(ROUNDUP(O8,-2),Enthalpy,15)-VLOOKUP(ROUNDDOWN(O8,-2),Enthalpy,15)))</f>
        <v>2228</v>
      </c>
      <c r="O12" s="154">
        <f t="shared" si="1"/>
        <v>775923.28</v>
      </c>
      <c r="P12" s="71"/>
      <c r="Q12" s="201"/>
      <c r="R12" s="201"/>
      <c r="S12" s="260"/>
      <c r="T12" s="260"/>
      <c r="U12" s="260"/>
    </row>
    <row r="13" spans="1:21" ht="16.5" x14ac:dyDescent="0.3">
      <c r="A13" s="67" t="s">
        <v>51</v>
      </c>
      <c r="B13" s="66">
        <v>1.94</v>
      </c>
      <c r="C13" s="66">
        <f>(IF(ROUNDDOWN(D8,-2)=ROUNDUP(D8,-2),VLOOKUP(D8,Enthalpy,17),VLOOKUP(ROUNDDOWN(D8,-2),Enthalpy,17)+(D8-ROUNDDOWN(D8,-2))/(ROUNDUP(D8,-2)-ROUNDDOWN(D8,-2))*(VLOOKUP(ROUNDUP(D8,-2),Enthalpy,17)-VLOOKUP(ROUNDDOWN(D8,-2),Enthalpy,17))))</f>
        <v>2720</v>
      </c>
      <c r="D13" s="150">
        <f t="shared" si="0"/>
        <v>5276.8</v>
      </c>
      <c r="E13" s="67"/>
      <c r="F13" s="259"/>
      <c r="G13" s="259"/>
      <c r="H13" s="107"/>
      <c r="I13" s="107"/>
      <c r="J13" s="107"/>
      <c r="K13" s="68"/>
      <c r="L13" s="71" t="s">
        <v>51</v>
      </c>
      <c r="M13" s="283">
        <v>1.94</v>
      </c>
      <c r="N13" s="70">
        <f>IF(ROUNDDOWN(O8,-2)=ROUNDUP(O8,-2),VLOOKUP(O8,Enthalpy,17),VLOOKUP(ROUNDDOWN(O8,-2),Enthalpy,17)+(O8-ROUNDDOWN(O8,-2))/(ROUNDUP(O8,-2)-ROUNDDOWN(O8,-2))*(VLOOKUP(ROUNDUP(O8,-2),Enthalpy,17)-VLOOKUP(ROUNDDOWN(O8,-2),Enthalpy,17)))</f>
        <v>2720</v>
      </c>
      <c r="O13" s="154">
        <f t="shared" si="1"/>
        <v>5276.8</v>
      </c>
      <c r="P13" s="71"/>
      <c r="Q13" s="201"/>
      <c r="R13" s="201"/>
      <c r="S13" s="260"/>
      <c r="T13" s="260"/>
      <c r="U13" s="260"/>
    </row>
    <row r="14" spans="1:21" ht="16.5" x14ac:dyDescent="0.3">
      <c r="A14" s="67" t="s">
        <v>52</v>
      </c>
      <c r="B14" s="66">
        <v>582.65</v>
      </c>
      <c r="C14" s="66">
        <f>(IF(ROUNDDOWN(D8,-2)=ROUNDUP(D8,-2),VLOOKUP(D8,Enthalpy,9),VLOOKUP(ROUNDDOWN(D8,-2),Enthalpy,9)+(D8-ROUNDDOWN(D8,-2))/(ROUNDUP(D8,-2)-ROUNDDOWN(D8,-2))*(VLOOKUP(ROUNDUP(D8,-2),Enthalpy,9)-VLOOKUP(ROUNDDOWN(D8,-2),Enthalpy,9))))</f>
        <v>1873</v>
      </c>
      <c r="D14" s="150">
        <f t="shared" si="0"/>
        <v>1091303.45</v>
      </c>
      <c r="E14" s="67"/>
      <c r="F14" s="259"/>
      <c r="G14" s="259"/>
      <c r="H14" s="107"/>
      <c r="I14" s="107"/>
      <c r="J14" s="107"/>
      <c r="K14" s="68"/>
      <c r="L14" s="71" t="s">
        <v>52</v>
      </c>
      <c r="M14" s="283">
        <v>582.65</v>
      </c>
      <c r="N14" s="70">
        <f>IF(ROUNDDOWN(O8,-2)=ROUNDUP(O8,-2),VLOOKUP(O8,Enthalpy,9),VLOOKUP(ROUNDDOWN(O8,-2),Enthalpy,9)+(O8-ROUNDDOWN(O8,-2))/(ROUNDUP(O8,-2)-ROUNDDOWN(O8,-2))*(VLOOKUP(ROUNDUP(O8,-2),Enthalpy,9)-VLOOKUP(ROUNDDOWN(O8,-2),Enthalpy,9)))</f>
        <v>1873</v>
      </c>
      <c r="O14" s="154">
        <f t="shared" si="1"/>
        <v>1091303.45</v>
      </c>
      <c r="P14" s="71"/>
      <c r="Q14" s="201"/>
      <c r="R14" s="201"/>
      <c r="S14" s="260"/>
      <c r="T14" s="260"/>
      <c r="U14" s="260"/>
    </row>
    <row r="15" spans="1:21" ht="16.5" x14ac:dyDescent="0.3">
      <c r="A15" s="229" t="s">
        <v>117</v>
      </c>
      <c r="B15" s="66">
        <v>0.02</v>
      </c>
      <c r="C15" s="66">
        <f>(IF(ROUNDDOWN(D8,-2)=ROUNDUP(D8,-2),VLOOKUP(D8,Enthalpy,22),VLOOKUP(ROUNDDOWN(D8,-2),Enthalpy,22)+(D8-ROUNDDOWN(D8,-2))/(ROUNDUP(D8,-2)-ROUNDDOWN(D8,-2))*(VLOOKUP(ROUNDUP(D8,-2),Enthalpy,22)-VLOOKUP(ROUNDDOWN(D8,-2),Enthalpy,22))))</f>
        <v>7501</v>
      </c>
      <c r="D15" s="150">
        <f t="shared" si="0"/>
        <v>150.02000000000001</v>
      </c>
      <c r="E15" s="67"/>
      <c r="F15" s="259"/>
      <c r="G15" s="259"/>
      <c r="H15" s="107"/>
      <c r="I15" s="107"/>
      <c r="J15" s="107"/>
      <c r="K15" s="68"/>
      <c r="L15" s="230" t="s">
        <v>117</v>
      </c>
      <c r="M15" s="283">
        <v>0.02</v>
      </c>
      <c r="N15" s="70">
        <f>IF(ROUNDDOWN(O8,-2)=ROUNDUP(O8,-2),VLOOKUP(O8,Enthalpy,22),VLOOKUP(ROUNDDOWN(O8,-2),Enthalpy,22)+(O8-ROUNDDOWN(O8,-2))/(ROUNDUP(O8,-2)-ROUNDDOWN(O8,-2))*(VLOOKUP(ROUNDUP(O8,-2),Enthalpy,22)-VLOOKUP(ROUNDDOWN(O8,-2),Enthalpy,22)))</f>
        <v>7501</v>
      </c>
      <c r="O15" s="154">
        <f t="shared" si="1"/>
        <v>150.02000000000001</v>
      </c>
      <c r="P15" s="71"/>
      <c r="Q15" s="201"/>
      <c r="R15" s="201"/>
      <c r="S15" s="260"/>
      <c r="T15" s="260"/>
      <c r="U15" s="260"/>
    </row>
    <row r="16" spans="1:21" ht="16.5" x14ac:dyDescent="0.3">
      <c r="A16" s="229" t="s">
        <v>118</v>
      </c>
      <c r="B16" s="66">
        <v>0.22</v>
      </c>
      <c r="C16" s="66">
        <f>(IF(ROUNDDOWN(D8,-2)=ROUNDUP(D8,-2),VLOOKUP(D8,Enthalpy,23),VLOOKUP(ROUNDDOWN(D8,-2),Enthalpy,23)+(D8-ROUNDDOWN(D8,-2))/(ROUNDUP(D8,-2)-ROUNDDOWN(D8,-2))*(VLOOKUP(ROUNDUP(D8,-2),Enthalpy,23)-VLOOKUP(ROUNDDOWN(D8,-2),Enthalpy,23))))</f>
        <v>10360</v>
      </c>
      <c r="D16" s="150">
        <f t="shared" si="0"/>
        <v>2279.1999999999998</v>
      </c>
      <c r="E16" s="67"/>
      <c r="F16" s="67"/>
      <c r="G16" s="67"/>
      <c r="H16" s="67"/>
      <c r="I16" s="67"/>
      <c r="J16" s="67"/>
      <c r="K16" s="68"/>
      <c r="L16" s="230" t="s">
        <v>118</v>
      </c>
      <c r="M16" s="283">
        <v>0.22</v>
      </c>
      <c r="N16" s="70">
        <f>IF(ROUNDDOWN(O8,-2)=ROUNDUP(O8,-2),VLOOKUP(O8,Enthalpy,23),VLOOKUP(ROUNDDOWN(O8,-2),Enthalpy,23)+(O8-ROUNDDOWN(O8,-2))/(ROUNDUP(O8,-2)-ROUNDDOWN(O8,-2))*(VLOOKUP(ROUNDUP(O8,-2),Enthalpy,23)-VLOOKUP(ROUNDDOWN(O8,-2),Enthalpy,23)))</f>
        <v>10360</v>
      </c>
      <c r="O16" s="154">
        <f t="shared" si="1"/>
        <v>2279.1999999999998</v>
      </c>
      <c r="P16" s="71"/>
      <c r="Q16" s="71"/>
      <c r="R16" s="71"/>
      <c r="S16" s="71"/>
      <c r="T16" s="71"/>
      <c r="U16" s="71"/>
    </row>
    <row r="17" spans="1:21" ht="16.5" x14ac:dyDescent="0.3">
      <c r="A17" s="67" t="s">
        <v>168</v>
      </c>
      <c r="B17" s="117">
        <v>1.4</v>
      </c>
      <c r="C17" s="130">
        <f>-515+16.35*D8+0.00764*(D8)^2</f>
        <v>5077.6000000000004</v>
      </c>
      <c r="D17" s="158">
        <f t="shared" si="0"/>
        <v>7108.64</v>
      </c>
      <c r="E17" s="101" t="s">
        <v>313</v>
      </c>
      <c r="F17" s="67"/>
      <c r="G17" s="67"/>
      <c r="H17" s="67"/>
      <c r="I17" s="67"/>
      <c r="J17" s="67"/>
      <c r="K17" s="68"/>
      <c r="L17" s="71" t="s">
        <v>168</v>
      </c>
      <c r="M17" s="285">
        <v>1.4</v>
      </c>
      <c r="N17" s="70">
        <f>-515+16.35*O8+0.00764*(O8)^2</f>
        <v>5077.6000000000004</v>
      </c>
      <c r="O17" s="161">
        <f t="shared" si="1"/>
        <v>7108.64</v>
      </c>
      <c r="P17" s="71" t="s">
        <v>267</v>
      </c>
      <c r="Q17" s="71"/>
      <c r="R17" s="71"/>
      <c r="S17" s="71"/>
      <c r="T17" s="71"/>
      <c r="U17" s="71"/>
    </row>
    <row r="18" spans="1:21" x14ac:dyDescent="0.25">
      <c r="A18" s="67"/>
      <c r="B18" s="66">
        <f>SUM(B10:B17)</f>
        <v>1097.47</v>
      </c>
      <c r="C18" s="66"/>
      <c r="D18" s="150">
        <f>SUM(D10:D17)</f>
        <v>2293690.2300000004</v>
      </c>
      <c r="E18" s="67"/>
      <c r="F18" s="67"/>
      <c r="G18" s="67"/>
      <c r="H18" s="67"/>
      <c r="I18" s="67"/>
      <c r="J18" s="67"/>
      <c r="K18" s="68"/>
      <c r="L18" s="71"/>
      <c r="M18" s="70">
        <f>SUM(M10:M17)</f>
        <v>1097.47</v>
      </c>
      <c r="N18" s="70"/>
      <c r="O18" s="154">
        <f>SUM(O10:O17)</f>
        <v>2293690.2300000004</v>
      </c>
      <c r="P18" s="71"/>
      <c r="Q18" s="71"/>
      <c r="R18" s="71"/>
      <c r="S18" s="71"/>
      <c r="T18" s="71"/>
      <c r="U18" s="71"/>
    </row>
    <row r="19" spans="1:21" x14ac:dyDescent="0.25">
      <c r="A19" s="67"/>
      <c r="B19" s="66"/>
      <c r="C19" s="66"/>
      <c r="D19" s="67"/>
      <c r="E19" s="67"/>
      <c r="F19" s="67"/>
      <c r="G19" s="67"/>
      <c r="H19" s="67"/>
      <c r="I19" s="67"/>
      <c r="J19" s="67"/>
      <c r="K19" s="68"/>
      <c r="L19" s="71"/>
      <c r="M19" s="70"/>
      <c r="N19" s="70"/>
      <c r="O19" s="71"/>
      <c r="P19" s="71"/>
      <c r="Q19" s="71"/>
      <c r="R19" s="71"/>
      <c r="S19" s="71"/>
      <c r="T19" s="71"/>
      <c r="U19" s="71"/>
    </row>
    <row r="20" spans="1:21" x14ac:dyDescent="0.25">
      <c r="A20" s="67" t="s">
        <v>232</v>
      </c>
      <c r="B20" s="66"/>
      <c r="C20" s="261">
        <v>0.5</v>
      </c>
      <c r="D20" s="67"/>
      <c r="E20" s="67"/>
      <c r="F20" s="67"/>
      <c r="G20" s="67"/>
      <c r="H20" s="67"/>
      <c r="I20" s="67"/>
      <c r="J20" s="67"/>
      <c r="K20" s="68"/>
      <c r="L20" s="71" t="s">
        <v>232</v>
      </c>
      <c r="M20" s="70"/>
      <c r="N20" s="296">
        <v>0.5</v>
      </c>
      <c r="O20" s="71"/>
      <c r="P20" s="71"/>
      <c r="Q20" s="71"/>
      <c r="R20" s="71"/>
      <c r="S20" s="71"/>
      <c r="T20" s="71"/>
      <c r="U20" s="71"/>
    </row>
    <row r="21" spans="1:21" x14ac:dyDescent="0.25">
      <c r="A21" s="67" t="s">
        <v>233</v>
      </c>
      <c r="B21" s="66"/>
      <c r="C21" s="66"/>
      <c r="D21" s="67"/>
      <c r="E21" s="66">
        <v>1000</v>
      </c>
      <c r="F21" s="67" t="s">
        <v>17</v>
      </c>
      <c r="G21" s="67"/>
      <c r="H21" s="67"/>
      <c r="I21" s="67"/>
      <c r="J21" s="67"/>
      <c r="K21" s="68"/>
      <c r="L21" s="71" t="s">
        <v>233</v>
      </c>
      <c r="M21" s="70"/>
      <c r="N21" s="70"/>
      <c r="O21" s="71"/>
      <c r="P21" s="102">
        <v>1000</v>
      </c>
      <c r="Q21" s="71" t="s">
        <v>17</v>
      </c>
      <c r="R21" s="71"/>
      <c r="S21" s="71"/>
      <c r="T21" s="71"/>
      <c r="U21" s="71"/>
    </row>
    <row r="22" spans="1:21" ht="16.5" x14ac:dyDescent="0.3">
      <c r="A22" s="67" t="s">
        <v>47</v>
      </c>
      <c r="B22" s="66"/>
      <c r="C22" s="67"/>
      <c r="D22" s="67"/>
      <c r="E22" s="67"/>
      <c r="F22" s="67"/>
      <c r="G22" s="66" t="s">
        <v>23</v>
      </c>
      <c r="H22" s="66"/>
      <c r="I22" s="66"/>
      <c r="J22" s="66"/>
      <c r="K22" s="68"/>
      <c r="L22" s="71" t="s">
        <v>47</v>
      </c>
      <c r="M22" s="70"/>
      <c r="N22" s="71"/>
      <c r="O22" s="71"/>
      <c r="P22" s="71"/>
      <c r="Q22" s="71"/>
      <c r="R22" s="70" t="s">
        <v>23</v>
      </c>
      <c r="S22" s="70"/>
      <c r="T22" s="70"/>
      <c r="U22" s="70"/>
    </row>
    <row r="23" spans="1:21" x14ac:dyDescent="0.25">
      <c r="A23" s="67"/>
      <c r="B23" s="67" t="s">
        <v>240</v>
      </c>
      <c r="C23" s="66" t="s">
        <v>1</v>
      </c>
      <c r="D23" s="150">
        <v>-222700</v>
      </c>
      <c r="E23" s="67" t="s">
        <v>84</v>
      </c>
      <c r="F23" s="67"/>
      <c r="G23" s="66"/>
      <c r="H23" s="66"/>
      <c r="I23" s="66"/>
      <c r="J23" s="66"/>
      <c r="K23" s="68"/>
      <c r="L23" s="71"/>
      <c r="M23" s="71" t="s">
        <v>240</v>
      </c>
      <c r="N23" s="70" t="s">
        <v>1</v>
      </c>
      <c r="O23" s="297">
        <v>-222700</v>
      </c>
      <c r="P23" s="71" t="s">
        <v>84</v>
      </c>
      <c r="Q23" s="71"/>
      <c r="R23" s="70"/>
      <c r="S23" s="70"/>
      <c r="T23" s="70"/>
      <c r="U23" s="70"/>
    </row>
    <row r="24" spans="1:21" ht="16.5" x14ac:dyDescent="0.3">
      <c r="A24" s="67" t="s">
        <v>169</v>
      </c>
      <c r="B24" s="66"/>
      <c r="C24" s="66"/>
      <c r="D24" s="150"/>
      <c r="E24" s="67"/>
      <c r="F24" s="67"/>
      <c r="G24" s="66" t="s">
        <v>170</v>
      </c>
      <c r="H24" s="66"/>
      <c r="I24" s="66"/>
      <c r="J24" s="66"/>
      <c r="K24" s="68"/>
      <c r="L24" s="71" t="s">
        <v>169</v>
      </c>
      <c r="M24" s="70"/>
      <c r="N24" s="70"/>
      <c r="O24" s="298"/>
      <c r="P24" s="71"/>
      <c r="Q24" s="71"/>
      <c r="R24" s="70" t="s">
        <v>170</v>
      </c>
      <c r="S24" s="70"/>
      <c r="T24" s="70"/>
      <c r="U24" s="70"/>
    </row>
    <row r="25" spans="1:21" x14ac:dyDescent="0.25">
      <c r="A25" s="67"/>
      <c r="B25" s="67" t="s">
        <v>240</v>
      </c>
      <c r="C25" s="66" t="s">
        <v>1</v>
      </c>
      <c r="D25" s="150">
        <v>-136600</v>
      </c>
      <c r="E25" s="67" t="s">
        <v>84</v>
      </c>
      <c r="F25" s="67"/>
      <c r="G25" s="67"/>
      <c r="H25" s="67"/>
      <c r="I25" s="67"/>
      <c r="J25" s="67"/>
      <c r="K25" s="68"/>
      <c r="L25" s="71"/>
      <c r="M25" s="71" t="s">
        <v>240</v>
      </c>
      <c r="N25" s="70" t="s">
        <v>1</v>
      </c>
      <c r="O25" s="297">
        <v>-136600</v>
      </c>
      <c r="P25" s="71" t="s">
        <v>84</v>
      </c>
      <c r="Q25" s="71"/>
      <c r="R25" s="71"/>
      <c r="S25" s="71"/>
      <c r="T25" s="71"/>
      <c r="U25" s="71"/>
    </row>
    <row r="26" spans="1:21" ht="16.5" x14ac:dyDescent="0.3">
      <c r="A26" s="67" t="s">
        <v>276</v>
      </c>
      <c r="B26" s="66"/>
      <c r="C26" s="66"/>
      <c r="D26" s="150"/>
      <c r="E26" s="67"/>
      <c r="F26" s="67"/>
      <c r="G26" s="66" t="s">
        <v>278</v>
      </c>
      <c r="H26" s="66"/>
      <c r="I26" s="66"/>
      <c r="J26" s="66"/>
      <c r="K26" s="68"/>
      <c r="L26" s="71" t="s">
        <v>279</v>
      </c>
      <c r="M26" s="71"/>
      <c r="N26" s="70"/>
      <c r="O26" s="297"/>
      <c r="P26" s="71"/>
      <c r="Q26" s="71"/>
      <c r="R26" s="71" t="s">
        <v>278</v>
      </c>
      <c r="S26" s="71"/>
      <c r="T26" s="71"/>
      <c r="U26" s="71"/>
    </row>
    <row r="27" spans="1:21" x14ac:dyDescent="0.25">
      <c r="A27" s="67"/>
      <c r="B27" s="67" t="s">
        <v>240</v>
      </c>
      <c r="C27" s="66" t="s">
        <v>1</v>
      </c>
      <c r="D27" s="150">
        <v>-808600</v>
      </c>
      <c r="E27" s="67" t="s">
        <v>84</v>
      </c>
      <c r="F27" s="67"/>
      <c r="G27" s="67"/>
      <c r="H27" s="67"/>
      <c r="I27" s="67"/>
      <c r="J27" s="67"/>
      <c r="K27" s="68"/>
      <c r="L27" s="71"/>
      <c r="M27" s="71" t="s">
        <v>240</v>
      </c>
      <c r="N27" s="70" t="s">
        <v>1</v>
      </c>
      <c r="O27" s="297">
        <v>-808600</v>
      </c>
      <c r="P27" s="71" t="s">
        <v>84</v>
      </c>
      <c r="Q27" s="71"/>
      <c r="R27" s="71"/>
      <c r="S27" s="71"/>
      <c r="T27" s="71"/>
      <c r="U27" s="71"/>
    </row>
    <row r="28" spans="1:21" ht="16.5" x14ac:dyDescent="0.3">
      <c r="A28" s="67" t="s">
        <v>277</v>
      </c>
      <c r="B28" s="66"/>
      <c r="C28" s="66"/>
      <c r="D28" s="150"/>
      <c r="E28" s="67"/>
      <c r="F28" s="67"/>
      <c r="G28" s="66" t="s">
        <v>278</v>
      </c>
      <c r="H28" s="66"/>
      <c r="I28" s="66"/>
      <c r="J28" s="66"/>
      <c r="K28" s="68"/>
      <c r="L28" s="71" t="s">
        <v>280</v>
      </c>
      <c r="M28" s="71"/>
      <c r="N28" s="70"/>
      <c r="O28" s="297"/>
      <c r="P28" s="71"/>
      <c r="Q28" s="71"/>
      <c r="R28" s="71" t="s">
        <v>278</v>
      </c>
      <c r="S28" s="71"/>
      <c r="T28" s="71"/>
      <c r="U28" s="71"/>
    </row>
    <row r="29" spans="1:21" x14ac:dyDescent="0.25">
      <c r="A29" s="67"/>
      <c r="B29" s="67" t="s">
        <v>240</v>
      </c>
      <c r="C29" s="66" t="s">
        <v>1</v>
      </c>
      <c r="D29" s="150">
        <v>-1063600</v>
      </c>
      <c r="E29" s="67" t="s">
        <v>84</v>
      </c>
      <c r="F29" s="67"/>
      <c r="G29" s="67"/>
      <c r="H29" s="67"/>
      <c r="I29" s="67"/>
      <c r="J29" s="67"/>
      <c r="K29" s="68"/>
      <c r="L29" s="71"/>
      <c r="M29" s="71" t="s">
        <v>240</v>
      </c>
      <c r="N29" s="70" t="s">
        <v>1</v>
      </c>
      <c r="O29" s="297">
        <v>-1063600</v>
      </c>
      <c r="P29" s="71" t="s">
        <v>84</v>
      </c>
      <c r="Q29" s="71"/>
      <c r="R29" s="71"/>
      <c r="S29" s="71"/>
      <c r="T29" s="71"/>
      <c r="U29" s="71"/>
    </row>
    <row r="30" spans="1:21" x14ac:dyDescent="0.25">
      <c r="A30" s="67"/>
      <c r="B30" s="66"/>
      <c r="C30" s="66"/>
      <c r="D30" s="67"/>
      <c r="E30" s="67"/>
      <c r="F30" s="67"/>
      <c r="G30" s="67"/>
      <c r="H30" s="67"/>
      <c r="I30" s="67"/>
      <c r="J30" s="67"/>
      <c r="K30" s="68"/>
      <c r="L30" s="71"/>
      <c r="M30" s="70"/>
      <c r="N30" s="70"/>
      <c r="O30" s="71"/>
      <c r="P30" s="71"/>
      <c r="Q30" s="71"/>
      <c r="R30" s="71"/>
      <c r="S30" s="71"/>
      <c r="T30" s="71"/>
      <c r="U30" s="71"/>
    </row>
    <row r="31" spans="1:21" ht="16.5" x14ac:dyDescent="0.3">
      <c r="A31" s="75" t="s">
        <v>171</v>
      </c>
      <c r="B31" s="75">
        <f>1.5*B10</f>
        <v>5.82</v>
      </c>
      <c r="C31" s="67" t="s">
        <v>172</v>
      </c>
      <c r="D31" s="67"/>
      <c r="E31" s="67"/>
      <c r="F31" s="67"/>
      <c r="G31" s="67"/>
      <c r="H31" s="67"/>
      <c r="I31" s="67"/>
      <c r="J31" s="67"/>
      <c r="K31" s="68"/>
      <c r="L31" s="77" t="s">
        <v>171</v>
      </c>
      <c r="M31" s="77">
        <f>1.5*M10</f>
        <v>5.82</v>
      </c>
      <c r="N31" s="71" t="s">
        <v>172</v>
      </c>
      <c r="O31" s="71"/>
      <c r="P31" s="71"/>
      <c r="Q31" s="71"/>
      <c r="R31" s="71"/>
      <c r="S31" s="71"/>
      <c r="T31" s="71"/>
      <c r="U31" s="71"/>
    </row>
    <row r="32" spans="1:21" ht="16.5" x14ac:dyDescent="0.3">
      <c r="A32" s="75" t="s">
        <v>173</v>
      </c>
      <c r="B32" s="116">
        <f>1*(B17+B16*8+B15*6)</f>
        <v>3.2800000000000002</v>
      </c>
      <c r="C32" s="80" t="s">
        <v>172</v>
      </c>
      <c r="D32" s="67"/>
      <c r="E32" s="67"/>
      <c r="F32" s="164" t="s">
        <v>314</v>
      </c>
      <c r="G32" s="200"/>
      <c r="H32" s="200"/>
      <c r="I32" s="200"/>
      <c r="J32" s="67"/>
      <c r="K32" s="68"/>
      <c r="L32" s="77" t="s">
        <v>173</v>
      </c>
      <c r="M32" s="118">
        <f>1*(M17+M16*8+M15*6)</f>
        <v>3.2800000000000002</v>
      </c>
      <c r="N32" s="82" t="s">
        <v>172</v>
      </c>
      <c r="O32" s="71"/>
      <c r="P32" s="71"/>
      <c r="Q32" s="71"/>
      <c r="R32" s="71"/>
      <c r="S32" s="71"/>
      <c r="T32" s="71"/>
      <c r="U32" s="71"/>
    </row>
    <row r="33" spans="1:21" ht="17.25" thickBot="1" x14ac:dyDescent="0.35">
      <c r="A33" s="67"/>
      <c r="B33" s="76">
        <f>SUM(B31:B32)</f>
        <v>9.1000000000000014</v>
      </c>
      <c r="C33" s="67" t="s">
        <v>172</v>
      </c>
      <c r="D33" s="67"/>
      <c r="E33" s="67"/>
      <c r="F33" s="200"/>
      <c r="G33" s="200"/>
      <c r="H33" s="200"/>
      <c r="I33" s="200"/>
      <c r="J33" s="67"/>
      <c r="K33" s="68"/>
      <c r="L33" s="71"/>
      <c r="M33" s="78">
        <f>SUM(M31:M32)</f>
        <v>9.1000000000000014</v>
      </c>
      <c r="N33" s="71" t="s">
        <v>172</v>
      </c>
      <c r="O33" s="71"/>
      <c r="P33" s="71"/>
      <c r="Q33" s="71"/>
      <c r="R33" s="71"/>
      <c r="S33" s="71"/>
      <c r="T33" s="71"/>
      <c r="U33" s="71"/>
    </row>
    <row r="34" spans="1:21" ht="17.25" thickBot="1" x14ac:dyDescent="0.35">
      <c r="A34" s="262">
        <f>C20</f>
        <v>0.5</v>
      </c>
      <c r="B34" s="263">
        <f>(1+C20)*B33</f>
        <v>13.650000000000002</v>
      </c>
      <c r="C34" s="67" t="s">
        <v>172</v>
      </c>
      <c r="D34" s="67"/>
      <c r="E34" s="67"/>
      <c r="F34" s="200"/>
      <c r="G34" s="200"/>
      <c r="H34" s="200"/>
      <c r="I34" s="200"/>
      <c r="J34" s="67"/>
      <c r="K34" s="68"/>
      <c r="L34" s="264">
        <f>N20</f>
        <v>0.5</v>
      </c>
      <c r="M34" s="265">
        <f>(1+N20)*M33</f>
        <v>13.650000000000002</v>
      </c>
      <c r="N34" s="71" t="s">
        <v>172</v>
      </c>
      <c r="O34" s="71"/>
      <c r="P34" s="71"/>
      <c r="Q34" s="71"/>
      <c r="R34" s="71"/>
      <c r="S34" s="71"/>
      <c r="T34" s="71"/>
      <c r="U34" s="71"/>
    </row>
    <row r="35" spans="1:21" x14ac:dyDescent="0.25">
      <c r="A35" s="98"/>
      <c r="B35" s="75"/>
      <c r="C35" s="67"/>
      <c r="D35" s="67"/>
      <c r="E35" s="67"/>
      <c r="F35" s="200"/>
      <c r="G35" s="200"/>
      <c r="H35" s="200"/>
      <c r="I35" s="200"/>
      <c r="J35" s="67"/>
      <c r="K35" s="68"/>
      <c r="L35" s="266"/>
      <c r="M35" s="77"/>
      <c r="N35" s="71"/>
      <c r="O35" s="71"/>
      <c r="P35" s="71"/>
      <c r="Q35" s="71"/>
      <c r="R35" s="71"/>
      <c r="S35" s="71"/>
      <c r="T35" s="71"/>
      <c r="U35" s="71"/>
    </row>
    <row r="36" spans="1:21" x14ac:dyDescent="0.25">
      <c r="A36" s="67"/>
      <c r="B36" s="267" t="s">
        <v>174</v>
      </c>
      <c r="C36" s="244" t="s">
        <v>175</v>
      </c>
      <c r="D36" s="244"/>
      <c r="E36" s="244"/>
      <c r="F36" s="67"/>
      <c r="G36" s="67"/>
      <c r="H36" s="67"/>
      <c r="I36" s="67"/>
      <c r="J36" s="67"/>
      <c r="K36" s="68"/>
      <c r="L36" s="71"/>
      <c r="M36" s="146" t="s">
        <v>174</v>
      </c>
      <c r="N36" s="245" t="s">
        <v>175</v>
      </c>
      <c r="O36" s="245"/>
      <c r="P36" s="245"/>
      <c r="Q36" s="71"/>
      <c r="R36" s="71"/>
      <c r="S36" s="71"/>
      <c r="T36" s="71"/>
      <c r="U36" s="71"/>
    </row>
    <row r="37" spans="1:21" x14ac:dyDescent="0.25">
      <c r="A37" s="67"/>
      <c r="B37" s="268"/>
      <c r="C37" s="66"/>
      <c r="D37" s="143" t="s">
        <v>85</v>
      </c>
      <c r="E37" s="269">
        <f>'Example 22-1 Conditions'!G3</f>
        <v>100</v>
      </c>
      <c r="F37" s="67" t="s">
        <v>17</v>
      </c>
      <c r="G37" s="67"/>
      <c r="H37" s="67"/>
      <c r="I37" s="67"/>
      <c r="J37" s="67"/>
      <c r="K37" s="68"/>
      <c r="L37" s="71"/>
      <c r="M37" s="270"/>
      <c r="N37" s="70"/>
      <c r="O37" s="271" t="s">
        <v>85</v>
      </c>
      <c r="P37" s="272">
        <f>'Example 22-1 Conditions'!R3</f>
        <v>100</v>
      </c>
      <c r="Q37" s="71" t="s">
        <v>17</v>
      </c>
      <c r="R37" s="71"/>
      <c r="S37" s="71"/>
      <c r="T37" s="71"/>
      <c r="U37" s="71"/>
    </row>
    <row r="38" spans="1:21" x14ac:dyDescent="0.25">
      <c r="A38" s="67"/>
      <c r="B38" s="267" t="s">
        <v>74</v>
      </c>
      <c r="C38" s="117" t="s">
        <v>74</v>
      </c>
      <c r="D38" s="117" t="s">
        <v>75</v>
      </c>
      <c r="E38" s="117" t="s">
        <v>76</v>
      </c>
      <c r="F38" s="67"/>
      <c r="G38" s="67"/>
      <c r="H38" s="67"/>
      <c r="I38" s="67"/>
      <c r="J38" s="67"/>
      <c r="K38" s="68"/>
      <c r="L38" s="71"/>
      <c r="M38" s="146" t="s">
        <v>74</v>
      </c>
      <c r="N38" s="97" t="s">
        <v>74</v>
      </c>
      <c r="O38" s="97" t="s">
        <v>75</v>
      </c>
      <c r="P38" s="97" t="s">
        <v>76</v>
      </c>
      <c r="Q38" s="71"/>
      <c r="R38" s="71"/>
      <c r="S38" s="71"/>
      <c r="T38" s="71"/>
      <c r="U38" s="71"/>
    </row>
    <row r="39" spans="1:21" ht="16.5" x14ac:dyDescent="0.3">
      <c r="A39" s="67" t="s">
        <v>42</v>
      </c>
      <c r="B39" s="268">
        <f>B10</f>
        <v>3.88</v>
      </c>
      <c r="C39" s="66"/>
      <c r="D39" s="66"/>
      <c r="E39" s="66"/>
      <c r="F39" s="67"/>
      <c r="G39" s="67"/>
      <c r="H39" s="67"/>
      <c r="I39" s="67"/>
      <c r="J39" s="67"/>
      <c r="K39" s="68"/>
      <c r="L39" s="71" t="s">
        <v>42</v>
      </c>
      <c r="M39" s="270">
        <f>M10</f>
        <v>3.88</v>
      </c>
      <c r="N39" s="70"/>
      <c r="O39" s="70"/>
      <c r="P39" s="70"/>
      <c r="Q39" s="71"/>
      <c r="R39" s="71"/>
      <c r="S39" s="71"/>
      <c r="T39" s="71"/>
      <c r="U39" s="71"/>
    </row>
    <row r="40" spans="1:21" ht="16.5" x14ac:dyDescent="0.3">
      <c r="A40" s="67" t="s">
        <v>43</v>
      </c>
      <c r="B40" s="268">
        <f>B11</f>
        <v>159.1</v>
      </c>
      <c r="C40" s="66"/>
      <c r="D40" s="66"/>
      <c r="E40" s="66"/>
      <c r="F40" s="67"/>
      <c r="G40" s="67"/>
      <c r="H40" s="67"/>
      <c r="I40" s="67"/>
      <c r="J40" s="67"/>
      <c r="K40" s="68"/>
      <c r="L40" s="71" t="s">
        <v>43</v>
      </c>
      <c r="M40" s="270">
        <f>M11</f>
        <v>159.1</v>
      </c>
      <c r="N40" s="70"/>
      <c r="O40" s="70"/>
      <c r="P40" s="70"/>
      <c r="Q40" s="71"/>
      <c r="R40" s="71"/>
      <c r="S40" s="71"/>
      <c r="T40" s="71"/>
      <c r="U40" s="71"/>
    </row>
    <row r="41" spans="1:21" ht="16.5" x14ac:dyDescent="0.3">
      <c r="A41" s="67" t="s">
        <v>44</v>
      </c>
      <c r="B41" s="268">
        <f>B12</f>
        <v>348.26</v>
      </c>
      <c r="C41" s="88">
        <f>(C43+C45) * 'Example 22-1 Conditions'!G8</f>
        <v>1.9298567144285239</v>
      </c>
      <c r="D41" s="119">
        <f>(IF(ROUNDDOWN(E37,-2)=ROUNDUP(E37,-2),VLOOKUP(E37,Enthalpy,15),VLOOKUP(ROUNDDOWN(E37,-2),Enthalpy,15)+(E37-ROUNDDOWN(E37,-2))/(ROUNDUP(E37,-2)-ROUNDDOWN(E37,-2))*(VLOOKUP(ROUNDUP(E37,-2),Enthalpy,15)-VLOOKUP(ROUNDDOWN(E37,-2),Enthalpy,15))))</f>
        <v>557.1</v>
      </c>
      <c r="E41" s="73">
        <f>(C41*D41)</f>
        <v>1075.1231756081306</v>
      </c>
      <c r="F41" s="67"/>
      <c r="G41" s="67"/>
      <c r="H41" s="67"/>
      <c r="I41" s="67"/>
      <c r="J41" s="67"/>
      <c r="K41" s="68"/>
      <c r="L41" s="71" t="s">
        <v>44</v>
      </c>
      <c r="M41" s="270">
        <f>M12</f>
        <v>348.26</v>
      </c>
      <c r="N41" s="91">
        <f>(N43+N45) * 'Example 22-1 Conditions'!R8</f>
        <v>1.9298567144285239</v>
      </c>
      <c r="O41" s="122">
        <f>IF(ROUNDDOWN(P37,-2)=ROUNDUP(P37,-2),VLOOKUP(P37,Enthalpy,15),VLOOKUP(ROUNDDOWN(P37,-2),Enthalpy,15)+(P37-ROUNDDOWN(P37,-2))/(ROUNDUP(P37,-2)-ROUNDDOWN(P37,-2))*(VLOOKUP(ROUNDUP(P37,-2),Enthalpy,15)-VLOOKUP(ROUNDDOWN(P37,-2),Enthalpy,15)))</f>
        <v>557.1</v>
      </c>
      <c r="P41" s="74">
        <f>N41*O41</f>
        <v>1075.1231756081306</v>
      </c>
      <c r="Q41" s="71"/>
      <c r="R41" s="71"/>
      <c r="S41" s="71"/>
      <c r="T41" s="71"/>
      <c r="U41" s="71"/>
    </row>
    <row r="42" spans="1:21" ht="16.5" x14ac:dyDescent="0.3">
      <c r="A42" s="67" t="s">
        <v>51</v>
      </c>
      <c r="B42" s="268">
        <f>B13</f>
        <v>1.94</v>
      </c>
      <c r="C42" s="66"/>
      <c r="D42" s="119"/>
      <c r="E42" s="73"/>
      <c r="F42" s="67"/>
      <c r="G42" s="67"/>
      <c r="H42" s="67"/>
      <c r="I42" s="67"/>
      <c r="J42" s="67"/>
      <c r="K42" s="68"/>
      <c r="L42" s="71" t="s">
        <v>51</v>
      </c>
      <c r="M42" s="270">
        <f>M13</f>
        <v>1.94</v>
      </c>
      <c r="N42" s="70"/>
      <c r="O42" s="122"/>
      <c r="P42" s="74"/>
      <c r="Q42" s="71"/>
      <c r="R42" s="71"/>
      <c r="S42" s="71"/>
      <c r="T42" s="71"/>
      <c r="U42" s="71"/>
    </row>
    <row r="43" spans="1:21" ht="16.5" x14ac:dyDescent="0.3">
      <c r="A43" s="67" t="s">
        <v>52</v>
      </c>
      <c r="B43" s="268">
        <f>B14</f>
        <v>582.65</v>
      </c>
      <c r="C43" s="88">
        <f>(78.993/21.007) *C45</f>
        <v>51.328340553148948</v>
      </c>
      <c r="D43" s="119">
        <f>(IF(ROUNDDOWN(E37,-2)=ROUNDUP(E37,-2),VLOOKUP(E37,Enthalpy,9),VLOOKUP(ROUNDDOWN(E37,-2),Enthalpy,9)+(E37-ROUNDDOWN(E37,-2))/(ROUNDUP(E37,-2)-ROUNDDOWN(E37,-2))*(VLOOKUP(ROUNDUP(E37,-2),Enthalpy,9)-VLOOKUP(ROUNDDOWN(E37,-2),Enthalpy,9))))</f>
        <v>474.1</v>
      </c>
      <c r="E43" s="73">
        <f>(C43*D43)</f>
        <v>24334.766256247916</v>
      </c>
      <c r="F43" s="67"/>
      <c r="G43" s="67"/>
      <c r="H43" s="67"/>
      <c r="I43" s="67"/>
      <c r="J43" s="67"/>
      <c r="K43" s="68"/>
      <c r="L43" s="71" t="s">
        <v>52</v>
      </c>
      <c r="M43" s="270">
        <f>M14</f>
        <v>582.65</v>
      </c>
      <c r="N43" s="91">
        <f>(78.993/21.007) *N45</f>
        <v>51.328340553148948</v>
      </c>
      <c r="O43" s="122">
        <f>IF(ROUNDDOWN(P37,-2)=ROUNDUP(P37,-2),VLOOKUP(P37,Enthalpy,9),VLOOKUP(ROUNDDOWN(P37,-2),Enthalpy,9)+(P37-ROUNDDOWN(P37,-2))/(ROUNDUP(P37,-2)-ROUNDDOWN(P37,-2))*(VLOOKUP(ROUNDUP(P37,-2),Enthalpy,9)-VLOOKUP(ROUNDDOWN(P37,-2),Enthalpy,9)))</f>
        <v>474.1</v>
      </c>
      <c r="P43" s="74">
        <f>N43*O43</f>
        <v>24334.766256247916</v>
      </c>
      <c r="Q43" s="71"/>
      <c r="R43" s="71"/>
      <c r="S43" s="71"/>
      <c r="T43" s="71"/>
      <c r="U43" s="71"/>
    </row>
    <row r="44" spans="1:21" ht="16.5" x14ac:dyDescent="0.3">
      <c r="A44" s="67" t="s">
        <v>176</v>
      </c>
      <c r="B44" s="268">
        <f>ROUND((B17+B16*8+B15*6),2)</f>
        <v>3.28</v>
      </c>
      <c r="C44" s="66"/>
      <c r="D44" s="119"/>
      <c r="E44" s="73"/>
      <c r="F44" s="67"/>
      <c r="G44" s="67"/>
      <c r="H44" s="67"/>
      <c r="I44" s="67"/>
      <c r="J44" s="67"/>
      <c r="K44" s="68"/>
      <c r="L44" s="71" t="s">
        <v>176</v>
      </c>
      <c r="M44" s="270">
        <f>ROUND((M17+M16*8+M15*6),2)</f>
        <v>3.28</v>
      </c>
      <c r="N44" s="70"/>
      <c r="O44" s="122"/>
      <c r="P44" s="74"/>
      <c r="Q44" s="71"/>
      <c r="R44" s="71"/>
      <c r="S44" s="71"/>
      <c r="T44" s="71"/>
      <c r="U44" s="71"/>
    </row>
    <row r="45" spans="1:21" ht="16.5" x14ac:dyDescent="0.3">
      <c r="A45" s="67" t="s">
        <v>53</v>
      </c>
      <c r="B45" s="267"/>
      <c r="C45" s="117">
        <f>B34</f>
        <v>13.650000000000002</v>
      </c>
      <c r="D45" s="119">
        <f>(IF(ROUNDDOWN(E37,-2)=ROUNDUP(E37,-2),VLOOKUP(E37,Enthalpy,10),VLOOKUP(ROUNDDOWN(E37,-2),Enthalpy,10)+(E37-ROUNDDOWN(E37,-2))/(ROUNDUP(E37,-2)-ROUNDDOWN(E37,-2))*(VLOOKUP(ROUNDUP(E37,-2),Enthalpy,10)-VLOOKUP(ROUNDDOWN(E37,-2),Enthalpy,10))))</f>
        <v>492.8</v>
      </c>
      <c r="E45" s="171">
        <f>(C45*D45)</f>
        <v>6726.7200000000012</v>
      </c>
      <c r="F45" s="67"/>
      <c r="G45" s="67"/>
      <c r="H45" s="67"/>
      <c r="I45" s="67"/>
      <c r="J45" s="67"/>
      <c r="K45" s="68"/>
      <c r="L45" s="71" t="s">
        <v>53</v>
      </c>
      <c r="M45" s="146"/>
      <c r="N45" s="97">
        <f>M34</f>
        <v>13.650000000000002</v>
      </c>
      <c r="O45" s="122">
        <f>IF(ROUNDDOWN(P37,-2)=ROUNDUP(P37,-2),VLOOKUP(P37,Enthalpy,10),VLOOKUP(ROUNDDOWN(P37,-2),Enthalpy,10)+(P37-ROUNDDOWN(P37,-2))/(ROUNDUP(P37,-2)-ROUNDDOWN(P37,-2))*(VLOOKUP(ROUNDUP(P37,-2),Enthalpy,10)-VLOOKUP(ROUNDDOWN(P37,-2),Enthalpy,10)))</f>
        <v>492.8</v>
      </c>
      <c r="P45" s="173">
        <f>N45*O45</f>
        <v>6726.7200000000012</v>
      </c>
      <c r="Q45" s="71"/>
      <c r="R45" s="71"/>
      <c r="S45" s="71"/>
      <c r="T45" s="71"/>
      <c r="U45" s="71"/>
    </row>
    <row r="46" spans="1:21" x14ac:dyDescent="0.25">
      <c r="A46" s="67"/>
      <c r="B46" s="273">
        <f>SUM(B39:B45)</f>
        <v>1099.1099999999999</v>
      </c>
      <c r="C46" s="88">
        <f>SUM(C39:C45)</f>
        <v>66.908197267577478</v>
      </c>
      <c r="D46" s="130"/>
      <c r="E46" s="73">
        <f>SUM(E39:E45)</f>
        <v>32136.60943185605</v>
      </c>
      <c r="F46" s="67"/>
      <c r="G46" s="67"/>
      <c r="H46" s="67"/>
      <c r="I46" s="67"/>
      <c r="J46" s="67"/>
      <c r="K46" s="68"/>
      <c r="L46" s="71"/>
      <c r="M46" s="274">
        <f>SUM(M39:M45)</f>
        <v>1099.1099999999999</v>
      </c>
      <c r="N46" s="91">
        <f>SUM(N39:N45)</f>
        <v>66.908197267577478</v>
      </c>
      <c r="O46" s="113"/>
      <c r="P46" s="74">
        <f>SUM(P39:P45)</f>
        <v>32136.60943185605</v>
      </c>
      <c r="Q46" s="71"/>
      <c r="R46" s="71"/>
      <c r="S46" s="71"/>
      <c r="T46" s="71"/>
      <c r="U46" s="71"/>
    </row>
    <row r="47" spans="1:21" x14ac:dyDescent="0.25">
      <c r="A47" s="67"/>
      <c r="B47" s="66"/>
      <c r="C47" s="66"/>
      <c r="D47" s="67"/>
      <c r="E47" s="67"/>
      <c r="F47" s="67"/>
      <c r="G47" s="67"/>
      <c r="H47" s="67"/>
      <c r="I47" s="67"/>
      <c r="J47" s="67"/>
      <c r="K47" s="68"/>
      <c r="L47" s="71"/>
      <c r="M47" s="70"/>
      <c r="N47" s="70"/>
      <c r="O47" s="71"/>
      <c r="P47" s="71"/>
      <c r="Q47" s="71"/>
      <c r="R47" s="71"/>
      <c r="S47" s="71"/>
      <c r="T47" s="71"/>
      <c r="U47" s="71"/>
    </row>
    <row r="48" spans="1:21" x14ac:dyDescent="0.25">
      <c r="A48" s="67"/>
      <c r="B48" s="244" t="s">
        <v>177</v>
      </c>
      <c r="C48" s="244"/>
      <c r="D48" s="244"/>
      <c r="E48" s="67"/>
      <c r="F48" s="67"/>
      <c r="G48" s="67"/>
      <c r="H48" s="67"/>
      <c r="I48" s="67"/>
      <c r="J48" s="67"/>
      <c r="K48" s="68"/>
      <c r="L48" s="71"/>
      <c r="M48" s="245" t="s">
        <v>177</v>
      </c>
      <c r="N48" s="245"/>
      <c r="O48" s="245"/>
      <c r="P48" s="71"/>
      <c r="Q48" s="71"/>
      <c r="R48" s="71"/>
      <c r="S48" s="71"/>
      <c r="T48" s="71"/>
      <c r="U48" s="71"/>
    </row>
    <row r="49" spans="1:21" x14ac:dyDescent="0.25">
      <c r="A49" s="67"/>
      <c r="B49" s="66"/>
      <c r="C49" s="143" t="s">
        <v>85</v>
      </c>
      <c r="D49" s="269">
        <f>E21</f>
        <v>1000</v>
      </c>
      <c r="E49" s="67" t="s">
        <v>17</v>
      </c>
      <c r="F49" s="67"/>
      <c r="G49" s="67"/>
      <c r="H49" s="67"/>
      <c r="I49" s="67"/>
      <c r="J49" s="67"/>
      <c r="K49" s="68"/>
      <c r="L49" s="71"/>
      <c r="M49" s="70"/>
      <c r="N49" s="271" t="s">
        <v>85</v>
      </c>
      <c r="O49" s="272">
        <f>P21</f>
        <v>1000</v>
      </c>
      <c r="P49" s="71" t="s">
        <v>17</v>
      </c>
      <c r="Q49" s="71"/>
      <c r="R49" s="71"/>
      <c r="S49" s="71"/>
      <c r="T49" s="71"/>
      <c r="U49" s="71"/>
    </row>
    <row r="50" spans="1:21" x14ac:dyDescent="0.25">
      <c r="A50" s="67"/>
      <c r="B50" s="117" t="s">
        <v>74</v>
      </c>
      <c r="C50" s="117" t="s">
        <v>75</v>
      </c>
      <c r="D50" s="117" t="s">
        <v>76</v>
      </c>
      <c r="E50" s="67"/>
      <c r="F50" s="67"/>
      <c r="G50" s="67"/>
      <c r="H50" s="67"/>
      <c r="I50" s="67"/>
      <c r="J50" s="67"/>
      <c r="K50" s="68"/>
      <c r="L50" s="71"/>
      <c r="M50" s="97" t="s">
        <v>74</v>
      </c>
      <c r="N50" s="97" t="s">
        <v>75</v>
      </c>
      <c r="O50" s="97" t="s">
        <v>76</v>
      </c>
      <c r="P50" s="71"/>
      <c r="Q50" s="71"/>
      <c r="R50" s="71"/>
      <c r="S50" s="71"/>
      <c r="T50" s="71"/>
      <c r="U50" s="71"/>
    </row>
    <row r="51" spans="1:21" ht="16.5" x14ac:dyDescent="0.3">
      <c r="A51" s="67" t="s">
        <v>42</v>
      </c>
      <c r="B51" s="66"/>
      <c r="C51" s="66"/>
      <c r="D51" s="67"/>
      <c r="E51" s="67"/>
      <c r="F51" s="67"/>
      <c r="G51" s="67"/>
      <c r="H51" s="67"/>
      <c r="I51" s="67"/>
      <c r="J51" s="67"/>
      <c r="K51" s="68"/>
      <c r="L51" s="71" t="s">
        <v>42</v>
      </c>
      <c r="M51" s="70"/>
      <c r="N51" s="70"/>
      <c r="O51" s="71"/>
      <c r="P51" s="71"/>
      <c r="Q51" s="71"/>
      <c r="R51" s="71"/>
      <c r="S51" s="71"/>
      <c r="T51" s="71"/>
      <c r="U51" s="71"/>
    </row>
    <row r="52" spans="1:21" ht="16.5" x14ac:dyDescent="0.3">
      <c r="A52" s="67" t="s">
        <v>43</v>
      </c>
      <c r="B52" s="88">
        <f>B40</f>
        <v>159.1</v>
      </c>
      <c r="C52" s="66">
        <f>(IF(ROUNDDOWN(D49,-2)=ROUNDUP(D49,-2),VLOOKUP(D49,Enthalpy,14),VLOOKUP(ROUNDDOWN(D49,-2),Enthalpy,14)+(D49-ROUNDDOWN(D49,-2))/(ROUNDUP(D49,-2)-ROUNDDOWN(D49,-2))*(VLOOKUP(ROUNDUP(D49,-2),Enthalpy,14)-VLOOKUP(ROUNDDOWN(D49,-2),Enthalpy,14))))</f>
        <v>10430</v>
      </c>
      <c r="D52" s="150">
        <f>(B52*C52)</f>
        <v>1659413</v>
      </c>
      <c r="E52" s="67"/>
      <c r="F52" s="67"/>
      <c r="G52" s="67"/>
      <c r="H52" s="67"/>
      <c r="I52" s="67"/>
      <c r="J52" s="67"/>
      <c r="K52" s="68"/>
      <c r="L52" s="71" t="s">
        <v>43</v>
      </c>
      <c r="M52" s="91">
        <f>M40</f>
        <v>159.1</v>
      </c>
      <c r="N52" s="70">
        <f>IF(ROUNDDOWN(O49,-2)=ROUNDUP(O49,-2),VLOOKUP(O49,Enthalpy,14),VLOOKUP(ROUNDDOWN(O49,-2),Enthalpy,14)+(O49-ROUNDDOWN(O49,-2))/(ROUNDUP(O49,-2)-ROUNDDOWN(O49,-2))*(VLOOKUP(ROUNDUP(O49,-2),Enthalpy,14)-VLOOKUP(ROUNDDOWN(O49,-2),Enthalpy,14)))</f>
        <v>10430</v>
      </c>
      <c r="O52" s="154">
        <f>M52*N52</f>
        <v>1659413</v>
      </c>
      <c r="P52" s="71"/>
      <c r="Q52" s="71"/>
      <c r="R52" s="71"/>
      <c r="S52" s="71"/>
      <c r="T52" s="71"/>
      <c r="U52" s="71"/>
    </row>
    <row r="53" spans="1:21" ht="16.5" x14ac:dyDescent="0.3">
      <c r="A53" s="67" t="s">
        <v>44</v>
      </c>
      <c r="B53" s="88">
        <f>ROUND(B41+B39+C41,2)</f>
        <v>354.07</v>
      </c>
      <c r="C53" s="66">
        <f>(IF(ROUNDDOWN(D49,-2)=ROUNDUP(D49,-2),VLOOKUP(D49,Enthalpy,15),VLOOKUP(ROUNDDOWN(D49,-2),Enthalpy,15)+(D49-ROUNDDOWN(D49,-2))/(ROUNDUP(D49,-2)-ROUNDDOWN(D49,-2))*(VLOOKUP(ROUNDUP(D49,-2),Enthalpy,15)-VLOOKUP(ROUNDDOWN(D49,-2),Enthalpy,15))))</f>
        <v>8333</v>
      </c>
      <c r="D53" s="150">
        <f t="shared" ref="D53:D57" si="2">(B53*C53)</f>
        <v>2950465.31</v>
      </c>
      <c r="E53" s="67"/>
      <c r="F53" s="67"/>
      <c r="G53" s="67"/>
      <c r="H53" s="67"/>
      <c r="I53" s="67"/>
      <c r="J53" s="67"/>
      <c r="K53" s="68"/>
      <c r="L53" s="71" t="s">
        <v>44</v>
      </c>
      <c r="M53" s="91">
        <f>ROUND(M41+M39+N41,2)</f>
        <v>354.07</v>
      </c>
      <c r="N53" s="70">
        <f>IF(ROUNDDOWN(O49,-2)=ROUNDUP(O49,-2),VLOOKUP(O49,Enthalpy,15),VLOOKUP(ROUNDDOWN(O49,-2),Enthalpy,15)+(O49-ROUNDDOWN(O49,-2))/(ROUNDUP(O49,-2)-ROUNDDOWN(O49,-2))*(VLOOKUP(ROUNDUP(O49,-2),Enthalpy,15)-VLOOKUP(ROUNDDOWN(O49,-2),Enthalpy,15)))</f>
        <v>8333</v>
      </c>
      <c r="O53" s="154">
        <f t="shared" ref="O53:O57" si="3">M53*N53</f>
        <v>2950465.31</v>
      </c>
      <c r="P53" s="71"/>
      <c r="Q53" s="71"/>
      <c r="R53" s="71"/>
      <c r="S53" s="71"/>
      <c r="T53" s="71"/>
      <c r="U53" s="71"/>
    </row>
    <row r="54" spans="1:21" ht="16.5" x14ac:dyDescent="0.3">
      <c r="A54" s="67" t="s">
        <v>51</v>
      </c>
      <c r="B54" s="88">
        <f>ROUND(B42+B39+B44,2)</f>
        <v>9.1</v>
      </c>
      <c r="C54" s="66">
        <f>(IF(ROUNDDOWN(D49,-2)=ROUNDUP(D49,-2),VLOOKUP(D49,Enthalpy,17),VLOOKUP(ROUNDDOWN(D49,-2),Enthalpy,17)+(D49-ROUNDDOWN(D49,-2))/(ROUNDUP(D49,-2)-ROUNDDOWN(D49,-2))*(VLOOKUP(ROUNDUP(D49,-2),Enthalpy,17)-VLOOKUP(ROUNDDOWN(D49,-2),Enthalpy,17))))</f>
        <v>10980</v>
      </c>
      <c r="D54" s="150">
        <f t="shared" si="2"/>
        <v>99918</v>
      </c>
      <c r="E54" s="67"/>
      <c r="F54" s="67"/>
      <c r="G54" s="67"/>
      <c r="H54" s="67"/>
      <c r="I54" s="67"/>
      <c r="J54" s="67"/>
      <c r="K54" s="68"/>
      <c r="L54" s="71" t="s">
        <v>51</v>
      </c>
      <c r="M54" s="91">
        <f>ROUND(M42+M39+M44,2)</f>
        <v>9.1</v>
      </c>
      <c r="N54" s="70">
        <f>IF(ROUNDDOWN(O49,-2)=ROUNDUP(O49,-2),VLOOKUP(O49,Enthalpy,17),VLOOKUP(ROUNDDOWN(O49,-2),Enthalpy,17)+(O49-ROUNDDOWN(O49,-2))/(ROUNDUP(O49,-2)-ROUNDDOWN(O49,-2))*(VLOOKUP(ROUNDUP(O49,-2),Enthalpy,17)-VLOOKUP(ROUNDDOWN(O49,-2),Enthalpy,17)))</f>
        <v>10980</v>
      </c>
      <c r="O54" s="154">
        <f t="shared" si="3"/>
        <v>99918</v>
      </c>
      <c r="P54" s="71"/>
      <c r="Q54" s="71"/>
      <c r="R54" s="71"/>
      <c r="S54" s="71"/>
      <c r="T54" s="71"/>
      <c r="U54" s="71"/>
    </row>
    <row r="55" spans="1:21" ht="16.5" x14ac:dyDescent="0.3">
      <c r="A55" s="67" t="s">
        <v>52</v>
      </c>
      <c r="B55" s="88">
        <f>ROUND(B43+C43,2)</f>
        <v>633.98</v>
      </c>
      <c r="C55" s="66">
        <f>(IF(ROUNDDOWN(D49,-2)=ROUNDUP(D49,-2),VLOOKUP(D49,Enthalpy,9),VLOOKUP(ROUNDDOWN(D49,-2),Enthalpy,9)+(D49-ROUNDDOWN(D49,-2))/(ROUNDUP(D49,-2)-ROUNDDOWN(D49,-2))*(VLOOKUP(ROUNDUP(D49,-2),Enthalpy,9)-VLOOKUP(ROUNDDOWN(D49,-2),Enthalpy,9))))</f>
        <v>6932</v>
      </c>
      <c r="D55" s="150">
        <f t="shared" si="2"/>
        <v>4394749.3600000003</v>
      </c>
      <c r="E55" s="67"/>
      <c r="F55" s="67"/>
      <c r="G55" s="67"/>
      <c r="H55" s="67"/>
      <c r="I55" s="67"/>
      <c r="J55" s="67"/>
      <c r="K55" s="68"/>
      <c r="L55" s="71" t="s">
        <v>52</v>
      </c>
      <c r="M55" s="91">
        <f>ROUND(M43+N43,2)</f>
        <v>633.98</v>
      </c>
      <c r="N55" s="70">
        <f>IF(ROUNDDOWN(O49,-2)=ROUNDUP(O49,-2),VLOOKUP(O49,Enthalpy,9),VLOOKUP(ROUNDDOWN(O49,-2),Enthalpy,9)+(O49-ROUNDDOWN(O49,-2))/(ROUNDUP(O49,-2)-ROUNDDOWN(O49,-2))*(VLOOKUP(ROUNDUP(O49,-2),Enthalpy,9)-VLOOKUP(ROUNDDOWN(O49,-2),Enthalpy,9)))</f>
        <v>6932</v>
      </c>
      <c r="O55" s="154">
        <f t="shared" si="3"/>
        <v>4394749.3600000003</v>
      </c>
      <c r="P55" s="71"/>
      <c r="Q55" s="71"/>
      <c r="R55" s="71"/>
      <c r="S55" s="71"/>
      <c r="T55" s="71"/>
      <c r="U55" s="71"/>
    </row>
    <row r="56" spans="1:21" ht="16.5" x14ac:dyDescent="0.3">
      <c r="A56" s="67" t="s">
        <v>176</v>
      </c>
      <c r="B56" s="88"/>
      <c r="C56" s="66"/>
      <c r="D56" s="150"/>
      <c r="E56" s="67"/>
      <c r="F56" s="67"/>
      <c r="G56" s="67"/>
      <c r="H56" s="67"/>
      <c r="I56" s="67"/>
      <c r="J56" s="67"/>
      <c r="K56" s="68"/>
      <c r="L56" s="71" t="s">
        <v>176</v>
      </c>
      <c r="M56" s="91"/>
      <c r="N56" s="70"/>
      <c r="O56" s="154"/>
      <c r="P56" s="71"/>
      <c r="Q56" s="71"/>
      <c r="R56" s="71"/>
      <c r="S56" s="71"/>
      <c r="T56" s="71"/>
      <c r="U56" s="71"/>
    </row>
    <row r="57" spans="1:21" ht="16.5" x14ac:dyDescent="0.3">
      <c r="A57" s="67" t="s">
        <v>53</v>
      </c>
      <c r="B57" s="94">
        <f>ROUND(B34-B33,2)</f>
        <v>4.55</v>
      </c>
      <c r="C57" s="66">
        <f>ROUND(IF(ROUNDDOWN(D49,-2)=ROUNDUP(D49,-2),VLOOKUP(D49,Enthalpy,10),VLOOKUP(ROUNDDOWN(D49,-2),Enthalpy,10)+(D49-ROUNDDOWN(D49,-2))/(ROUNDUP(D49,-2)-ROUNDDOWN(D49,-2))*(VLOOKUP(ROUNDUP(D49,-2),Enthalpy,10)-VLOOKUP(ROUNDDOWN(D49,-2),Enthalpy,10))),0)</f>
        <v>7404</v>
      </c>
      <c r="D57" s="158">
        <f t="shared" si="2"/>
        <v>33688.199999999997</v>
      </c>
      <c r="E57" s="67"/>
      <c r="F57" s="67"/>
      <c r="G57" s="67"/>
      <c r="H57" s="67"/>
      <c r="I57" s="67"/>
      <c r="J57" s="67"/>
      <c r="K57" s="68"/>
      <c r="L57" s="71" t="s">
        <v>53</v>
      </c>
      <c r="M57" s="96">
        <f>ROUND(M34-M33,2)</f>
        <v>4.55</v>
      </c>
      <c r="N57" s="70">
        <f>IF(ROUNDDOWN(O49,-2)=ROUNDUP(O49,-2),VLOOKUP(O49,Enthalpy,10),VLOOKUP(ROUNDDOWN(O49,-2),Enthalpy,10)+(O49-ROUNDDOWN(O49,-2))/(ROUNDUP(O49,-2)-ROUNDDOWN(O49,-2))*(VLOOKUP(ROUNDUP(O49,-2),Enthalpy,10)-VLOOKUP(ROUNDDOWN(O49,-2),Enthalpy,10)))</f>
        <v>7404</v>
      </c>
      <c r="O57" s="161">
        <f t="shared" si="3"/>
        <v>33688.199999999997</v>
      </c>
      <c r="P57" s="71"/>
      <c r="Q57" s="71"/>
      <c r="R57" s="71"/>
      <c r="S57" s="71"/>
      <c r="T57" s="71"/>
      <c r="U57" s="71"/>
    </row>
    <row r="58" spans="1:21" x14ac:dyDescent="0.25">
      <c r="A58" s="67"/>
      <c r="B58" s="88">
        <f>SUM(B52:B57)</f>
        <v>1160.8</v>
      </c>
      <c r="C58" s="66"/>
      <c r="D58" s="150">
        <f>SUM(D52:D57)</f>
        <v>9138233.870000001</v>
      </c>
      <c r="E58" s="67"/>
      <c r="F58" s="67"/>
      <c r="G58" s="67"/>
      <c r="H58" s="67"/>
      <c r="I58" s="67"/>
      <c r="J58" s="67"/>
      <c r="K58" s="68"/>
      <c r="L58" s="71"/>
      <c r="M58" s="91">
        <f>SUM(M52:M57)</f>
        <v>1160.8</v>
      </c>
      <c r="N58" s="70"/>
      <c r="O58" s="154">
        <f>SUM(O52:O57)</f>
        <v>9138233.870000001</v>
      </c>
      <c r="P58" s="71"/>
      <c r="Q58" s="71"/>
      <c r="R58" s="71"/>
      <c r="S58" s="71"/>
      <c r="T58" s="71"/>
      <c r="U58" s="71"/>
    </row>
    <row r="59" spans="1:21" x14ac:dyDescent="0.25">
      <c r="A59" s="67"/>
      <c r="B59" s="66"/>
      <c r="C59" s="66"/>
      <c r="D59" s="67"/>
      <c r="E59" s="67"/>
      <c r="F59" s="67"/>
      <c r="G59" s="67"/>
      <c r="H59" s="67"/>
      <c r="I59" s="67"/>
      <c r="J59" s="67"/>
      <c r="K59" s="68"/>
      <c r="L59" s="71"/>
      <c r="M59" s="70"/>
      <c r="N59" s="70"/>
      <c r="O59" s="71"/>
      <c r="P59" s="71"/>
      <c r="Q59" s="71"/>
      <c r="R59" s="71"/>
      <c r="S59" s="71"/>
      <c r="T59" s="71"/>
      <c r="U59" s="71"/>
    </row>
    <row r="60" spans="1:21" x14ac:dyDescent="0.25">
      <c r="A60" s="275" t="s">
        <v>178</v>
      </c>
      <c r="B60" s="66"/>
      <c r="C60" s="66"/>
      <c r="D60" s="67"/>
      <c r="E60" s="67"/>
      <c r="F60" s="67"/>
      <c r="G60" s="67"/>
      <c r="H60" s="67"/>
      <c r="I60" s="67"/>
      <c r="J60" s="67"/>
      <c r="K60" s="68"/>
      <c r="L60" s="276" t="s">
        <v>178</v>
      </c>
      <c r="M60" s="70"/>
      <c r="N60" s="70"/>
      <c r="O60" s="71"/>
      <c r="P60" s="71"/>
      <c r="Q60" s="71"/>
      <c r="R60" s="71"/>
      <c r="S60" s="71"/>
      <c r="T60" s="71"/>
      <c r="U60" s="71"/>
    </row>
    <row r="61" spans="1:21" x14ac:dyDescent="0.25">
      <c r="A61" s="256" t="s">
        <v>179</v>
      </c>
      <c r="B61" s="66"/>
      <c r="C61" s="150">
        <f>D58</f>
        <v>9138233.870000001</v>
      </c>
      <c r="D61" s="67" t="s">
        <v>76</v>
      </c>
      <c r="E61" s="67"/>
      <c r="F61" s="67"/>
      <c r="G61" s="67"/>
      <c r="H61" s="67"/>
      <c r="I61" s="67"/>
      <c r="J61" s="67"/>
      <c r="K61" s="68"/>
      <c r="L61" s="277" t="s">
        <v>179</v>
      </c>
      <c r="M61" s="70"/>
      <c r="N61" s="154">
        <f>O58</f>
        <v>9138233.870000001</v>
      </c>
      <c r="O61" s="71" t="s">
        <v>76</v>
      </c>
      <c r="P61" s="71"/>
      <c r="Q61" s="71"/>
      <c r="R61" s="71"/>
      <c r="S61" s="71"/>
      <c r="T61" s="71"/>
      <c r="U61" s="71"/>
    </row>
    <row r="62" spans="1:21" x14ac:dyDescent="0.25">
      <c r="A62" s="256" t="s">
        <v>180</v>
      </c>
      <c r="B62" s="66"/>
      <c r="C62" s="150"/>
      <c r="D62" s="67"/>
      <c r="E62" s="67"/>
      <c r="F62" s="67"/>
      <c r="G62" s="67"/>
      <c r="H62" s="67"/>
      <c r="I62" s="67"/>
      <c r="J62" s="67"/>
      <c r="K62" s="68"/>
      <c r="L62" s="277" t="s">
        <v>180</v>
      </c>
      <c r="M62" s="70"/>
      <c r="N62" s="154"/>
      <c r="O62" s="71"/>
      <c r="P62" s="71"/>
      <c r="Q62" s="71"/>
      <c r="R62" s="71"/>
      <c r="S62" s="71"/>
      <c r="T62" s="71"/>
      <c r="U62" s="71"/>
    </row>
    <row r="63" spans="1:21" x14ac:dyDescent="0.25">
      <c r="A63" s="67"/>
      <c r="B63" s="75" t="str">
        <f>CONCATENATE("Feed @ ",D8)</f>
        <v>Feed @ 300</v>
      </c>
      <c r="C63" s="150">
        <f>D18</f>
        <v>2293690.2300000004</v>
      </c>
      <c r="D63" s="67" t="s">
        <v>76</v>
      </c>
      <c r="E63" s="67"/>
      <c r="F63" s="67"/>
      <c r="G63" s="67"/>
      <c r="H63" s="67"/>
      <c r="I63" s="67"/>
      <c r="J63" s="67"/>
      <c r="K63" s="68"/>
      <c r="L63" s="71"/>
      <c r="M63" s="77" t="str">
        <f>CONCATENATE("Feed @ ",O8)</f>
        <v>Feed @ 300</v>
      </c>
      <c r="N63" s="154">
        <f>O18</f>
        <v>2293690.2300000004</v>
      </c>
      <c r="O63" s="71" t="s">
        <v>76</v>
      </c>
      <c r="P63" s="71"/>
      <c r="Q63" s="71"/>
      <c r="R63" s="71"/>
      <c r="S63" s="71"/>
      <c r="T63" s="71"/>
      <c r="U63" s="71"/>
    </row>
    <row r="64" spans="1:21" x14ac:dyDescent="0.25">
      <c r="A64" s="67"/>
      <c r="B64" s="75" t="str">
        <f>CONCATENATE("Air @ ",E37)</f>
        <v>Air @ 100</v>
      </c>
      <c r="C64" s="150">
        <f>E46</f>
        <v>32136.60943185605</v>
      </c>
      <c r="D64" s="67" t="s">
        <v>76</v>
      </c>
      <c r="E64" s="67"/>
      <c r="F64" s="67"/>
      <c r="G64" s="67"/>
      <c r="H64" s="67"/>
      <c r="I64" s="67"/>
      <c r="J64" s="67"/>
      <c r="K64" s="68"/>
      <c r="L64" s="71"/>
      <c r="M64" s="77" t="str">
        <f>CONCATENATE("Air @ ",P37)</f>
        <v>Air @ 100</v>
      </c>
      <c r="N64" s="154">
        <f>P46</f>
        <v>32136.60943185605</v>
      </c>
      <c r="O64" s="71" t="s">
        <v>76</v>
      </c>
      <c r="P64" s="71"/>
      <c r="Q64" s="71"/>
      <c r="R64" s="71"/>
      <c r="S64" s="71"/>
      <c r="T64" s="71"/>
      <c r="U64" s="71"/>
    </row>
    <row r="65" spans="1:21" ht="16.5" x14ac:dyDescent="0.3">
      <c r="A65" s="67"/>
      <c r="B65" s="75" t="s">
        <v>81</v>
      </c>
      <c r="C65" s="150">
        <f>(B39*-D23)</f>
        <v>864076</v>
      </c>
      <c r="D65" s="67" t="s">
        <v>76</v>
      </c>
      <c r="E65" s="67"/>
      <c r="F65" s="67"/>
      <c r="G65" s="67"/>
      <c r="H65" s="67"/>
      <c r="I65" s="67"/>
      <c r="J65" s="67"/>
      <c r="K65" s="68"/>
      <c r="L65" s="71"/>
      <c r="M65" s="77" t="s">
        <v>81</v>
      </c>
      <c r="N65" s="154">
        <f>M39*-O23</f>
        <v>864076</v>
      </c>
      <c r="O65" s="71" t="s">
        <v>76</v>
      </c>
      <c r="P65" s="71"/>
      <c r="Q65" s="71"/>
      <c r="R65" s="71"/>
      <c r="S65" s="71"/>
      <c r="T65" s="71"/>
      <c r="U65" s="71"/>
    </row>
    <row r="66" spans="1:21" ht="16.5" x14ac:dyDescent="0.3">
      <c r="A66" s="67"/>
      <c r="B66" s="278" t="s">
        <v>181</v>
      </c>
      <c r="C66" s="158">
        <f>(B44*-D25)</f>
        <v>448048</v>
      </c>
      <c r="D66" s="80" t="s">
        <v>76</v>
      </c>
      <c r="E66" s="67"/>
      <c r="F66" s="67"/>
      <c r="G66" s="67"/>
      <c r="H66" s="67"/>
      <c r="I66" s="67"/>
      <c r="J66" s="67"/>
      <c r="K66" s="68"/>
      <c r="L66" s="71"/>
      <c r="M66" s="279" t="s">
        <v>181</v>
      </c>
      <c r="N66" s="161">
        <f>M44*-O25</f>
        <v>448048</v>
      </c>
      <c r="O66" s="82" t="s">
        <v>76</v>
      </c>
      <c r="P66" s="71"/>
      <c r="Q66" s="71"/>
      <c r="R66" s="71"/>
      <c r="S66" s="71"/>
      <c r="T66" s="71"/>
      <c r="U66" s="71"/>
    </row>
    <row r="67" spans="1:21" x14ac:dyDescent="0.25">
      <c r="A67" s="67"/>
      <c r="B67" s="66"/>
      <c r="C67" s="150">
        <f>SUM(C63:C66)</f>
        <v>3637950.8394318563</v>
      </c>
      <c r="D67" s="67" t="s">
        <v>76</v>
      </c>
      <c r="E67" s="67"/>
      <c r="F67" s="67"/>
      <c r="G67" s="67"/>
      <c r="H67" s="67"/>
      <c r="I67" s="67"/>
      <c r="J67" s="67"/>
      <c r="K67" s="68"/>
      <c r="L67" s="71"/>
      <c r="M67" s="70"/>
      <c r="N67" s="154">
        <f>SUM(N63:N66)</f>
        <v>3637950.8394318563</v>
      </c>
      <c r="O67" s="71" t="s">
        <v>76</v>
      </c>
      <c r="P67" s="71"/>
      <c r="Q67" s="71"/>
      <c r="R67" s="71"/>
      <c r="S67" s="71"/>
      <c r="T67" s="71"/>
      <c r="U67" s="71"/>
    </row>
    <row r="68" spans="1:21" x14ac:dyDescent="0.25">
      <c r="A68" s="67"/>
      <c r="B68" s="75" t="s">
        <v>182</v>
      </c>
      <c r="C68" s="150">
        <f>C61-C67</f>
        <v>5500283.0305681452</v>
      </c>
      <c r="D68" s="67" t="s">
        <v>76</v>
      </c>
      <c r="E68" s="67"/>
      <c r="F68" s="67"/>
      <c r="G68" s="67"/>
      <c r="H68" s="67"/>
      <c r="I68" s="67"/>
      <c r="J68" s="67"/>
      <c r="K68" s="68"/>
      <c r="L68" s="71"/>
      <c r="M68" s="77" t="s">
        <v>182</v>
      </c>
      <c r="N68" s="154">
        <f>N61-N67</f>
        <v>5500283.0305681452</v>
      </c>
      <c r="O68" s="71" t="s">
        <v>76</v>
      </c>
      <c r="P68" s="71"/>
      <c r="Q68" s="71"/>
      <c r="R68" s="71"/>
      <c r="S68" s="71"/>
      <c r="T68" s="71"/>
      <c r="U68" s="71"/>
    </row>
    <row r="69" spans="1:21" x14ac:dyDescent="0.25">
      <c r="A69" s="67"/>
      <c r="B69" s="66"/>
      <c r="C69" s="66"/>
      <c r="D69" s="67"/>
      <c r="E69" s="67"/>
      <c r="F69" s="67"/>
      <c r="G69" s="67"/>
      <c r="H69" s="67"/>
      <c r="I69" s="67"/>
      <c r="J69" s="67"/>
      <c r="K69" s="68"/>
      <c r="L69" s="71"/>
      <c r="M69" s="70"/>
      <c r="N69" s="70"/>
      <c r="O69" s="71"/>
      <c r="P69" s="71"/>
      <c r="Q69" s="71"/>
      <c r="R69" s="71"/>
      <c r="S69" s="71"/>
      <c r="T69" s="71"/>
      <c r="U69" s="71"/>
    </row>
    <row r="70" spans="1:21" x14ac:dyDescent="0.25">
      <c r="A70" s="67"/>
      <c r="B70" s="66"/>
      <c r="C70" s="66"/>
      <c r="D70" s="67"/>
      <c r="E70" s="67"/>
      <c r="F70" s="67"/>
      <c r="G70" s="67"/>
      <c r="H70" s="67"/>
      <c r="I70" s="67"/>
      <c r="J70" s="67"/>
      <c r="K70" s="68"/>
      <c r="L70" s="71"/>
      <c r="M70" s="70"/>
      <c r="N70" s="70"/>
      <c r="O70" s="71"/>
      <c r="P70" s="71"/>
      <c r="Q70" s="71"/>
      <c r="R70" s="71"/>
      <c r="S70" s="71"/>
      <c r="T70" s="71"/>
      <c r="U70" s="71"/>
    </row>
    <row r="71" spans="1:21" x14ac:dyDescent="0.25">
      <c r="A71" s="67" t="s">
        <v>269</v>
      </c>
      <c r="B71" s="66"/>
      <c r="C71" s="66"/>
      <c r="D71" s="67"/>
      <c r="E71" s="67"/>
      <c r="F71" s="67">
        <v>10</v>
      </c>
      <c r="G71" s="67" t="s">
        <v>74</v>
      </c>
      <c r="H71" s="67"/>
      <c r="I71" s="67"/>
      <c r="J71" s="67"/>
      <c r="K71" s="68"/>
      <c r="L71" s="71" t="s">
        <v>183</v>
      </c>
      <c r="M71" s="70"/>
      <c r="N71" s="70"/>
      <c r="O71" s="71"/>
      <c r="P71" s="71"/>
      <c r="Q71" s="289">
        <v>10</v>
      </c>
      <c r="R71" s="71" t="s">
        <v>74</v>
      </c>
      <c r="S71" s="71"/>
      <c r="T71" s="71"/>
      <c r="U71" s="71"/>
    </row>
    <row r="72" spans="1:21" ht="16.5" x14ac:dyDescent="0.3">
      <c r="A72" s="67" t="s">
        <v>48</v>
      </c>
      <c r="B72" s="66"/>
      <c r="C72" s="67"/>
      <c r="D72" s="67"/>
      <c r="E72" s="67"/>
      <c r="F72" s="67"/>
      <c r="G72" s="66" t="s">
        <v>268</v>
      </c>
      <c r="H72" s="66"/>
      <c r="I72" s="66"/>
      <c r="J72" s="66"/>
      <c r="K72" s="68"/>
      <c r="L72" s="71" t="s">
        <v>48</v>
      </c>
      <c r="M72" s="70"/>
      <c r="N72" s="71"/>
      <c r="O72" s="71"/>
      <c r="P72" s="71"/>
      <c r="Q72" s="71"/>
      <c r="R72" s="70" t="s">
        <v>268</v>
      </c>
      <c r="S72" s="70"/>
      <c r="T72" s="70"/>
      <c r="U72" s="70"/>
    </row>
    <row r="73" spans="1:21" x14ac:dyDescent="0.25">
      <c r="A73" s="67"/>
      <c r="B73" s="67" t="s">
        <v>258</v>
      </c>
      <c r="C73" s="66" t="s">
        <v>1</v>
      </c>
      <c r="D73" s="280">
        <v>-345100</v>
      </c>
      <c r="E73" s="67" t="s">
        <v>84</v>
      </c>
      <c r="F73" s="67"/>
      <c r="G73" s="67"/>
      <c r="H73" s="67"/>
      <c r="I73" s="67"/>
      <c r="J73" s="67"/>
      <c r="K73" s="68"/>
      <c r="L73" s="71"/>
      <c r="M73" s="71" t="s">
        <v>258</v>
      </c>
      <c r="N73" s="70" t="s">
        <v>1</v>
      </c>
      <c r="O73" s="297">
        <v>-345100</v>
      </c>
      <c r="P73" s="71" t="s">
        <v>84</v>
      </c>
      <c r="Q73" s="71"/>
      <c r="R73" s="71"/>
      <c r="S73" s="71"/>
      <c r="T73" s="71"/>
      <c r="U73" s="71"/>
    </row>
    <row r="74" spans="1:21" x14ac:dyDescent="0.25">
      <c r="A74" s="67"/>
      <c r="B74" s="66"/>
      <c r="C74" s="66"/>
      <c r="D74" s="67"/>
      <c r="E74" s="67"/>
      <c r="F74" s="67"/>
      <c r="G74" s="67"/>
      <c r="H74" s="67"/>
      <c r="I74" s="67"/>
      <c r="J74" s="67"/>
      <c r="K74" s="68"/>
      <c r="L74" s="71"/>
      <c r="M74" s="70"/>
      <c r="N74" s="70"/>
      <c r="O74" s="71"/>
      <c r="P74" s="71"/>
      <c r="Q74" s="71"/>
      <c r="R74" s="71"/>
      <c r="S74" s="71"/>
      <c r="T74" s="71"/>
      <c r="U74" s="71"/>
    </row>
    <row r="75" spans="1:21" x14ac:dyDescent="0.25">
      <c r="A75" s="67"/>
      <c r="B75" s="244" t="s">
        <v>184</v>
      </c>
      <c r="C75" s="244"/>
      <c r="D75" s="244"/>
      <c r="E75" s="67"/>
      <c r="F75" s="67"/>
      <c r="G75" s="67"/>
      <c r="H75" s="67"/>
      <c r="I75" s="67"/>
      <c r="J75" s="67"/>
      <c r="K75" s="68"/>
      <c r="L75" s="71"/>
      <c r="M75" s="245" t="s">
        <v>184</v>
      </c>
      <c r="N75" s="245"/>
      <c r="O75" s="245"/>
      <c r="P75" s="71"/>
      <c r="Q75" s="71"/>
      <c r="R75" s="71"/>
      <c r="S75" s="71"/>
      <c r="T75" s="71"/>
      <c r="U75" s="71"/>
    </row>
    <row r="76" spans="1:21" x14ac:dyDescent="0.25">
      <c r="A76" s="67"/>
      <c r="B76" s="66"/>
      <c r="C76" s="116" t="s">
        <v>85</v>
      </c>
      <c r="D76" s="117">
        <f>E37</f>
        <v>100</v>
      </c>
      <c r="E76" s="67" t="s">
        <v>17</v>
      </c>
      <c r="F76" s="67"/>
      <c r="G76" s="67"/>
      <c r="H76" s="67"/>
      <c r="I76" s="67"/>
      <c r="J76" s="67"/>
      <c r="K76" s="68"/>
      <c r="L76" s="71"/>
      <c r="M76" s="70"/>
      <c r="N76" s="118" t="s">
        <v>85</v>
      </c>
      <c r="O76" s="97">
        <f>P37</f>
        <v>100</v>
      </c>
      <c r="P76" s="71" t="s">
        <v>17</v>
      </c>
      <c r="Q76" s="71"/>
      <c r="R76" s="71"/>
      <c r="S76" s="71"/>
      <c r="T76" s="71"/>
      <c r="U76" s="71"/>
    </row>
    <row r="77" spans="1:21" x14ac:dyDescent="0.25">
      <c r="A77" s="67"/>
      <c r="B77" s="117" t="s">
        <v>74</v>
      </c>
      <c r="C77" s="117" t="s">
        <v>75</v>
      </c>
      <c r="D77" s="117" t="s">
        <v>76</v>
      </c>
      <c r="E77" s="67"/>
      <c r="F77" s="67"/>
      <c r="G77" s="67"/>
      <c r="H77" s="67"/>
      <c r="I77" s="67"/>
      <c r="J77" s="67"/>
      <c r="K77" s="68"/>
      <c r="L77" s="71"/>
      <c r="M77" s="97" t="s">
        <v>74</v>
      </c>
      <c r="N77" s="97" t="s">
        <v>75</v>
      </c>
      <c r="O77" s="97" t="s">
        <v>76</v>
      </c>
      <c r="P77" s="71"/>
      <c r="Q77" s="71"/>
      <c r="R77" s="71"/>
      <c r="S77" s="71"/>
      <c r="T77" s="71"/>
      <c r="U77" s="71"/>
    </row>
    <row r="78" spans="1:21" ht="16.5" x14ac:dyDescent="0.3">
      <c r="A78" s="67" t="s">
        <v>185</v>
      </c>
      <c r="B78" s="66">
        <f>F71</f>
        <v>10</v>
      </c>
      <c r="C78" s="66">
        <f>(IF(ROUNDDOWN(D76,-2)=ROUNDUP(D76,-2),VLOOKUP(D76,EnthalpyData,2),VLOOKUP(ROUNDDOWN(D76,-2),EnthalpyData,2)+(D76-ROUNDDOWN(D76,-2))/(ROUNDUP(D76,-2)-ROUNDDOWN(D76,-2))*(VLOOKUP(ROUNDUP(D76,-2),EnthalpyData,2)-VLOOKUP(ROUNDDOWN(D76,-2),EnthalpyData,2))))</f>
        <v>567.70000000000005</v>
      </c>
      <c r="D78" s="150">
        <f>(B78*C78)</f>
        <v>5677</v>
      </c>
      <c r="E78" s="67"/>
      <c r="F78" s="67"/>
      <c r="G78" s="67"/>
      <c r="H78" s="67"/>
      <c r="I78" s="67"/>
      <c r="J78" s="67"/>
      <c r="K78" s="68"/>
      <c r="L78" s="71" t="s">
        <v>185</v>
      </c>
      <c r="M78" s="70">
        <f>Q71</f>
        <v>10</v>
      </c>
      <c r="N78" s="70">
        <f>IF(ROUNDDOWN(O76,-2)=ROUNDUP(O76,-2),VLOOKUP(O76,EnthalpyData,2),VLOOKUP(ROUNDDOWN(O76,-2),EnthalpyData,2)+(O76-ROUNDDOWN(O76,-2))/(ROUNDUP(O76,-2)-ROUNDDOWN(O76,-2))*(VLOOKUP(ROUNDUP(O76,-2),EnthalpyData,2)-VLOOKUP(ROUNDDOWN(O76,-2),EnthalpyData,2)))</f>
        <v>567.70000000000005</v>
      </c>
      <c r="O78" s="154">
        <f>M78*N78</f>
        <v>5677</v>
      </c>
      <c r="P78" s="71"/>
      <c r="Q78" s="71"/>
      <c r="R78" s="71"/>
      <c r="S78" s="71"/>
      <c r="T78" s="71"/>
      <c r="U78" s="71"/>
    </row>
    <row r="79" spans="1:21" ht="16.5" x14ac:dyDescent="0.3">
      <c r="A79" s="67" t="s">
        <v>186</v>
      </c>
      <c r="B79" s="66"/>
      <c r="C79" s="66"/>
      <c r="D79" s="150"/>
      <c r="E79" s="67"/>
      <c r="F79" s="67"/>
      <c r="G79" s="67"/>
      <c r="H79" s="67"/>
      <c r="I79" s="67"/>
      <c r="J79" s="67"/>
      <c r="K79" s="68"/>
      <c r="L79" s="71" t="s">
        <v>186</v>
      </c>
      <c r="M79" s="70"/>
      <c r="N79" s="70"/>
      <c r="O79" s="154"/>
      <c r="P79" s="71"/>
      <c r="Q79" s="71"/>
      <c r="R79" s="71"/>
      <c r="S79" s="71"/>
      <c r="T79" s="71"/>
      <c r="U79" s="71"/>
    </row>
    <row r="80" spans="1:21" ht="16.5" x14ac:dyDescent="0.3">
      <c r="A80" s="67" t="s">
        <v>53</v>
      </c>
      <c r="B80" s="66"/>
      <c r="C80" s="66"/>
      <c r="D80" s="150"/>
      <c r="E80" s="67"/>
      <c r="F80" s="67"/>
      <c r="G80" s="67"/>
      <c r="H80" s="67"/>
      <c r="I80" s="67"/>
      <c r="J80" s="67"/>
      <c r="K80" s="68"/>
      <c r="L80" s="71" t="s">
        <v>53</v>
      </c>
      <c r="M80" s="70"/>
      <c r="N80" s="70"/>
      <c r="O80" s="154"/>
      <c r="P80" s="71"/>
      <c r="Q80" s="71"/>
      <c r="R80" s="71"/>
      <c r="S80" s="71"/>
      <c r="T80" s="71"/>
      <c r="U80" s="71"/>
    </row>
    <row r="81" spans="1:21" ht="16.5" x14ac:dyDescent="0.3">
      <c r="A81" s="67" t="s">
        <v>52</v>
      </c>
      <c r="B81" s="66"/>
      <c r="C81" s="66"/>
      <c r="D81" s="150"/>
      <c r="E81" s="67"/>
      <c r="F81" s="67"/>
      <c r="G81" s="67"/>
      <c r="H81" s="67"/>
      <c r="I81" s="67"/>
      <c r="J81" s="67"/>
      <c r="K81" s="68"/>
      <c r="L81" s="71" t="s">
        <v>52</v>
      </c>
      <c r="M81" s="70"/>
      <c r="N81" s="70"/>
      <c r="O81" s="154"/>
      <c r="P81" s="71"/>
      <c r="Q81" s="71"/>
      <c r="R81" s="71"/>
      <c r="S81" s="71"/>
      <c r="T81" s="71"/>
      <c r="U81" s="71"/>
    </row>
    <row r="82" spans="1:21" ht="16.5" x14ac:dyDescent="0.3">
      <c r="A82" s="67" t="s">
        <v>44</v>
      </c>
      <c r="B82" s="117"/>
      <c r="C82" s="66"/>
      <c r="D82" s="158"/>
      <c r="E82" s="67"/>
      <c r="F82" s="67"/>
      <c r="G82" s="67"/>
      <c r="H82" s="67"/>
      <c r="I82" s="67"/>
      <c r="J82" s="67"/>
      <c r="K82" s="68"/>
      <c r="L82" s="71" t="s">
        <v>44</v>
      </c>
      <c r="M82" s="97"/>
      <c r="N82" s="70"/>
      <c r="O82" s="161"/>
      <c r="P82" s="71"/>
      <c r="Q82" s="71"/>
      <c r="R82" s="71"/>
      <c r="S82" s="71"/>
      <c r="T82" s="71"/>
      <c r="U82" s="71"/>
    </row>
    <row r="83" spans="1:21" x14ac:dyDescent="0.25">
      <c r="A83" s="67"/>
      <c r="B83" s="66">
        <f>B78</f>
        <v>10</v>
      </c>
      <c r="C83" s="66"/>
      <c r="D83" s="150">
        <f>D78</f>
        <v>5677</v>
      </c>
      <c r="E83" s="67"/>
      <c r="F83" s="67"/>
      <c r="G83" s="67"/>
      <c r="H83" s="67"/>
      <c r="I83" s="67"/>
      <c r="J83" s="67"/>
      <c r="K83" s="68"/>
      <c r="L83" s="71"/>
      <c r="M83" s="70">
        <f>M78</f>
        <v>10</v>
      </c>
      <c r="N83" s="70"/>
      <c r="O83" s="154">
        <f>O78</f>
        <v>5677</v>
      </c>
      <c r="P83" s="71"/>
      <c r="Q83" s="71"/>
      <c r="R83" s="71"/>
      <c r="S83" s="71"/>
      <c r="T83" s="71"/>
      <c r="U83" s="71"/>
    </row>
    <row r="84" spans="1:21" x14ac:dyDescent="0.25">
      <c r="A84" s="67"/>
      <c r="B84" s="66"/>
      <c r="C84" s="66"/>
      <c r="D84" s="67"/>
      <c r="E84" s="67"/>
      <c r="F84" s="67"/>
      <c r="G84" s="67"/>
      <c r="H84" s="67"/>
      <c r="I84" s="67"/>
      <c r="J84" s="67"/>
      <c r="K84" s="68"/>
      <c r="L84" s="71"/>
      <c r="M84" s="70"/>
      <c r="N84" s="70"/>
      <c r="O84" s="71"/>
      <c r="P84" s="71"/>
      <c r="Q84" s="71"/>
      <c r="R84" s="71"/>
      <c r="S84" s="71"/>
      <c r="T84" s="71"/>
      <c r="U84" s="71"/>
    </row>
    <row r="85" spans="1:21" x14ac:dyDescent="0.25">
      <c r="A85" s="67"/>
      <c r="B85" s="244" t="s">
        <v>175</v>
      </c>
      <c r="C85" s="244"/>
      <c r="D85" s="244"/>
      <c r="E85" s="67"/>
      <c r="F85" s="67"/>
      <c r="G85" s="67"/>
      <c r="H85" s="67"/>
      <c r="I85" s="67"/>
      <c r="J85" s="67"/>
      <c r="K85" s="68"/>
      <c r="L85" s="71"/>
      <c r="M85" s="245" t="s">
        <v>175</v>
      </c>
      <c r="N85" s="245"/>
      <c r="O85" s="245"/>
      <c r="P85" s="71"/>
      <c r="Q85" s="71"/>
      <c r="R85" s="71"/>
      <c r="S85" s="71"/>
      <c r="T85" s="71"/>
      <c r="U85" s="71"/>
    </row>
    <row r="86" spans="1:21" x14ac:dyDescent="0.25">
      <c r="A86" s="67"/>
      <c r="B86" s="66"/>
      <c r="C86" s="116" t="s">
        <v>85</v>
      </c>
      <c r="D86" s="117">
        <f>D76</f>
        <v>100</v>
      </c>
      <c r="E86" s="67" t="s">
        <v>17</v>
      </c>
      <c r="F86" s="67"/>
      <c r="G86" s="67"/>
      <c r="H86" s="67"/>
      <c r="I86" s="67"/>
      <c r="J86" s="67"/>
      <c r="K86" s="68"/>
      <c r="L86" s="71"/>
      <c r="M86" s="70"/>
      <c r="N86" s="118" t="s">
        <v>85</v>
      </c>
      <c r="O86" s="97">
        <f>O76</f>
        <v>100</v>
      </c>
      <c r="P86" s="71" t="s">
        <v>17</v>
      </c>
      <c r="Q86" s="71"/>
      <c r="R86" s="71"/>
      <c r="S86" s="71"/>
      <c r="T86" s="71"/>
      <c r="U86" s="71"/>
    </row>
    <row r="87" spans="1:21" x14ac:dyDescent="0.25">
      <c r="A87" s="67"/>
      <c r="B87" s="117" t="s">
        <v>74</v>
      </c>
      <c r="C87" s="117" t="s">
        <v>75</v>
      </c>
      <c r="D87" s="117" t="s">
        <v>76</v>
      </c>
      <c r="E87" s="67"/>
      <c r="F87" s="67"/>
      <c r="G87" s="67"/>
      <c r="H87" s="67"/>
      <c r="I87" s="67"/>
      <c r="J87" s="67"/>
      <c r="K87" s="68"/>
      <c r="L87" s="71"/>
      <c r="M87" s="97" t="s">
        <v>74</v>
      </c>
      <c r="N87" s="97" t="s">
        <v>75</v>
      </c>
      <c r="O87" s="97" t="s">
        <v>76</v>
      </c>
      <c r="P87" s="71"/>
      <c r="Q87" s="71"/>
      <c r="R87" s="71"/>
      <c r="S87" s="71"/>
      <c r="T87" s="71"/>
      <c r="U87" s="71"/>
    </row>
    <row r="88" spans="1:21" ht="16.5" x14ac:dyDescent="0.3">
      <c r="A88" s="67" t="s">
        <v>185</v>
      </c>
      <c r="B88" s="66"/>
      <c r="C88" s="66"/>
      <c r="D88" s="67"/>
      <c r="E88" s="67"/>
      <c r="F88" s="67"/>
      <c r="G88" s="67"/>
      <c r="H88" s="67"/>
      <c r="I88" s="67"/>
      <c r="J88" s="67"/>
      <c r="K88" s="68"/>
      <c r="L88" s="71" t="s">
        <v>185</v>
      </c>
      <c r="M88" s="70"/>
      <c r="N88" s="70"/>
      <c r="O88" s="71"/>
      <c r="P88" s="71"/>
      <c r="Q88" s="71"/>
      <c r="R88" s="71"/>
      <c r="S88" s="71"/>
      <c r="T88" s="71"/>
      <c r="U88" s="71"/>
    </row>
    <row r="89" spans="1:21" ht="16.5" x14ac:dyDescent="0.3">
      <c r="A89" s="67" t="s">
        <v>186</v>
      </c>
      <c r="B89" s="66"/>
      <c r="C89" s="66"/>
      <c r="D89" s="67"/>
      <c r="E89" s="67"/>
      <c r="F89" s="67"/>
      <c r="G89" s="67"/>
      <c r="H89" s="67"/>
      <c r="I89" s="67"/>
      <c r="J89" s="67"/>
      <c r="K89" s="68"/>
      <c r="L89" s="71" t="s">
        <v>186</v>
      </c>
      <c r="M89" s="70"/>
      <c r="N89" s="70"/>
      <c r="O89" s="71"/>
      <c r="P89" s="71"/>
      <c r="Q89" s="71"/>
      <c r="R89" s="71"/>
      <c r="S89" s="71"/>
      <c r="T89" s="71"/>
      <c r="U89" s="71"/>
    </row>
    <row r="90" spans="1:21" ht="16.5" x14ac:dyDescent="0.3">
      <c r="A90" s="67" t="s">
        <v>53</v>
      </c>
      <c r="B90" s="66">
        <f>2*(1+C20)*B78</f>
        <v>30</v>
      </c>
      <c r="C90" s="66">
        <f>D45</f>
        <v>492.8</v>
      </c>
      <c r="D90" s="150">
        <f>(B90*C90)</f>
        <v>14784</v>
      </c>
      <c r="E90" s="67"/>
      <c r="F90" s="67"/>
      <c r="G90" s="67"/>
      <c r="H90" s="67"/>
      <c r="I90" s="67"/>
      <c r="J90" s="67"/>
      <c r="K90" s="68"/>
      <c r="L90" s="71" t="s">
        <v>53</v>
      </c>
      <c r="M90" s="70">
        <f>2*(1+N20)*M78</f>
        <v>30</v>
      </c>
      <c r="N90" s="70">
        <f>O45</f>
        <v>492.8</v>
      </c>
      <c r="O90" s="154">
        <f>M90*N90</f>
        <v>14784</v>
      </c>
      <c r="P90" s="71"/>
      <c r="Q90" s="71"/>
      <c r="R90" s="71"/>
      <c r="S90" s="71"/>
      <c r="T90" s="71"/>
      <c r="U90" s="71"/>
    </row>
    <row r="91" spans="1:21" ht="16.5" x14ac:dyDescent="0.3">
      <c r="A91" s="67" t="s">
        <v>52</v>
      </c>
      <c r="B91" s="88">
        <f>ROUND((78.993/21.007) *B90,2)</f>
        <v>112.81</v>
      </c>
      <c r="C91" s="66">
        <f>D43</f>
        <v>474.1</v>
      </c>
      <c r="D91" s="150">
        <f t="shared" ref="D91:D92" si="4">(B91*C91)</f>
        <v>53483.221000000005</v>
      </c>
      <c r="E91" s="67"/>
      <c r="F91" s="67"/>
      <c r="G91" s="67"/>
      <c r="H91" s="67"/>
      <c r="I91" s="67"/>
      <c r="J91" s="67"/>
      <c r="K91" s="68"/>
      <c r="L91" s="71" t="s">
        <v>52</v>
      </c>
      <c r="M91" s="91">
        <f>(78.993/21.007) *M90</f>
        <v>112.80953967725043</v>
      </c>
      <c r="N91" s="70">
        <f>O43</f>
        <v>474.1</v>
      </c>
      <c r="O91" s="154">
        <f t="shared" ref="O91:O92" si="5">M91*N91</f>
        <v>53483.002760984433</v>
      </c>
      <c r="P91" s="71"/>
      <c r="Q91" s="71"/>
      <c r="R91" s="71"/>
      <c r="S91" s="71"/>
      <c r="T91" s="71"/>
      <c r="U91" s="71"/>
    </row>
    <row r="92" spans="1:21" ht="16.5" x14ac:dyDescent="0.3">
      <c r="A92" s="67" t="s">
        <v>44</v>
      </c>
      <c r="B92" s="94">
        <f>ROUND((B90+B91) * 'Example 22-1 Conditions'!G8,2)</f>
        <v>4.24</v>
      </c>
      <c r="C92" s="66">
        <f>D41</f>
        <v>557.1</v>
      </c>
      <c r="D92" s="158">
        <f t="shared" si="4"/>
        <v>2362.1040000000003</v>
      </c>
      <c r="E92" s="67"/>
      <c r="F92" s="67"/>
      <c r="G92" s="67"/>
      <c r="H92" s="67"/>
      <c r="I92" s="67"/>
      <c r="J92" s="67"/>
      <c r="K92" s="68"/>
      <c r="L92" s="71" t="s">
        <v>44</v>
      </c>
      <c r="M92" s="96">
        <f>(M90+M91) * 'Example 22-1 Conditions'!R8</f>
        <v>4.2414433284143378</v>
      </c>
      <c r="N92" s="70">
        <f>O41</f>
        <v>557.1</v>
      </c>
      <c r="O92" s="161">
        <f t="shared" si="5"/>
        <v>2362.9080782596275</v>
      </c>
      <c r="P92" s="71"/>
      <c r="Q92" s="71"/>
      <c r="R92" s="71"/>
      <c r="S92" s="71"/>
      <c r="T92" s="71"/>
      <c r="U92" s="71"/>
    </row>
    <row r="93" spans="1:21" x14ac:dyDescent="0.25">
      <c r="A93" s="67"/>
      <c r="B93" s="88">
        <f>SUM(B90:B92)</f>
        <v>147.05000000000001</v>
      </c>
      <c r="C93" s="66"/>
      <c r="D93" s="150">
        <f>SUM(D90:D92)</f>
        <v>70629.325000000012</v>
      </c>
      <c r="E93" s="67"/>
      <c r="F93" s="67"/>
      <c r="G93" s="67"/>
      <c r="H93" s="67"/>
      <c r="I93" s="67"/>
      <c r="J93" s="67"/>
      <c r="K93" s="68"/>
      <c r="L93" s="71"/>
      <c r="M93" s="91">
        <f>SUM(M90:M92)</f>
        <v>147.05098300566476</v>
      </c>
      <c r="N93" s="70"/>
      <c r="O93" s="154">
        <f>SUM(O90:O92)</f>
        <v>70629.910839244068</v>
      </c>
      <c r="P93" s="71"/>
      <c r="Q93" s="71"/>
      <c r="R93" s="71"/>
      <c r="S93" s="71"/>
      <c r="T93" s="71"/>
      <c r="U93" s="71"/>
    </row>
    <row r="94" spans="1:21" x14ac:dyDescent="0.25">
      <c r="A94" s="67"/>
      <c r="B94" s="66"/>
      <c r="C94" s="66"/>
      <c r="D94" s="67"/>
      <c r="E94" s="67"/>
      <c r="F94" s="67"/>
      <c r="G94" s="67"/>
      <c r="H94" s="67"/>
      <c r="I94" s="67"/>
      <c r="J94" s="67"/>
      <c r="K94" s="68"/>
      <c r="L94" s="71"/>
      <c r="M94" s="70"/>
      <c r="N94" s="70"/>
      <c r="O94" s="71"/>
      <c r="P94" s="71"/>
      <c r="Q94" s="71"/>
      <c r="R94" s="71"/>
      <c r="S94" s="71"/>
      <c r="T94" s="71"/>
      <c r="U94" s="71"/>
    </row>
    <row r="95" spans="1:21" x14ac:dyDescent="0.25">
      <c r="A95" s="67"/>
      <c r="B95" s="244" t="s">
        <v>187</v>
      </c>
      <c r="C95" s="244"/>
      <c r="D95" s="244"/>
      <c r="E95" s="67"/>
      <c r="F95" s="67"/>
      <c r="G95" s="67"/>
      <c r="H95" s="67"/>
      <c r="I95" s="67"/>
      <c r="J95" s="67"/>
      <c r="K95" s="68"/>
      <c r="L95" s="71"/>
      <c r="M95" s="245" t="s">
        <v>187</v>
      </c>
      <c r="N95" s="245"/>
      <c r="O95" s="245"/>
      <c r="P95" s="71"/>
      <c r="Q95" s="71"/>
      <c r="R95" s="71"/>
      <c r="S95" s="71"/>
      <c r="T95" s="71"/>
      <c r="U95" s="71"/>
    </row>
    <row r="96" spans="1:21" x14ac:dyDescent="0.25">
      <c r="A96" s="67"/>
      <c r="B96" s="66"/>
      <c r="C96" s="143" t="s">
        <v>85</v>
      </c>
      <c r="D96" s="269">
        <f>E21</f>
        <v>1000</v>
      </c>
      <c r="E96" s="67" t="s">
        <v>17</v>
      </c>
      <c r="F96" s="67"/>
      <c r="G96" s="67"/>
      <c r="H96" s="67"/>
      <c r="I96" s="67"/>
      <c r="J96" s="67"/>
      <c r="K96" s="68"/>
      <c r="L96" s="71"/>
      <c r="M96" s="70"/>
      <c r="N96" s="271" t="s">
        <v>85</v>
      </c>
      <c r="O96" s="272">
        <f>P21</f>
        <v>1000</v>
      </c>
      <c r="P96" s="71" t="s">
        <v>17</v>
      </c>
      <c r="Q96" s="71"/>
      <c r="R96" s="71"/>
      <c r="S96" s="71"/>
      <c r="T96" s="71"/>
      <c r="U96" s="71"/>
    </row>
    <row r="97" spans="1:21" x14ac:dyDescent="0.25">
      <c r="A97" s="67"/>
      <c r="B97" s="117" t="s">
        <v>74</v>
      </c>
      <c r="C97" s="117" t="s">
        <v>75</v>
      </c>
      <c r="D97" s="117" t="s">
        <v>76</v>
      </c>
      <c r="E97" s="67"/>
      <c r="F97" s="67"/>
      <c r="G97" s="67"/>
      <c r="H97" s="67"/>
      <c r="I97" s="67"/>
      <c r="J97" s="67"/>
      <c r="K97" s="68"/>
      <c r="L97" s="71"/>
      <c r="M97" s="97" t="s">
        <v>74</v>
      </c>
      <c r="N97" s="97" t="s">
        <v>75</v>
      </c>
      <c r="O97" s="97" t="s">
        <v>76</v>
      </c>
      <c r="P97" s="71"/>
      <c r="Q97" s="71"/>
      <c r="R97" s="71"/>
      <c r="S97" s="71"/>
      <c r="T97" s="71"/>
      <c r="U97" s="71"/>
    </row>
    <row r="98" spans="1:21" ht="16.5" x14ac:dyDescent="0.3">
      <c r="A98" s="67" t="s">
        <v>185</v>
      </c>
      <c r="B98" s="66"/>
      <c r="C98" s="66"/>
      <c r="D98" s="150"/>
      <c r="E98" s="67"/>
      <c r="F98" s="67"/>
      <c r="G98" s="67"/>
      <c r="H98" s="67"/>
      <c r="I98" s="67"/>
      <c r="J98" s="67"/>
      <c r="K98" s="68"/>
      <c r="L98" s="71" t="s">
        <v>185</v>
      </c>
      <c r="M98" s="70"/>
      <c r="N98" s="70"/>
      <c r="O98" s="154"/>
      <c r="P98" s="71"/>
      <c r="Q98" s="71"/>
      <c r="R98" s="71"/>
      <c r="S98" s="71"/>
      <c r="T98" s="71"/>
      <c r="U98" s="71"/>
    </row>
    <row r="99" spans="1:21" ht="16.5" x14ac:dyDescent="0.3">
      <c r="A99" s="67" t="s">
        <v>186</v>
      </c>
      <c r="B99" s="66">
        <f>B78</f>
        <v>10</v>
      </c>
      <c r="C99" s="66">
        <f>C52</f>
        <v>10430</v>
      </c>
      <c r="D99" s="150">
        <f>(B99*C99)</f>
        <v>104300</v>
      </c>
      <c r="E99" s="67"/>
      <c r="F99" s="67"/>
      <c r="G99" s="67"/>
      <c r="H99" s="67"/>
      <c r="I99" s="67"/>
      <c r="J99" s="67"/>
      <c r="K99" s="68"/>
      <c r="L99" s="71" t="s">
        <v>186</v>
      </c>
      <c r="M99" s="70">
        <f>M78</f>
        <v>10</v>
      </c>
      <c r="N99" s="70">
        <f>N52</f>
        <v>10430</v>
      </c>
      <c r="O99" s="154">
        <f>ROUND(M99*N99,-1)</f>
        <v>104300</v>
      </c>
      <c r="P99" s="71"/>
      <c r="Q99" s="71"/>
      <c r="R99" s="71"/>
      <c r="S99" s="71"/>
      <c r="T99" s="71"/>
      <c r="U99" s="71"/>
    </row>
    <row r="100" spans="1:21" ht="16.5" x14ac:dyDescent="0.3">
      <c r="A100" s="67" t="s">
        <v>53</v>
      </c>
      <c r="B100" s="66">
        <f>B90-2*B78</f>
        <v>10</v>
      </c>
      <c r="C100" s="66">
        <f>C57</f>
        <v>7404</v>
      </c>
      <c r="D100" s="150">
        <f t="shared" ref="D100:D102" si="6">(B100*C100)</f>
        <v>74040</v>
      </c>
      <c r="E100" s="67"/>
      <c r="F100" s="67"/>
      <c r="G100" s="67"/>
      <c r="H100" s="67"/>
      <c r="I100" s="67"/>
      <c r="J100" s="67"/>
      <c r="K100" s="68"/>
      <c r="L100" s="71" t="s">
        <v>53</v>
      </c>
      <c r="M100" s="70">
        <f>M90-2*M78</f>
        <v>10</v>
      </c>
      <c r="N100" s="70">
        <f>N57</f>
        <v>7404</v>
      </c>
      <c r="O100" s="154">
        <f>ROUND(M100*N100,-1)</f>
        <v>74040</v>
      </c>
      <c r="P100" s="71"/>
      <c r="Q100" s="71"/>
      <c r="R100" s="71"/>
      <c r="S100" s="71"/>
      <c r="T100" s="71"/>
      <c r="U100" s="71"/>
    </row>
    <row r="101" spans="1:21" ht="16.5" x14ac:dyDescent="0.3">
      <c r="A101" s="67" t="s">
        <v>52</v>
      </c>
      <c r="B101" s="88">
        <f>B91</f>
        <v>112.81</v>
      </c>
      <c r="C101" s="66">
        <f>C55</f>
        <v>6932</v>
      </c>
      <c r="D101" s="150">
        <f t="shared" si="6"/>
        <v>781998.92</v>
      </c>
      <c r="E101" s="67"/>
      <c r="F101" s="67"/>
      <c r="G101" s="67"/>
      <c r="H101" s="67"/>
      <c r="I101" s="67"/>
      <c r="J101" s="67"/>
      <c r="K101" s="68"/>
      <c r="L101" s="71" t="s">
        <v>52</v>
      </c>
      <c r="M101" s="91">
        <f>M91</f>
        <v>112.80953967725043</v>
      </c>
      <c r="N101" s="70">
        <f>N55</f>
        <v>6932</v>
      </c>
      <c r="O101" s="154">
        <f>ROUND(M101*N101,-1)</f>
        <v>782000</v>
      </c>
      <c r="P101" s="71"/>
      <c r="Q101" s="71"/>
      <c r="R101" s="71"/>
      <c r="S101" s="71"/>
      <c r="T101" s="71"/>
      <c r="U101" s="71"/>
    </row>
    <row r="102" spans="1:21" ht="16.5" x14ac:dyDescent="0.3">
      <c r="A102" s="67" t="s">
        <v>44</v>
      </c>
      <c r="B102" s="94">
        <f>ROUND(B92+2*B78,2)</f>
        <v>24.24</v>
      </c>
      <c r="C102" s="66">
        <f>C53</f>
        <v>8333</v>
      </c>
      <c r="D102" s="158">
        <f t="shared" si="6"/>
        <v>201991.91999999998</v>
      </c>
      <c r="E102" s="67"/>
      <c r="F102" s="67"/>
      <c r="G102" s="67"/>
      <c r="H102" s="67"/>
      <c r="I102" s="67"/>
      <c r="J102" s="67"/>
      <c r="K102" s="68"/>
      <c r="L102" s="71" t="s">
        <v>44</v>
      </c>
      <c r="M102" s="96">
        <f>M92+2*M78</f>
        <v>24.241443328414338</v>
      </c>
      <c r="N102" s="70">
        <f>N53</f>
        <v>8333</v>
      </c>
      <c r="O102" s="161">
        <f>ROUND(M102*N102,-1)</f>
        <v>202000</v>
      </c>
      <c r="P102" s="71"/>
      <c r="Q102" s="71"/>
      <c r="R102" s="71"/>
      <c r="S102" s="71"/>
      <c r="T102" s="71"/>
      <c r="U102" s="71"/>
    </row>
    <row r="103" spans="1:21" x14ac:dyDescent="0.25">
      <c r="A103" s="67"/>
      <c r="B103" s="66">
        <f>SUM(B99:B102)</f>
        <v>157.05000000000001</v>
      </c>
      <c r="C103" s="66"/>
      <c r="D103" s="150">
        <f>SUM(D99:D102)</f>
        <v>1162330.8400000001</v>
      </c>
      <c r="E103" s="67"/>
      <c r="F103" s="67"/>
      <c r="G103" s="67"/>
      <c r="H103" s="67"/>
      <c r="I103" s="67"/>
      <c r="J103" s="67"/>
      <c r="K103" s="68"/>
      <c r="L103" s="71"/>
      <c r="M103" s="91">
        <f>SUM(M99:M102)</f>
        <v>157.05098300566476</v>
      </c>
      <c r="N103" s="70"/>
      <c r="O103" s="154">
        <f>SUM(O99:O102)</f>
        <v>1162340</v>
      </c>
      <c r="P103" s="71"/>
      <c r="Q103" s="71"/>
      <c r="R103" s="71"/>
      <c r="S103" s="71"/>
      <c r="T103" s="71"/>
      <c r="U103" s="71"/>
    </row>
    <row r="104" spans="1:21" x14ac:dyDescent="0.25">
      <c r="A104" s="67"/>
      <c r="B104" s="66"/>
      <c r="C104" s="66"/>
      <c r="D104" s="67"/>
      <c r="E104" s="67"/>
      <c r="F104" s="67"/>
      <c r="G104" s="67"/>
      <c r="H104" s="67"/>
      <c r="I104" s="67"/>
      <c r="J104" s="67"/>
      <c r="K104" s="68"/>
      <c r="L104" s="71"/>
      <c r="M104" s="70"/>
      <c r="N104" s="70"/>
      <c r="O104" s="71"/>
      <c r="P104" s="71"/>
      <c r="Q104" s="71"/>
      <c r="R104" s="71"/>
      <c r="S104" s="71"/>
      <c r="T104" s="71"/>
      <c r="U104" s="71"/>
    </row>
    <row r="105" spans="1:21" x14ac:dyDescent="0.25">
      <c r="A105" s="275" t="s">
        <v>178</v>
      </c>
      <c r="B105" s="66"/>
      <c r="C105" s="66"/>
      <c r="D105" s="67"/>
      <c r="E105" s="67"/>
      <c r="F105" s="67"/>
      <c r="G105" s="67"/>
      <c r="H105" s="67"/>
      <c r="I105" s="67"/>
      <c r="J105" s="67"/>
      <c r="K105" s="68"/>
      <c r="L105" s="276" t="s">
        <v>178</v>
      </c>
      <c r="M105" s="70"/>
      <c r="N105" s="70"/>
      <c r="O105" s="71"/>
      <c r="P105" s="71"/>
      <c r="Q105" s="71"/>
      <c r="R105" s="71"/>
      <c r="S105" s="71"/>
      <c r="T105" s="71"/>
      <c r="U105" s="71"/>
    </row>
    <row r="106" spans="1:21" x14ac:dyDescent="0.25">
      <c r="A106" s="256" t="s">
        <v>180</v>
      </c>
      <c r="B106" s="66"/>
      <c r="C106" s="66"/>
      <c r="D106" s="67"/>
      <c r="E106" s="67"/>
      <c r="F106" s="67"/>
      <c r="G106" s="67"/>
      <c r="H106" s="67"/>
      <c r="I106" s="67"/>
      <c r="J106" s="67"/>
      <c r="K106" s="68"/>
      <c r="L106" s="277" t="s">
        <v>180</v>
      </c>
      <c r="M106" s="70"/>
      <c r="N106" s="70"/>
      <c r="O106" s="71"/>
      <c r="P106" s="71"/>
      <c r="Q106" s="71"/>
      <c r="R106" s="71"/>
      <c r="S106" s="71"/>
      <c r="T106" s="71"/>
      <c r="U106" s="71"/>
    </row>
    <row r="107" spans="1:21" x14ac:dyDescent="0.25">
      <c r="A107" s="67"/>
      <c r="B107" s="75" t="s">
        <v>184</v>
      </c>
      <c r="C107" s="73">
        <f>D83</f>
        <v>5677</v>
      </c>
      <c r="D107" s="67" t="s">
        <v>76</v>
      </c>
      <c r="E107" s="67"/>
      <c r="F107" s="67"/>
      <c r="G107" s="67"/>
      <c r="H107" s="67"/>
      <c r="I107" s="67"/>
      <c r="J107" s="67"/>
      <c r="K107" s="68"/>
      <c r="L107" s="71"/>
      <c r="M107" s="77" t="s">
        <v>184</v>
      </c>
      <c r="N107" s="74">
        <f>O83</f>
        <v>5677</v>
      </c>
      <c r="O107" s="71" t="s">
        <v>76</v>
      </c>
      <c r="P107" s="71"/>
      <c r="Q107" s="71"/>
      <c r="R107" s="71"/>
      <c r="S107" s="71"/>
      <c r="T107" s="71"/>
      <c r="U107" s="71"/>
    </row>
    <row r="108" spans="1:21" x14ac:dyDescent="0.25">
      <c r="A108" s="67"/>
      <c r="B108" s="75" t="s">
        <v>175</v>
      </c>
      <c r="C108" s="73">
        <f>D93</f>
        <v>70629.325000000012</v>
      </c>
      <c r="D108" s="67" t="s">
        <v>76</v>
      </c>
      <c r="E108" s="67"/>
      <c r="F108" s="67"/>
      <c r="G108" s="67"/>
      <c r="H108" s="67"/>
      <c r="I108" s="67"/>
      <c r="J108" s="67"/>
      <c r="K108" s="68"/>
      <c r="L108" s="71"/>
      <c r="M108" s="77" t="s">
        <v>175</v>
      </c>
      <c r="N108" s="74">
        <f>O93</f>
        <v>70629.910839244068</v>
      </c>
      <c r="O108" s="71" t="s">
        <v>76</v>
      </c>
      <c r="P108" s="71"/>
      <c r="Q108" s="71"/>
      <c r="R108" s="71"/>
      <c r="S108" s="71"/>
      <c r="T108" s="71"/>
      <c r="U108" s="71"/>
    </row>
    <row r="109" spans="1:21" ht="16.5" x14ac:dyDescent="0.3">
      <c r="A109" s="67"/>
      <c r="B109" s="75" t="s">
        <v>188</v>
      </c>
      <c r="C109" s="171">
        <f>B78*-D73</f>
        <v>3451000</v>
      </c>
      <c r="D109" s="80" t="s">
        <v>76</v>
      </c>
      <c r="E109" s="67"/>
      <c r="F109" s="67"/>
      <c r="G109" s="67"/>
      <c r="H109" s="67"/>
      <c r="I109" s="67"/>
      <c r="J109" s="67"/>
      <c r="K109" s="68"/>
      <c r="L109" s="71"/>
      <c r="M109" s="77" t="s">
        <v>188</v>
      </c>
      <c r="N109" s="173">
        <f>M78*-O73</f>
        <v>3451000</v>
      </c>
      <c r="O109" s="82" t="s">
        <v>76</v>
      </c>
      <c r="P109" s="71"/>
      <c r="Q109" s="71"/>
      <c r="R109" s="71"/>
      <c r="S109" s="71"/>
      <c r="T109" s="71"/>
      <c r="U109" s="71"/>
    </row>
    <row r="110" spans="1:21" x14ac:dyDescent="0.25">
      <c r="A110" s="67"/>
      <c r="B110" s="66"/>
      <c r="C110" s="73">
        <f>SUM(C107:C109)</f>
        <v>3527306.3250000002</v>
      </c>
      <c r="D110" s="67" t="s">
        <v>76</v>
      </c>
      <c r="E110" s="67"/>
      <c r="F110" s="67"/>
      <c r="G110" s="67"/>
      <c r="H110" s="67"/>
      <c r="I110" s="67"/>
      <c r="J110" s="67"/>
      <c r="K110" s="68"/>
      <c r="L110" s="71"/>
      <c r="M110" s="70"/>
      <c r="N110" s="74">
        <f>SUM(N107:N109)</f>
        <v>3527306.9108392443</v>
      </c>
      <c r="O110" s="71" t="s">
        <v>76</v>
      </c>
      <c r="P110" s="71"/>
      <c r="Q110" s="71"/>
      <c r="R110" s="71"/>
      <c r="S110" s="71"/>
      <c r="T110" s="71"/>
      <c r="U110" s="71"/>
    </row>
    <row r="111" spans="1:21" x14ac:dyDescent="0.25">
      <c r="A111" s="256" t="s">
        <v>179</v>
      </c>
      <c r="B111" s="66"/>
      <c r="C111" s="171">
        <f>D103</f>
        <v>1162330.8400000001</v>
      </c>
      <c r="D111" s="80" t="s">
        <v>76</v>
      </c>
      <c r="E111" s="67"/>
      <c r="F111" s="67"/>
      <c r="G111" s="67"/>
      <c r="H111" s="67"/>
      <c r="I111" s="67"/>
      <c r="J111" s="67"/>
      <c r="K111" s="68"/>
      <c r="L111" s="277" t="s">
        <v>179</v>
      </c>
      <c r="M111" s="70"/>
      <c r="N111" s="173">
        <f>O103</f>
        <v>1162340</v>
      </c>
      <c r="O111" s="82" t="s">
        <v>76</v>
      </c>
      <c r="P111" s="71"/>
      <c r="Q111" s="71"/>
      <c r="R111" s="71"/>
      <c r="S111" s="71"/>
      <c r="T111" s="71"/>
      <c r="U111" s="71"/>
    </row>
    <row r="112" spans="1:21" x14ac:dyDescent="0.25">
      <c r="A112" s="67"/>
      <c r="B112" s="75" t="s">
        <v>189</v>
      </c>
      <c r="C112" s="73">
        <f>C110-C111</f>
        <v>2364975.4850000003</v>
      </c>
      <c r="D112" s="67" t="s">
        <v>76</v>
      </c>
      <c r="E112" s="67"/>
      <c r="F112" s="67"/>
      <c r="G112" s="67"/>
      <c r="H112" s="67"/>
      <c r="I112" s="67"/>
      <c r="J112" s="67"/>
      <c r="K112" s="68"/>
      <c r="L112" s="71"/>
      <c r="M112" s="77" t="s">
        <v>189</v>
      </c>
      <c r="N112" s="74">
        <f>N110-N111</f>
        <v>2364966.9108392443</v>
      </c>
      <c r="O112" s="71" t="s">
        <v>76</v>
      </c>
      <c r="P112" s="71"/>
      <c r="Q112" s="71"/>
      <c r="R112" s="71"/>
      <c r="S112" s="71"/>
      <c r="T112" s="71"/>
      <c r="U112" s="71"/>
    </row>
    <row r="113" spans="1:21" x14ac:dyDescent="0.25">
      <c r="A113" s="67"/>
      <c r="B113" s="66"/>
      <c r="C113" s="66"/>
      <c r="D113" s="67"/>
      <c r="E113" s="67"/>
      <c r="F113" s="67"/>
      <c r="G113" s="67"/>
      <c r="H113" s="67"/>
      <c r="I113" s="67"/>
      <c r="J113" s="67"/>
      <c r="K113" s="68"/>
      <c r="L113" s="71"/>
      <c r="M113" s="70"/>
      <c r="N113" s="70"/>
      <c r="O113" s="71"/>
      <c r="P113" s="71"/>
      <c r="Q113" s="71"/>
      <c r="R113" s="71"/>
      <c r="S113" s="71"/>
      <c r="T113" s="71"/>
      <c r="U113" s="71"/>
    </row>
    <row r="114" spans="1:21" x14ac:dyDescent="0.25">
      <c r="A114" s="67"/>
      <c r="B114" s="66"/>
      <c r="C114" s="66"/>
      <c r="D114" s="67"/>
      <c r="E114" s="67"/>
      <c r="F114" s="67"/>
      <c r="G114" s="67"/>
      <c r="H114" s="67"/>
      <c r="I114" s="67"/>
      <c r="J114" s="67"/>
      <c r="K114" s="68"/>
      <c r="L114" s="71"/>
      <c r="M114" s="70"/>
      <c r="N114" s="70"/>
      <c r="O114" s="71"/>
      <c r="P114" s="71"/>
      <c r="Q114" s="71"/>
      <c r="R114" s="71"/>
      <c r="S114" s="71"/>
      <c r="T114" s="71"/>
      <c r="U114" s="71"/>
    </row>
    <row r="115" spans="1:21" x14ac:dyDescent="0.25">
      <c r="A115" s="67" t="s">
        <v>270</v>
      </c>
      <c r="B115" s="66"/>
      <c r="C115" s="66"/>
      <c r="D115" s="67"/>
      <c r="E115" s="67"/>
      <c r="F115" s="67"/>
      <c r="G115" s="67"/>
      <c r="H115" s="67"/>
      <c r="I115" s="67"/>
      <c r="J115" s="67"/>
      <c r="K115" s="68"/>
      <c r="L115" s="71" t="s">
        <v>190</v>
      </c>
      <c r="M115" s="70"/>
      <c r="N115" s="70"/>
      <c r="O115" s="71"/>
      <c r="P115" s="71"/>
      <c r="Q115" s="71"/>
      <c r="R115" s="71"/>
      <c r="S115" s="71"/>
      <c r="T115" s="71"/>
      <c r="U115" s="71"/>
    </row>
    <row r="116" spans="1:21" x14ac:dyDescent="0.25">
      <c r="A116" s="67" t="s">
        <v>191</v>
      </c>
      <c r="B116" s="66"/>
      <c r="C116" s="66"/>
      <c r="D116" s="67"/>
      <c r="E116" s="67"/>
      <c r="F116" s="67"/>
      <c r="G116" s="67"/>
      <c r="H116" s="67"/>
      <c r="I116" s="67"/>
      <c r="J116" s="67"/>
      <c r="K116" s="68"/>
      <c r="L116" s="71" t="s">
        <v>191</v>
      </c>
      <c r="M116" s="70"/>
      <c r="N116" s="70"/>
      <c r="O116" s="71"/>
      <c r="P116" s="71"/>
      <c r="Q116" s="71"/>
      <c r="R116" s="71"/>
      <c r="S116" s="71"/>
      <c r="T116" s="71"/>
      <c r="U116" s="71"/>
    </row>
    <row r="117" spans="1:21" x14ac:dyDescent="0.25">
      <c r="A117" s="75" t="s">
        <v>1</v>
      </c>
      <c r="B117" s="88">
        <f>(C68/C112*B78)</f>
        <v>23.257251778946642</v>
      </c>
      <c r="C117" s="101" t="s">
        <v>74</v>
      </c>
      <c r="D117" s="67"/>
      <c r="E117" s="67"/>
      <c r="F117" s="67"/>
      <c r="G117" s="67"/>
      <c r="H117" s="67"/>
      <c r="I117" s="67"/>
      <c r="J117" s="67"/>
      <c r="K117" s="68"/>
      <c r="L117" s="77" t="s">
        <v>1</v>
      </c>
      <c r="M117" s="91">
        <f>N68/N112*M78</f>
        <v>23.257336097849617</v>
      </c>
      <c r="N117" s="102" t="s">
        <v>74</v>
      </c>
      <c r="O117" s="71"/>
      <c r="P117" s="71"/>
      <c r="Q117" s="71"/>
      <c r="R117" s="71"/>
      <c r="S117" s="71"/>
      <c r="T117" s="71"/>
      <c r="U117" s="71"/>
    </row>
    <row r="118" spans="1:21" x14ac:dyDescent="0.25">
      <c r="A118" s="67"/>
      <c r="B118" s="66"/>
      <c r="C118" s="66"/>
      <c r="D118" s="67"/>
      <c r="E118" s="67"/>
      <c r="F118" s="67"/>
      <c r="G118" s="67"/>
      <c r="H118" s="67"/>
      <c r="I118" s="67"/>
      <c r="J118" s="67"/>
      <c r="K118" s="68"/>
      <c r="L118" s="71"/>
      <c r="M118" s="70"/>
      <c r="N118" s="70"/>
      <c r="O118" s="71"/>
      <c r="P118" s="71"/>
      <c r="Q118" s="71"/>
      <c r="R118" s="71"/>
      <c r="S118" s="71"/>
      <c r="T118" s="71"/>
      <c r="U118" s="71"/>
    </row>
    <row r="119" spans="1:21" x14ac:dyDescent="0.25">
      <c r="A119" s="67"/>
      <c r="B119" s="244" t="s">
        <v>192</v>
      </c>
      <c r="C119" s="244"/>
      <c r="D119" s="67"/>
      <c r="E119" s="67"/>
      <c r="F119" s="67"/>
      <c r="G119" s="67"/>
      <c r="H119" s="67"/>
      <c r="I119" s="67"/>
      <c r="J119" s="67"/>
      <c r="K119" s="68"/>
      <c r="L119" s="71"/>
      <c r="M119" s="245" t="s">
        <v>192</v>
      </c>
      <c r="N119" s="245"/>
      <c r="O119" s="71"/>
      <c r="P119" s="71"/>
      <c r="Q119" s="71"/>
      <c r="R119" s="71"/>
      <c r="S119" s="71"/>
      <c r="T119" s="71"/>
      <c r="U119" s="71"/>
    </row>
    <row r="120" spans="1:21" x14ac:dyDescent="0.25">
      <c r="A120" s="67"/>
      <c r="B120" s="269" t="s">
        <v>74</v>
      </c>
      <c r="C120" s="269" t="s">
        <v>20</v>
      </c>
      <c r="D120" s="67"/>
      <c r="E120" s="67"/>
      <c r="F120" s="67"/>
      <c r="G120" s="67"/>
      <c r="H120" s="67"/>
      <c r="I120" s="67"/>
      <c r="J120" s="67"/>
      <c r="K120" s="68"/>
      <c r="L120" s="71"/>
      <c r="M120" s="272" t="s">
        <v>74</v>
      </c>
      <c r="N120" s="272" t="s">
        <v>20</v>
      </c>
      <c r="O120" s="71"/>
      <c r="P120" s="71"/>
      <c r="Q120" s="71"/>
      <c r="R120" s="71"/>
      <c r="S120" s="71"/>
      <c r="T120" s="71"/>
      <c r="U120" s="71"/>
    </row>
    <row r="121" spans="1:21" ht="16.5" x14ac:dyDescent="0.3">
      <c r="A121" s="67" t="s">
        <v>43</v>
      </c>
      <c r="B121" s="88">
        <f>B52+B117</f>
        <v>182.35725177894665</v>
      </c>
      <c r="C121" s="88">
        <f>B121/B126*100</f>
        <v>11.949584723127018</v>
      </c>
      <c r="D121" s="67"/>
      <c r="E121" s="67"/>
      <c r="F121" s="67"/>
      <c r="G121" s="67"/>
      <c r="H121" s="67"/>
      <c r="I121" s="67"/>
      <c r="J121" s="67"/>
      <c r="K121" s="68"/>
      <c r="L121" s="71" t="s">
        <v>43</v>
      </c>
      <c r="M121" s="91">
        <f>M52+M117</f>
        <v>182.35733609784961</v>
      </c>
      <c r="N121" s="91">
        <f>M121/M126*100</f>
        <v>11.949561977383638</v>
      </c>
      <c r="O121" s="71"/>
      <c r="P121" s="71"/>
      <c r="Q121" s="71"/>
      <c r="R121" s="71"/>
      <c r="S121" s="71"/>
      <c r="T121" s="71"/>
      <c r="U121" s="71"/>
    </row>
    <row r="122" spans="1:21" ht="16.5" x14ac:dyDescent="0.3">
      <c r="A122" s="67" t="s">
        <v>44</v>
      </c>
      <c r="B122" s="88">
        <f>B53+B102*B117/B78</f>
        <v>410.44557831216667</v>
      </c>
      <c r="C122" s="88">
        <f>B122/B126*100</f>
        <v>26.895855056093517</v>
      </c>
      <c r="D122" s="67"/>
      <c r="E122" s="67"/>
      <c r="F122" s="67"/>
      <c r="G122" s="67"/>
      <c r="H122" s="67"/>
      <c r="I122" s="67"/>
      <c r="J122" s="67"/>
      <c r="K122" s="68"/>
      <c r="L122" s="71" t="s">
        <v>44</v>
      </c>
      <c r="M122" s="91">
        <f>M53+M102*M117/M78</f>
        <v>410.44913949859063</v>
      </c>
      <c r="N122" s="91">
        <f>M122/M126*100</f>
        <v>26.896024782739893</v>
      </c>
      <c r="O122" s="71"/>
      <c r="P122" s="71"/>
      <c r="Q122" s="71"/>
      <c r="R122" s="71"/>
      <c r="S122" s="71"/>
      <c r="T122" s="71"/>
      <c r="U122" s="71"/>
    </row>
    <row r="123" spans="1:21" ht="16.5" x14ac:dyDescent="0.3">
      <c r="A123" s="67" t="s">
        <v>51</v>
      </c>
      <c r="B123" s="88">
        <f>B54</f>
        <v>9.1</v>
      </c>
      <c r="C123" s="88">
        <f>B123/B126*100</f>
        <v>0.59630872871604734</v>
      </c>
      <c r="D123" s="67"/>
      <c r="E123" s="67"/>
      <c r="F123" s="67"/>
      <c r="G123" s="67"/>
      <c r="H123" s="67"/>
      <c r="I123" s="67"/>
      <c r="J123" s="67"/>
      <c r="K123" s="68"/>
      <c r="L123" s="71" t="s">
        <v>51</v>
      </c>
      <c r="M123" s="91">
        <f>M54</f>
        <v>9.1</v>
      </c>
      <c r="N123" s="91">
        <f>M123/M126*100</f>
        <v>0.59630731793451219</v>
      </c>
      <c r="O123" s="71"/>
      <c r="P123" s="71"/>
      <c r="Q123" s="71"/>
      <c r="R123" s="71"/>
      <c r="S123" s="71"/>
      <c r="T123" s="71"/>
      <c r="U123" s="71"/>
    </row>
    <row r="124" spans="1:21" ht="16.5" x14ac:dyDescent="0.3">
      <c r="A124" s="67" t="s">
        <v>52</v>
      </c>
      <c r="B124" s="88">
        <f>B55+B101*B117/B78</f>
        <v>896.34505731829711</v>
      </c>
      <c r="C124" s="88">
        <f>B124/B126*100</f>
        <v>58.736085892350154</v>
      </c>
      <c r="D124" s="67"/>
      <c r="E124" s="67"/>
      <c r="F124" s="67"/>
      <c r="G124" s="67"/>
      <c r="H124" s="67"/>
      <c r="I124" s="67"/>
      <c r="J124" s="67"/>
      <c r="K124" s="68"/>
      <c r="L124" s="71" t="s">
        <v>52</v>
      </c>
      <c r="M124" s="91">
        <f>M55+M101*M117/M78</f>
        <v>896.34493793175147</v>
      </c>
      <c r="N124" s="91">
        <f>M124/M126*100</f>
        <v>58.735939107940602</v>
      </c>
      <c r="O124" s="71"/>
      <c r="P124" s="71"/>
      <c r="Q124" s="71"/>
      <c r="R124" s="71"/>
      <c r="S124" s="71"/>
      <c r="T124" s="71"/>
      <c r="U124" s="71"/>
    </row>
    <row r="125" spans="1:21" ht="16.5" x14ac:dyDescent="0.3">
      <c r="A125" s="67" t="s">
        <v>53</v>
      </c>
      <c r="B125" s="94">
        <f>B57+B117</f>
        <v>27.807251778946643</v>
      </c>
      <c r="C125" s="94">
        <f>B125/B126*100</f>
        <v>1.8221655997132662</v>
      </c>
      <c r="D125" s="67"/>
      <c r="E125" s="67"/>
      <c r="F125" s="67"/>
      <c r="G125" s="67"/>
      <c r="H125" s="67"/>
      <c r="I125" s="67"/>
      <c r="J125" s="67"/>
      <c r="K125" s="68"/>
      <c r="L125" s="71" t="s">
        <v>53</v>
      </c>
      <c r="M125" s="96">
        <f>M57+M117</f>
        <v>27.807336097849618</v>
      </c>
      <c r="N125" s="96">
        <f>M125/M126*100</f>
        <v>1.8221668140013463</v>
      </c>
      <c r="O125" s="71"/>
      <c r="P125" s="71"/>
      <c r="Q125" s="71"/>
      <c r="R125" s="71"/>
      <c r="S125" s="71"/>
      <c r="T125" s="71"/>
      <c r="U125" s="71"/>
    </row>
    <row r="126" spans="1:21" x14ac:dyDescent="0.25">
      <c r="A126" s="67"/>
      <c r="B126" s="88">
        <f>SUM(B121:B125)</f>
        <v>1526.0551391883571</v>
      </c>
      <c r="C126" s="88">
        <f>SUM(C121:C125)</f>
        <v>100.00000000000001</v>
      </c>
      <c r="D126" s="67"/>
      <c r="E126" s="67"/>
      <c r="F126" s="67"/>
      <c r="G126" s="67"/>
      <c r="H126" s="67"/>
      <c r="I126" s="67"/>
      <c r="J126" s="67"/>
      <c r="K126" s="68"/>
      <c r="L126" s="71"/>
      <c r="M126" s="91">
        <f>SUM(M121:M125)</f>
        <v>1526.0587496260414</v>
      </c>
      <c r="N126" s="91">
        <f>SUM(N121:N125)</f>
        <v>100</v>
      </c>
      <c r="O126" s="71"/>
      <c r="P126" s="71"/>
      <c r="Q126" s="71"/>
      <c r="R126" s="71"/>
      <c r="S126" s="71"/>
      <c r="T126" s="71"/>
      <c r="U126" s="71"/>
    </row>
    <row r="127" spans="1:21" x14ac:dyDescent="0.25">
      <c r="A127" s="67"/>
      <c r="B127" s="88"/>
      <c r="C127" s="88"/>
      <c r="D127" s="67"/>
      <c r="E127" s="67"/>
      <c r="F127" s="67"/>
      <c r="G127" s="67"/>
      <c r="H127" s="67"/>
      <c r="I127" s="67"/>
      <c r="J127" s="67"/>
      <c r="K127" s="68"/>
      <c r="L127" s="71"/>
      <c r="M127" s="91"/>
      <c r="N127" s="91"/>
      <c r="O127" s="71"/>
      <c r="P127" s="71"/>
      <c r="Q127" s="71"/>
      <c r="R127" s="71"/>
      <c r="S127" s="71"/>
      <c r="T127" s="71"/>
      <c r="U127" s="71"/>
    </row>
    <row r="128" spans="1:21" x14ac:dyDescent="0.25">
      <c r="A128" s="275" t="s">
        <v>193</v>
      </c>
      <c r="B128" s="66"/>
      <c r="C128" s="66"/>
      <c r="D128" s="67"/>
      <c r="E128" s="67"/>
      <c r="F128" s="67"/>
      <c r="G128" s="67"/>
      <c r="H128" s="67"/>
      <c r="I128" s="67"/>
      <c r="J128" s="67"/>
      <c r="K128" s="68"/>
      <c r="L128" s="276" t="s">
        <v>193</v>
      </c>
      <c r="M128" s="70"/>
      <c r="N128" s="70"/>
      <c r="O128" s="71"/>
      <c r="P128" s="71"/>
      <c r="Q128" s="71"/>
      <c r="R128" s="71"/>
      <c r="S128" s="71"/>
      <c r="T128" s="71"/>
      <c r="U128" s="71"/>
    </row>
    <row r="129" spans="1:21" x14ac:dyDescent="0.25">
      <c r="A129" s="75" t="s">
        <v>184</v>
      </c>
      <c r="B129" s="73">
        <f>(B117*-D73)</f>
        <v>8026077.5889144866</v>
      </c>
      <c r="C129" s="101" t="s">
        <v>76</v>
      </c>
      <c r="D129" s="67"/>
      <c r="E129" s="67"/>
      <c r="F129" s="67"/>
      <c r="G129" s="67"/>
      <c r="H129" s="67"/>
      <c r="I129" s="67"/>
      <c r="J129" s="67"/>
      <c r="K129" s="68"/>
      <c r="L129" s="77" t="s">
        <v>184</v>
      </c>
      <c r="M129" s="74">
        <f>M117*-O73</f>
        <v>8026106.6873679031</v>
      </c>
      <c r="N129" s="102" t="s">
        <v>76</v>
      </c>
      <c r="O129" s="71"/>
      <c r="P129" s="71"/>
      <c r="Q129" s="71"/>
      <c r="R129" s="71"/>
      <c r="S129" s="71"/>
      <c r="T129" s="71"/>
      <c r="U129" s="71"/>
    </row>
    <row r="130" spans="1:21" ht="16.5" x14ac:dyDescent="0.3">
      <c r="A130" s="75" t="s">
        <v>194</v>
      </c>
      <c r="B130" s="73">
        <f>C65</f>
        <v>864076</v>
      </c>
      <c r="C130" s="101" t="s">
        <v>76</v>
      </c>
      <c r="D130" s="67"/>
      <c r="E130" s="67"/>
      <c r="F130" s="67"/>
      <c r="G130" s="67"/>
      <c r="H130" s="67"/>
      <c r="I130" s="67"/>
      <c r="J130" s="67"/>
      <c r="K130" s="68"/>
      <c r="L130" s="77" t="s">
        <v>194</v>
      </c>
      <c r="M130" s="74">
        <f>N65</f>
        <v>864076</v>
      </c>
      <c r="N130" s="102" t="s">
        <v>76</v>
      </c>
      <c r="O130" s="71"/>
      <c r="P130" s="71"/>
      <c r="Q130" s="71"/>
      <c r="R130" s="71"/>
      <c r="S130" s="71"/>
      <c r="T130" s="71"/>
      <c r="U130" s="71"/>
    </row>
    <row r="131" spans="1:21" ht="15.75" thickBot="1" x14ac:dyDescent="0.3">
      <c r="A131" s="75" t="s">
        <v>195</v>
      </c>
      <c r="B131" s="73">
        <f>C66</f>
        <v>448048</v>
      </c>
      <c r="C131" s="139" t="s">
        <v>76</v>
      </c>
      <c r="D131" s="67"/>
      <c r="E131" s="67"/>
      <c r="F131" s="67"/>
      <c r="G131" s="67"/>
      <c r="H131" s="67"/>
      <c r="I131" s="67"/>
      <c r="J131" s="67"/>
      <c r="K131" s="68"/>
      <c r="L131" s="77" t="s">
        <v>195</v>
      </c>
      <c r="M131" s="74">
        <f>N66</f>
        <v>448048</v>
      </c>
      <c r="N131" s="142" t="s">
        <v>76</v>
      </c>
      <c r="O131" s="71"/>
      <c r="P131" s="71"/>
      <c r="Q131" s="71"/>
      <c r="R131" s="71"/>
      <c r="S131" s="71"/>
      <c r="T131" s="71"/>
      <c r="U131" s="71"/>
    </row>
    <row r="132" spans="1:21" ht="15.75" thickBot="1" x14ac:dyDescent="0.3">
      <c r="A132" s="67"/>
      <c r="B132" s="233">
        <f>SUM(B129:B131)</f>
        <v>9338201.5889144875</v>
      </c>
      <c r="C132" s="101" t="s">
        <v>76</v>
      </c>
      <c r="D132" s="67"/>
      <c r="E132" s="67"/>
      <c r="F132" s="67"/>
      <c r="G132" s="67"/>
      <c r="H132" s="67"/>
      <c r="I132" s="67"/>
      <c r="J132" s="67"/>
      <c r="K132" s="68"/>
      <c r="L132" s="71"/>
      <c r="M132" s="234">
        <f>SUM(M129:M131)</f>
        <v>9338230.6873679031</v>
      </c>
      <c r="N132" s="102" t="s">
        <v>76</v>
      </c>
      <c r="O132" s="71"/>
      <c r="P132" s="71"/>
      <c r="Q132" s="71"/>
      <c r="R132" s="71"/>
      <c r="S132" s="71"/>
      <c r="T132" s="71"/>
      <c r="U132" s="71"/>
    </row>
    <row r="133" spans="1:21" x14ac:dyDescent="0.25">
      <c r="A133" s="67"/>
      <c r="B133" s="66"/>
      <c r="C133" s="66"/>
      <c r="D133" s="67"/>
      <c r="E133" s="67"/>
      <c r="F133" s="67"/>
      <c r="G133" s="67"/>
      <c r="H133" s="67"/>
      <c r="I133" s="67"/>
      <c r="J133" s="67"/>
      <c r="K133" s="68"/>
      <c r="L133" s="71"/>
      <c r="M133" s="70"/>
      <c r="N133" s="70"/>
      <c r="O133" s="71"/>
      <c r="P133" s="71"/>
      <c r="Q133" s="71"/>
      <c r="R133" s="71"/>
      <c r="S133" s="71"/>
      <c r="T133" s="71"/>
      <c r="U133" s="71"/>
    </row>
    <row r="134" spans="1:21" x14ac:dyDescent="0.25">
      <c r="A134" s="67"/>
      <c r="B134" s="88"/>
      <c r="C134" s="88"/>
      <c r="D134" s="67"/>
      <c r="E134" s="67"/>
      <c r="F134" s="67"/>
      <c r="G134" s="67"/>
      <c r="H134" s="67"/>
      <c r="I134" s="67"/>
      <c r="J134" s="67"/>
      <c r="K134" s="68"/>
      <c r="L134" s="71"/>
      <c r="M134" s="91"/>
      <c r="N134" s="91"/>
      <c r="O134" s="71"/>
      <c r="P134" s="71"/>
      <c r="Q134" s="71"/>
      <c r="R134" s="71"/>
      <c r="S134" s="71"/>
      <c r="T134" s="71"/>
      <c r="U134" s="71"/>
    </row>
    <row r="135" spans="1:21" x14ac:dyDescent="0.25">
      <c r="A135" s="67" t="str">
        <f>CONCATENATE("Step 2. Calculate net heat release for fuel at ",C20, "% excess air using ", ROUND(B117,2), " mols/hr methane as fuel.")</f>
        <v>Step 2. Calculate net heat release for fuel at 0.5% excess air using 23.26 mols/hr methane as fuel.</v>
      </c>
      <c r="B135" s="88"/>
      <c r="C135" s="88"/>
      <c r="D135" s="67"/>
      <c r="E135" s="67"/>
      <c r="F135" s="67"/>
      <c r="G135" s="67"/>
      <c r="H135" s="67"/>
      <c r="I135" s="67"/>
      <c r="J135" s="67"/>
      <c r="K135" s="68"/>
      <c r="L135" s="71" t="str">
        <f>CONCATENATE("Step 2. Calculate net heat release for fuel at ",N20, "% excess air using ", ROUND(M117,2), " mols/hr methane as fuel.")</f>
        <v>Step 2. Calculate net heat release for fuel at 0.5% excess air using 23.26 mols/hr methane as fuel.</v>
      </c>
      <c r="M135" s="91"/>
      <c r="N135" s="91"/>
      <c r="O135" s="71"/>
      <c r="P135" s="71"/>
      <c r="Q135" s="71"/>
      <c r="R135" s="71"/>
      <c r="S135" s="71"/>
      <c r="T135" s="71"/>
      <c r="U135" s="71"/>
    </row>
    <row r="136" spans="1:21" ht="16.5" x14ac:dyDescent="0.3">
      <c r="A136" s="67"/>
      <c r="B136" s="88" t="s">
        <v>271</v>
      </c>
      <c r="C136" s="88"/>
      <c r="D136" s="89">
        <f>2*B117</f>
        <v>46.514503557893285</v>
      </c>
      <c r="E136" s="67" t="s">
        <v>172</v>
      </c>
      <c r="F136" s="67"/>
      <c r="G136" s="67"/>
      <c r="H136" s="67"/>
      <c r="I136" s="67"/>
      <c r="J136" s="67"/>
      <c r="K136" s="68"/>
      <c r="L136" s="71"/>
      <c r="M136" s="91" t="s">
        <v>271</v>
      </c>
      <c r="N136" s="91"/>
      <c r="O136" s="92">
        <f>2*M117</f>
        <v>46.514672195699234</v>
      </c>
      <c r="P136" s="71" t="s">
        <v>172</v>
      </c>
      <c r="Q136" s="71"/>
      <c r="R136" s="71"/>
      <c r="S136" s="71"/>
      <c r="T136" s="71"/>
      <c r="U136" s="71"/>
    </row>
    <row r="137" spans="1:21" ht="16.5" x14ac:dyDescent="0.3">
      <c r="A137" s="67"/>
      <c r="B137" s="88" t="str">
        <f>CONCATENATE("+ ", C20*100, "%")</f>
        <v>+ 50%</v>
      </c>
      <c r="C137" s="88"/>
      <c r="D137" s="89">
        <f>1.5*D136</f>
        <v>69.771755336839931</v>
      </c>
      <c r="E137" s="67" t="s">
        <v>172</v>
      </c>
      <c r="F137" s="67"/>
      <c r="G137" s="67"/>
      <c r="H137" s="67"/>
      <c r="I137" s="67"/>
      <c r="J137" s="67"/>
      <c r="K137" s="68"/>
      <c r="L137" s="71"/>
      <c r="M137" s="91" t="str">
        <f>CONCATENATE("+ ", N20*100, "%")</f>
        <v>+ 50%</v>
      </c>
      <c r="N137" s="91"/>
      <c r="O137" s="92">
        <f>1.5*O136</f>
        <v>69.772008293548851</v>
      </c>
      <c r="P137" s="71" t="s">
        <v>172</v>
      </c>
      <c r="Q137" s="71"/>
      <c r="R137" s="71"/>
      <c r="S137" s="71"/>
      <c r="T137" s="71"/>
      <c r="U137" s="71"/>
    </row>
    <row r="138" spans="1:21" ht="16.5" x14ac:dyDescent="0.3">
      <c r="A138" s="67"/>
      <c r="B138" s="88" t="s">
        <v>272</v>
      </c>
      <c r="C138" s="88"/>
      <c r="D138" s="95">
        <f>+B34</f>
        <v>13.650000000000002</v>
      </c>
      <c r="E138" s="67" t="s">
        <v>172</v>
      </c>
      <c r="F138" s="67"/>
      <c r="G138" s="67"/>
      <c r="H138" s="67"/>
      <c r="I138" s="67"/>
      <c r="J138" s="67"/>
      <c r="K138" s="68"/>
      <c r="L138" s="71"/>
      <c r="M138" s="91" t="s">
        <v>272</v>
      </c>
      <c r="N138" s="91"/>
      <c r="O138" s="247">
        <f>+M34</f>
        <v>13.650000000000002</v>
      </c>
      <c r="P138" s="71" t="s">
        <v>172</v>
      </c>
      <c r="Q138" s="71"/>
      <c r="R138" s="71"/>
      <c r="S138" s="71"/>
      <c r="T138" s="71"/>
      <c r="U138" s="71"/>
    </row>
    <row r="139" spans="1:21" ht="16.5" x14ac:dyDescent="0.3">
      <c r="A139" s="67"/>
      <c r="B139" s="88"/>
      <c r="C139" s="88"/>
      <c r="D139" s="89">
        <f>+D137+D138</f>
        <v>83.421755336839936</v>
      </c>
      <c r="E139" s="67" t="s">
        <v>172</v>
      </c>
      <c r="F139" s="67"/>
      <c r="G139" s="67"/>
      <c r="H139" s="67"/>
      <c r="I139" s="67"/>
      <c r="J139" s="67"/>
      <c r="K139" s="68"/>
      <c r="L139" s="71"/>
      <c r="M139" s="91"/>
      <c r="N139" s="91"/>
      <c r="O139" s="92">
        <f>+O137+O138</f>
        <v>83.422008293548856</v>
      </c>
      <c r="P139" s="71" t="s">
        <v>172</v>
      </c>
      <c r="Q139" s="71"/>
      <c r="R139" s="71"/>
      <c r="S139" s="71"/>
      <c r="T139" s="71"/>
      <c r="U139" s="71"/>
    </row>
    <row r="140" spans="1:21" x14ac:dyDescent="0.25">
      <c r="A140" s="67"/>
      <c r="B140" s="244" t="s">
        <v>184</v>
      </c>
      <c r="C140" s="244"/>
      <c r="D140" s="244"/>
      <c r="E140" s="67"/>
      <c r="F140" s="67"/>
      <c r="G140" s="67"/>
      <c r="H140" s="67"/>
      <c r="I140" s="67"/>
      <c r="J140" s="67"/>
      <c r="K140" s="68"/>
      <c r="L140" s="71"/>
      <c r="M140" s="245" t="s">
        <v>184</v>
      </c>
      <c r="N140" s="245"/>
      <c r="O140" s="245"/>
      <c r="P140" s="71"/>
      <c r="Q140" s="71"/>
      <c r="R140" s="71"/>
      <c r="S140" s="71"/>
      <c r="T140" s="71"/>
      <c r="U140" s="71"/>
    </row>
    <row r="141" spans="1:21" x14ac:dyDescent="0.25">
      <c r="A141" s="67"/>
      <c r="B141" s="66"/>
      <c r="C141" s="116" t="s">
        <v>85</v>
      </c>
      <c r="D141" s="117">
        <f>+E37</f>
        <v>100</v>
      </c>
      <c r="E141" s="67" t="s">
        <v>17</v>
      </c>
      <c r="F141" s="67"/>
      <c r="G141" s="67"/>
      <c r="H141" s="67"/>
      <c r="I141" s="67"/>
      <c r="J141" s="67"/>
      <c r="K141" s="68"/>
      <c r="L141" s="71"/>
      <c r="M141" s="70"/>
      <c r="N141" s="118" t="s">
        <v>85</v>
      </c>
      <c r="O141" s="97">
        <f>+P37</f>
        <v>100</v>
      </c>
      <c r="P141" s="71" t="s">
        <v>17</v>
      </c>
      <c r="Q141" s="71"/>
      <c r="R141" s="71"/>
      <c r="S141" s="71"/>
      <c r="T141" s="71"/>
      <c r="U141" s="71"/>
    </row>
    <row r="142" spans="1:21" x14ac:dyDescent="0.25">
      <c r="A142" s="67"/>
      <c r="B142" s="117" t="s">
        <v>74</v>
      </c>
      <c r="C142" s="117" t="s">
        <v>75</v>
      </c>
      <c r="D142" s="117" t="s">
        <v>76</v>
      </c>
      <c r="E142" s="67"/>
      <c r="F142" s="67"/>
      <c r="G142" s="67"/>
      <c r="H142" s="67"/>
      <c r="I142" s="67"/>
      <c r="J142" s="67"/>
      <c r="K142" s="68"/>
      <c r="L142" s="71"/>
      <c r="M142" s="97" t="s">
        <v>74</v>
      </c>
      <c r="N142" s="97" t="s">
        <v>75</v>
      </c>
      <c r="O142" s="97" t="s">
        <v>76</v>
      </c>
      <c r="P142" s="71"/>
      <c r="Q142" s="71"/>
      <c r="R142" s="71"/>
      <c r="S142" s="71"/>
      <c r="T142" s="71"/>
      <c r="U142" s="71"/>
    </row>
    <row r="143" spans="1:21" ht="16.5" x14ac:dyDescent="0.3">
      <c r="A143" s="67" t="s">
        <v>185</v>
      </c>
      <c r="B143" s="88">
        <f>+B117</f>
        <v>23.257251778946642</v>
      </c>
      <c r="C143" s="66">
        <f>(IF(ROUNDDOWN(D141,-2)=ROUNDUP(D141,-2),VLOOKUP(D141,EnthalpyData,2),VLOOKUP(ROUNDDOWN(D141,-2),EnthalpyData,2)+(D141-ROUNDDOWN(D141,-2))/(ROUNDUP(D141,-2)-ROUNDDOWN(D141,-2))*(VLOOKUP(ROUNDUP(D141,-2),EnthalpyData,2)-VLOOKUP(ROUNDDOWN(D141,-2),EnthalpyData,2))))</f>
        <v>567.70000000000005</v>
      </c>
      <c r="D143" s="150">
        <f>(B143*C143)</f>
        <v>13203.14183490801</v>
      </c>
      <c r="E143" s="67"/>
      <c r="F143" s="67"/>
      <c r="G143" s="67"/>
      <c r="H143" s="67"/>
      <c r="I143" s="67"/>
      <c r="J143" s="67"/>
      <c r="K143" s="68"/>
      <c r="L143" s="71" t="s">
        <v>185</v>
      </c>
      <c r="M143" s="91">
        <f>+M117</f>
        <v>23.257336097849617</v>
      </c>
      <c r="N143" s="70">
        <f>IF(ROUNDDOWN(O141,-2)=ROUNDUP(O141,-2),VLOOKUP(O141,EnthalpyData,2),VLOOKUP(ROUNDDOWN(O141,-2),EnthalpyData,2)+(O141-ROUNDDOWN(O141,-2))/(ROUNDUP(O141,-2)-ROUNDDOWN(O141,-2))*(VLOOKUP(ROUNDUP(O141,-2),EnthalpyData,2)-VLOOKUP(ROUNDDOWN(O141,-2),EnthalpyData,2)))</f>
        <v>567.70000000000005</v>
      </c>
      <c r="O143" s="154">
        <f>M143*N143</f>
        <v>13203.189702749229</v>
      </c>
      <c r="P143" s="71"/>
      <c r="Q143" s="71"/>
      <c r="R143" s="71"/>
      <c r="S143" s="71"/>
      <c r="T143" s="71"/>
      <c r="U143" s="71"/>
    </row>
    <row r="144" spans="1:21" ht="16.5" x14ac:dyDescent="0.3">
      <c r="A144" s="67" t="s">
        <v>186</v>
      </c>
      <c r="B144" s="66"/>
      <c r="C144" s="66"/>
      <c r="D144" s="150"/>
      <c r="E144" s="67"/>
      <c r="F144" s="67"/>
      <c r="G144" s="67"/>
      <c r="H144" s="67"/>
      <c r="I144" s="67"/>
      <c r="J144" s="67"/>
      <c r="K144" s="68"/>
      <c r="L144" s="71" t="s">
        <v>186</v>
      </c>
      <c r="M144" s="70"/>
      <c r="N144" s="70"/>
      <c r="O144" s="154"/>
      <c r="P144" s="71"/>
      <c r="Q144" s="71"/>
      <c r="R144" s="71"/>
      <c r="S144" s="71"/>
      <c r="T144" s="71"/>
      <c r="U144" s="71"/>
    </row>
    <row r="145" spans="1:21" ht="16.5" x14ac:dyDescent="0.3">
      <c r="A145" s="67" t="s">
        <v>53</v>
      </c>
      <c r="B145" s="66"/>
      <c r="C145" s="66"/>
      <c r="D145" s="150"/>
      <c r="E145" s="67"/>
      <c r="F145" s="67"/>
      <c r="G145" s="67"/>
      <c r="H145" s="67"/>
      <c r="I145" s="67"/>
      <c r="J145" s="67"/>
      <c r="K145" s="68"/>
      <c r="L145" s="71" t="s">
        <v>53</v>
      </c>
      <c r="M145" s="70"/>
      <c r="N145" s="70"/>
      <c r="O145" s="154"/>
      <c r="P145" s="71"/>
      <c r="Q145" s="71"/>
      <c r="R145" s="71"/>
      <c r="S145" s="71"/>
      <c r="T145" s="71"/>
      <c r="U145" s="71"/>
    </row>
    <row r="146" spans="1:21" ht="16.5" x14ac:dyDescent="0.3">
      <c r="A146" s="67" t="s">
        <v>52</v>
      </c>
      <c r="B146" s="66"/>
      <c r="C146" s="66"/>
      <c r="D146" s="150"/>
      <c r="E146" s="67"/>
      <c r="F146" s="67"/>
      <c r="G146" s="67"/>
      <c r="H146" s="67"/>
      <c r="I146" s="67"/>
      <c r="J146" s="67"/>
      <c r="K146" s="68"/>
      <c r="L146" s="71" t="s">
        <v>52</v>
      </c>
      <c r="M146" s="70"/>
      <c r="N146" s="70"/>
      <c r="O146" s="154"/>
      <c r="P146" s="71"/>
      <c r="Q146" s="71"/>
      <c r="R146" s="71"/>
      <c r="S146" s="71"/>
      <c r="T146" s="71"/>
      <c r="U146" s="71"/>
    </row>
    <row r="147" spans="1:21" ht="16.5" x14ac:dyDescent="0.3">
      <c r="A147" s="67" t="s">
        <v>44</v>
      </c>
      <c r="B147" s="117"/>
      <c r="C147" s="66"/>
      <c r="D147" s="158"/>
      <c r="E147" s="67"/>
      <c r="F147" s="67"/>
      <c r="G147" s="67"/>
      <c r="H147" s="67"/>
      <c r="I147" s="67"/>
      <c r="J147" s="67"/>
      <c r="K147" s="68"/>
      <c r="L147" s="71" t="s">
        <v>44</v>
      </c>
      <c r="M147" s="97"/>
      <c r="N147" s="70"/>
      <c r="O147" s="161"/>
      <c r="P147" s="71"/>
      <c r="Q147" s="71"/>
      <c r="R147" s="71"/>
      <c r="S147" s="71"/>
      <c r="T147" s="71"/>
      <c r="U147" s="71"/>
    </row>
    <row r="148" spans="1:21" x14ac:dyDescent="0.25">
      <c r="A148" s="67"/>
      <c r="B148" s="88">
        <f>B143</f>
        <v>23.257251778946642</v>
      </c>
      <c r="C148" s="66"/>
      <c r="D148" s="150">
        <f>D143</f>
        <v>13203.14183490801</v>
      </c>
      <c r="E148" s="67"/>
      <c r="F148" s="67"/>
      <c r="G148" s="67"/>
      <c r="H148" s="67"/>
      <c r="I148" s="67"/>
      <c r="J148" s="67"/>
      <c r="K148" s="68"/>
      <c r="L148" s="71"/>
      <c r="M148" s="91">
        <f>M143</f>
        <v>23.257336097849617</v>
      </c>
      <c r="N148" s="70"/>
      <c r="O148" s="154">
        <f>O143</f>
        <v>13203.189702749229</v>
      </c>
      <c r="P148" s="71"/>
      <c r="Q148" s="71"/>
      <c r="R148" s="71"/>
      <c r="S148" s="71"/>
      <c r="T148" s="71"/>
      <c r="U148" s="71"/>
    </row>
    <row r="149" spans="1:21" x14ac:dyDescent="0.25">
      <c r="A149" s="67"/>
      <c r="B149" s="66"/>
      <c r="C149" s="66"/>
      <c r="D149" s="67"/>
      <c r="E149" s="67"/>
      <c r="F149" s="67"/>
      <c r="G149" s="67"/>
      <c r="H149" s="67"/>
      <c r="I149" s="67"/>
      <c r="J149" s="67"/>
      <c r="K149" s="68"/>
      <c r="L149" s="71"/>
      <c r="M149" s="70"/>
      <c r="N149" s="70"/>
      <c r="O149" s="71"/>
      <c r="P149" s="71"/>
      <c r="Q149" s="71"/>
      <c r="R149" s="71"/>
      <c r="S149" s="71"/>
      <c r="T149" s="71"/>
      <c r="U149" s="71"/>
    </row>
    <row r="150" spans="1:21" x14ac:dyDescent="0.25">
      <c r="A150" s="67"/>
      <c r="B150" s="244" t="s">
        <v>175</v>
      </c>
      <c r="C150" s="244"/>
      <c r="D150" s="244"/>
      <c r="E150" s="67"/>
      <c r="F150" s="67"/>
      <c r="G150" s="67"/>
      <c r="H150" s="67"/>
      <c r="I150" s="67"/>
      <c r="J150" s="67"/>
      <c r="K150" s="68"/>
      <c r="L150" s="71"/>
      <c r="M150" s="245" t="s">
        <v>175</v>
      </c>
      <c r="N150" s="245"/>
      <c r="O150" s="245"/>
      <c r="P150" s="71"/>
      <c r="Q150" s="71"/>
      <c r="R150" s="71"/>
      <c r="S150" s="71"/>
      <c r="T150" s="71"/>
      <c r="U150" s="71"/>
    </row>
    <row r="151" spans="1:21" x14ac:dyDescent="0.25">
      <c r="A151" s="67"/>
      <c r="B151" s="66"/>
      <c r="C151" s="116" t="s">
        <v>85</v>
      </c>
      <c r="D151" s="117">
        <f>D141</f>
        <v>100</v>
      </c>
      <c r="E151" s="67" t="s">
        <v>17</v>
      </c>
      <c r="F151" s="67"/>
      <c r="G151" s="67"/>
      <c r="H151" s="67"/>
      <c r="I151" s="67"/>
      <c r="J151" s="67"/>
      <c r="K151" s="68"/>
      <c r="L151" s="71"/>
      <c r="M151" s="70"/>
      <c r="N151" s="118" t="s">
        <v>85</v>
      </c>
      <c r="O151" s="97">
        <f>O141</f>
        <v>100</v>
      </c>
      <c r="P151" s="71" t="s">
        <v>17</v>
      </c>
      <c r="Q151" s="71"/>
      <c r="R151" s="71"/>
      <c r="S151" s="71"/>
      <c r="T151" s="71"/>
      <c r="U151" s="71"/>
    </row>
    <row r="152" spans="1:21" x14ac:dyDescent="0.25">
      <c r="A152" s="67"/>
      <c r="B152" s="117" t="s">
        <v>74</v>
      </c>
      <c r="C152" s="117" t="s">
        <v>75</v>
      </c>
      <c r="D152" s="117" t="s">
        <v>76</v>
      </c>
      <c r="E152" s="67"/>
      <c r="F152" s="67"/>
      <c r="G152" s="67"/>
      <c r="H152" s="67"/>
      <c r="I152" s="67"/>
      <c r="J152" s="67"/>
      <c r="K152" s="68"/>
      <c r="L152" s="71"/>
      <c r="M152" s="97" t="s">
        <v>74</v>
      </c>
      <c r="N152" s="97" t="s">
        <v>75</v>
      </c>
      <c r="O152" s="97" t="s">
        <v>76</v>
      </c>
      <c r="P152" s="71"/>
      <c r="Q152" s="71"/>
      <c r="R152" s="71"/>
      <c r="S152" s="71"/>
      <c r="T152" s="71"/>
      <c r="U152" s="71"/>
    </row>
    <row r="153" spans="1:21" ht="16.5" x14ac:dyDescent="0.3">
      <c r="A153" s="67" t="s">
        <v>185</v>
      </c>
      <c r="B153" s="66"/>
      <c r="C153" s="66"/>
      <c r="D153" s="67"/>
      <c r="E153" s="67"/>
      <c r="F153" s="67"/>
      <c r="G153" s="67"/>
      <c r="H153" s="67"/>
      <c r="I153" s="67"/>
      <c r="J153" s="67"/>
      <c r="K153" s="68"/>
      <c r="L153" s="71" t="s">
        <v>185</v>
      </c>
      <c r="M153" s="70"/>
      <c r="N153" s="70"/>
      <c r="O153" s="71"/>
      <c r="P153" s="71"/>
      <c r="Q153" s="71"/>
      <c r="R153" s="71"/>
      <c r="S153" s="71"/>
      <c r="T153" s="71"/>
      <c r="U153" s="71"/>
    </row>
    <row r="154" spans="1:21" ht="16.5" x14ac:dyDescent="0.3">
      <c r="A154" s="67" t="s">
        <v>186</v>
      </c>
      <c r="B154" s="66"/>
      <c r="C154" s="66"/>
      <c r="D154" s="67"/>
      <c r="E154" s="67"/>
      <c r="F154" s="67"/>
      <c r="G154" s="67"/>
      <c r="H154" s="67"/>
      <c r="I154" s="67"/>
      <c r="J154" s="67"/>
      <c r="K154" s="68"/>
      <c r="L154" s="71" t="s">
        <v>186</v>
      </c>
      <c r="M154" s="70"/>
      <c r="N154" s="70"/>
      <c r="O154" s="71"/>
      <c r="P154" s="71"/>
      <c r="Q154" s="71"/>
      <c r="R154" s="71"/>
      <c r="S154" s="71"/>
      <c r="T154" s="71"/>
      <c r="U154" s="71"/>
    </row>
    <row r="155" spans="1:21" ht="16.5" x14ac:dyDescent="0.3">
      <c r="A155" s="67" t="s">
        <v>53</v>
      </c>
      <c r="B155" s="88">
        <f>+D139</f>
        <v>83.421755336839936</v>
      </c>
      <c r="C155" s="66">
        <f>+C90</f>
        <v>492.8</v>
      </c>
      <c r="D155" s="150">
        <f>(B155*C155)</f>
        <v>41110.241029994722</v>
      </c>
      <c r="E155" s="67"/>
      <c r="F155" s="67"/>
      <c r="G155" s="67"/>
      <c r="H155" s="67"/>
      <c r="I155" s="67"/>
      <c r="J155" s="67"/>
      <c r="K155" s="68"/>
      <c r="L155" s="71" t="s">
        <v>53</v>
      </c>
      <c r="M155" s="91">
        <f>+O139</f>
        <v>83.422008293548856</v>
      </c>
      <c r="N155" s="70">
        <f>+N90</f>
        <v>492.8</v>
      </c>
      <c r="O155" s="154">
        <f>M155*N155</f>
        <v>41110.365687060876</v>
      </c>
      <c r="P155" s="71"/>
      <c r="Q155" s="71"/>
      <c r="R155" s="71"/>
      <c r="S155" s="71"/>
      <c r="T155" s="71"/>
      <c r="U155" s="71"/>
    </row>
    <row r="156" spans="1:21" ht="16.5" x14ac:dyDescent="0.3">
      <c r="A156" s="67" t="s">
        <v>52</v>
      </c>
      <c r="B156" s="88">
        <f>ROUND((78.993/21.007) *B155,2)</f>
        <v>313.69</v>
      </c>
      <c r="C156" s="66">
        <f t="shared" ref="C156:C157" si="7">+C91</f>
        <v>474.1</v>
      </c>
      <c r="D156" s="150">
        <f t="shared" ref="D156:D157" si="8">(B156*C156)</f>
        <v>148720.429</v>
      </c>
      <c r="E156" s="67"/>
      <c r="F156" s="67"/>
      <c r="G156" s="67"/>
      <c r="H156" s="67"/>
      <c r="I156" s="67"/>
      <c r="J156" s="67"/>
      <c r="K156" s="68"/>
      <c r="L156" s="71" t="s">
        <v>52</v>
      </c>
      <c r="M156" s="91">
        <f>ROUND((78.993/21.007) *M155,2)</f>
        <v>313.69</v>
      </c>
      <c r="N156" s="70">
        <f t="shared" ref="N156:N157" si="9">+N91</f>
        <v>474.1</v>
      </c>
      <c r="O156" s="154">
        <f t="shared" ref="O156:O157" si="10">M156*N156</f>
        <v>148720.429</v>
      </c>
      <c r="P156" s="71"/>
      <c r="Q156" s="71"/>
      <c r="R156" s="71"/>
      <c r="S156" s="71"/>
      <c r="T156" s="71"/>
      <c r="U156" s="71"/>
    </row>
    <row r="157" spans="1:21" ht="16.5" x14ac:dyDescent="0.3">
      <c r="A157" s="67" t="s">
        <v>44</v>
      </c>
      <c r="B157" s="94">
        <f>ROUND((B155+B156) * 'Example 22-1 Conditions'!G8,2)</f>
        <v>11.79</v>
      </c>
      <c r="C157" s="66">
        <f t="shared" si="7"/>
        <v>557.1</v>
      </c>
      <c r="D157" s="158">
        <f t="shared" si="8"/>
        <v>6568.2089999999998</v>
      </c>
      <c r="E157" s="67"/>
      <c r="F157" s="67"/>
      <c r="G157" s="67"/>
      <c r="H157" s="67"/>
      <c r="I157" s="67"/>
      <c r="J157" s="67"/>
      <c r="K157" s="68"/>
      <c r="L157" s="71" t="s">
        <v>44</v>
      </c>
      <c r="M157" s="96">
        <f>ROUND((M155+M156) * 'Example 22-1 Conditions'!R8,2)</f>
        <v>11.79</v>
      </c>
      <c r="N157" s="70">
        <f t="shared" si="9"/>
        <v>557.1</v>
      </c>
      <c r="O157" s="161">
        <f t="shared" si="10"/>
        <v>6568.2089999999998</v>
      </c>
      <c r="P157" s="71"/>
      <c r="Q157" s="71"/>
      <c r="R157" s="71"/>
      <c r="S157" s="71"/>
      <c r="T157" s="71"/>
      <c r="U157" s="71"/>
    </row>
    <row r="158" spans="1:21" x14ac:dyDescent="0.25">
      <c r="A158" s="67"/>
      <c r="B158" s="88">
        <f>SUM(B155:B157)</f>
        <v>408.90175533683993</v>
      </c>
      <c r="C158" s="66"/>
      <c r="D158" s="150">
        <f>SUM(D155:D157)</f>
        <v>196398.87902999474</v>
      </c>
      <c r="E158" s="67"/>
      <c r="F158" s="67"/>
      <c r="G158" s="67"/>
      <c r="H158" s="67"/>
      <c r="I158" s="67"/>
      <c r="J158" s="67"/>
      <c r="K158" s="68"/>
      <c r="L158" s="71"/>
      <c r="M158" s="91">
        <f>SUM(M155:M157)</f>
        <v>408.90200829354887</v>
      </c>
      <c r="N158" s="70"/>
      <c r="O158" s="154">
        <f>SUM(O155:O157)</f>
        <v>196399.00368706087</v>
      </c>
      <c r="P158" s="71"/>
      <c r="Q158" s="71"/>
      <c r="R158" s="71"/>
      <c r="S158" s="71"/>
      <c r="T158" s="71"/>
      <c r="U158" s="71"/>
    </row>
    <row r="159" spans="1:21" x14ac:dyDescent="0.25">
      <c r="A159" s="67"/>
      <c r="B159" s="66"/>
      <c r="C159" s="66"/>
      <c r="D159" s="67"/>
      <c r="E159" s="67"/>
      <c r="F159" s="67"/>
      <c r="G159" s="67"/>
      <c r="H159" s="67"/>
      <c r="I159" s="67"/>
      <c r="J159" s="67"/>
      <c r="K159" s="68"/>
      <c r="L159" s="71"/>
      <c r="M159" s="70"/>
      <c r="N159" s="70"/>
      <c r="O159" s="71"/>
      <c r="P159" s="71"/>
      <c r="Q159" s="71"/>
      <c r="R159" s="71"/>
      <c r="S159" s="71"/>
      <c r="T159" s="71"/>
      <c r="U159" s="71"/>
    </row>
    <row r="160" spans="1:21" x14ac:dyDescent="0.25">
      <c r="A160" s="67"/>
      <c r="B160" s="114"/>
      <c r="C160" s="114"/>
      <c r="D160" s="114"/>
      <c r="E160" s="67"/>
      <c r="F160" s="67"/>
      <c r="G160" s="67"/>
      <c r="H160" s="67"/>
      <c r="I160" s="67"/>
      <c r="J160" s="67"/>
      <c r="K160" s="68"/>
      <c r="L160" s="71"/>
      <c r="M160" s="115"/>
      <c r="N160" s="115"/>
      <c r="O160" s="115"/>
      <c r="P160" s="71"/>
      <c r="Q160" s="71"/>
      <c r="R160" s="71"/>
      <c r="S160" s="71"/>
      <c r="T160" s="71"/>
      <c r="U160" s="71"/>
    </row>
    <row r="161" spans="1:21" x14ac:dyDescent="0.25">
      <c r="A161" s="67"/>
      <c r="B161" s="244" t="s">
        <v>177</v>
      </c>
      <c r="C161" s="244"/>
      <c r="D161" s="244"/>
      <c r="E161" s="67"/>
      <c r="F161" s="67"/>
      <c r="G161" s="67"/>
      <c r="H161" s="67"/>
      <c r="I161" s="67"/>
      <c r="J161" s="67"/>
      <c r="K161" s="68"/>
      <c r="L161" s="71"/>
      <c r="M161" s="245" t="s">
        <v>177</v>
      </c>
      <c r="N161" s="245"/>
      <c r="O161" s="245"/>
      <c r="P161" s="71"/>
      <c r="Q161" s="71"/>
      <c r="R161" s="71"/>
      <c r="S161" s="71"/>
      <c r="T161" s="71"/>
      <c r="U161" s="71"/>
    </row>
    <row r="162" spans="1:21" x14ac:dyDescent="0.25">
      <c r="A162" s="67"/>
      <c r="B162" s="66"/>
      <c r="C162" s="143" t="s">
        <v>85</v>
      </c>
      <c r="D162" s="269">
        <f>E21</f>
        <v>1000</v>
      </c>
      <c r="E162" s="67" t="s">
        <v>17</v>
      </c>
      <c r="F162" s="67"/>
      <c r="G162" s="67"/>
      <c r="H162" s="67"/>
      <c r="I162" s="67"/>
      <c r="J162" s="67"/>
      <c r="K162" s="68"/>
      <c r="L162" s="71"/>
      <c r="M162" s="70"/>
      <c r="N162" s="271" t="s">
        <v>85</v>
      </c>
      <c r="O162" s="272">
        <f>+P21</f>
        <v>1000</v>
      </c>
      <c r="P162" s="71" t="s">
        <v>17</v>
      </c>
      <c r="Q162" s="71"/>
      <c r="R162" s="71"/>
      <c r="S162" s="71"/>
      <c r="T162" s="71"/>
      <c r="U162" s="71"/>
    </row>
    <row r="163" spans="1:21" x14ac:dyDescent="0.25">
      <c r="A163" s="67"/>
      <c r="B163" s="117" t="s">
        <v>74</v>
      </c>
      <c r="C163" s="117" t="s">
        <v>75</v>
      </c>
      <c r="D163" s="117" t="s">
        <v>76</v>
      </c>
      <c r="E163" s="67"/>
      <c r="F163" s="67"/>
      <c r="G163" s="67"/>
      <c r="H163" s="67"/>
      <c r="I163" s="67"/>
      <c r="J163" s="67"/>
      <c r="K163" s="68"/>
      <c r="L163" s="71"/>
      <c r="M163" s="97" t="s">
        <v>74</v>
      </c>
      <c r="N163" s="97" t="s">
        <v>75</v>
      </c>
      <c r="O163" s="97" t="s">
        <v>76</v>
      </c>
      <c r="P163" s="71"/>
      <c r="Q163" s="71"/>
      <c r="R163" s="71"/>
      <c r="S163" s="71"/>
      <c r="T163" s="71"/>
      <c r="U163" s="71"/>
    </row>
    <row r="164" spans="1:21" ht="16.5" x14ac:dyDescent="0.3">
      <c r="A164" s="67" t="s">
        <v>42</v>
      </c>
      <c r="B164" s="66"/>
      <c r="C164" s="66"/>
      <c r="D164" s="67"/>
      <c r="E164" s="67"/>
      <c r="F164" s="67"/>
      <c r="G164" s="67"/>
      <c r="H164" s="67"/>
      <c r="I164" s="67"/>
      <c r="J164" s="67"/>
      <c r="K164" s="68"/>
      <c r="L164" s="71" t="s">
        <v>42</v>
      </c>
      <c r="M164" s="70"/>
      <c r="N164" s="70"/>
      <c r="O164" s="71"/>
      <c r="P164" s="71"/>
      <c r="Q164" s="71"/>
      <c r="R164" s="71"/>
      <c r="S164" s="71"/>
      <c r="T164" s="71"/>
      <c r="U164" s="71"/>
    </row>
    <row r="165" spans="1:21" ht="16.5" x14ac:dyDescent="0.3">
      <c r="A165" s="67" t="s">
        <v>43</v>
      </c>
      <c r="B165" s="88">
        <f>B143+B11</f>
        <v>182.35725177894665</v>
      </c>
      <c r="C165" s="66">
        <f>(IF(ROUNDDOWN(D162,-2)=ROUNDUP(D162,-2),VLOOKUP(D162,Enthalpy,14),VLOOKUP(ROUNDDOWN(D162,-2),Enthalpy,14)+(D162-ROUNDDOWN(D162,-2))/(ROUNDUP(D162,-2)-ROUNDDOWN(D162,-2))*(VLOOKUP(ROUNDUP(D162,-2),Enthalpy,14)-VLOOKUP(ROUNDDOWN(D162,-2),Enthalpy,14))))</f>
        <v>10430</v>
      </c>
      <c r="D165" s="150">
        <f>(B165*C165)</f>
        <v>1901986.1360544136</v>
      </c>
      <c r="E165" s="67"/>
      <c r="F165" s="67"/>
      <c r="G165" s="67"/>
      <c r="H165" s="67"/>
      <c r="I165" s="67"/>
      <c r="J165" s="67"/>
      <c r="K165" s="68"/>
      <c r="L165" s="71" t="s">
        <v>43</v>
      </c>
      <c r="M165" s="91">
        <f>M143+M11</f>
        <v>182.35733609784961</v>
      </c>
      <c r="N165" s="70">
        <f>IF(ROUNDDOWN(O162,-2)=ROUNDUP(O162,-2),VLOOKUP(O162,Enthalpy,14),VLOOKUP(ROUNDDOWN(O162,-2),Enthalpy,14)+(O162-ROUNDDOWN(O162,-2))/(ROUNDUP(O162,-2)-ROUNDDOWN(O162,-2))*(VLOOKUP(ROUNDUP(O162,-2),Enthalpy,14)-VLOOKUP(ROUNDDOWN(O162,-2),Enthalpy,14)))</f>
        <v>10430</v>
      </c>
      <c r="O165" s="154">
        <f>M165*N165</f>
        <v>1901987.0155005713</v>
      </c>
      <c r="P165" s="71"/>
      <c r="Q165" s="71"/>
      <c r="R165" s="71"/>
      <c r="S165" s="71"/>
      <c r="T165" s="71"/>
      <c r="U165" s="71"/>
    </row>
    <row r="166" spans="1:21" ht="16.5" x14ac:dyDescent="0.3">
      <c r="A166" s="67" t="s">
        <v>44</v>
      </c>
      <c r="B166" s="88">
        <f>B157+2*B143+B12</f>
        <v>406.56450355789326</v>
      </c>
      <c r="C166" s="66">
        <f>(IF(ROUNDDOWN(D162,-2)=ROUNDUP(D162,-2),VLOOKUP(D162,Enthalpy,15),VLOOKUP(ROUNDDOWN(D162,-2),Enthalpy,15)+(D162-ROUNDDOWN(D162,-2))/(ROUNDUP(D162,-2)-ROUNDDOWN(D162,-2))*(VLOOKUP(ROUNDUP(D162,-2),Enthalpy,15)-VLOOKUP(ROUNDDOWN(D162,-2),Enthalpy,15))))</f>
        <v>8333</v>
      </c>
      <c r="D166" s="150">
        <f t="shared" ref="D166:D170" si="11">(B166*C166)</f>
        <v>3387902.0081479247</v>
      </c>
      <c r="E166" s="67"/>
      <c r="F166" s="67"/>
      <c r="G166" s="67"/>
      <c r="H166" s="67"/>
      <c r="I166" s="67"/>
      <c r="J166" s="67"/>
      <c r="K166" s="68"/>
      <c r="L166" s="71" t="s">
        <v>44</v>
      </c>
      <c r="M166" s="91">
        <f>M157+2*M143+M12</f>
        <v>406.56467219569925</v>
      </c>
      <c r="N166" s="70">
        <f>IF(ROUNDDOWN(O162,-2)=ROUNDUP(O162,-2),VLOOKUP(O162,Enthalpy,15),VLOOKUP(ROUNDDOWN(O162,-2),Enthalpy,15)+(O162-ROUNDDOWN(O162,-2))/(ROUNDUP(O162,-2)-ROUNDDOWN(O162,-2))*(VLOOKUP(ROUNDUP(O162,-2),Enthalpy,15)-VLOOKUP(ROUNDDOWN(O162,-2),Enthalpy,15)))</f>
        <v>8333</v>
      </c>
      <c r="O166" s="154">
        <f t="shared" ref="O166:O170" si="12">M166*N166</f>
        <v>3387903.4134067618</v>
      </c>
      <c r="P166" s="71"/>
      <c r="Q166" s="71"/>
      <c r="R166" s="71"/>
      <c r="S166" s="71"/>
      <c r="T166" s="71"/>
      <c r="U166" s="71"/>
    </row>
    <row r="167" spans="1:21" ht="16.5" x14ac:dyDescent="0.3">
      <c r="A167" s="67" t="s">
        <v>51</v>
      </c>
      <c r="B167" s="88">
        <f>+B10+B13+B17+B16*8+B15*6</f>
        <v>9.1</v>
      </c>
      <c r="C167" s="66">
        <f>(IF(ROUNDDOWN(D162,-2)=ROUNDUP(D162,-2),VLOOKUP(D162,Enthalpy,17),VLOOKUP(ROUNDDOWN(D162,-2),Enthalpy,17)+(D162-ROUNDDOWN(D162,-2))/(ROUNDUP(D162,-2)-ROUNDDOWN(D162,-2))*(VLOOKUP(ROUNDUP(D162,-2),Enthalpy,17)-VLOOKUP(ROUNDDOWN(D162,-2),Enthalpy,17))))</f>
        <v>10980</v>
      </c>
      <c r="D167" s="150">
        <f t="shared" si="11"/>
        <v>99918</v>
      </c>
      <c r="E167" s="67"/>
      <c r="F167" s="67"/>
      <c r="G167" s="67"/>
      <c r="H167" s="67"/>
      <c r="I167" s="67"/>
      <c r="J167" s="67"/>
      <c r="K167" s="68"/>
      <c r="L167" s="71" t="s">
        <v>51</v>
      </c>
      <c r="M167" s="91">
        <f>+M10+M13+M17+M16*8+M15*6</f>
        <v>9.1</v>
      </c>
      <c r="N167" s="70">
        <f>IF(ROUNDDOWN(O162,-2)=ROUNDUP(O162,-2),VLOOKUP(O162,Enthalpy,17),VLOOKUP(ROUNDDOWN(O162,-2),Enthalpy,17)+(O162-ROUNDDOWN(O162,-2))/(ROUNDUP(O162,-2)-ROUNDDOWN(O162,-2))*(VLOOKUP(ROUNDUP(O162,-2),Enthalpy,17)-VLOOKUP(ROUNDDOWN(O162,-2),Enthalpy,17)))</f>
        <v>10980</v>
      </c>
      <c r="O167" s="154">
        <f t="shared" si="12"/>
        <v>99918</v>
      </c>
      <c r="P167" s="71"/>
      <c r="Q167" s="71"/>
      <c r="R167" s="71"/>
      <c r="S167" s="71"/>
      <c r="T167" s="71"/>
      <c r="U167" s="71"/>
    </row>
    <row r="168" spans="1:21" ht="16.5" x14ac:dyDescent="0.3">
      <c r="A168" s="67" t="s">
        <v>52</v>
      </c>
      <c r="B168" s="88">
        <f>(B156+B14)</f>
        <v>896.33999999999992</v>
      </c>
      <c r="C168" s="66">
        <f>(IF(ROUNDDOWN(D162,-2)=ROUNDUP(D162,-2),VLOOKUP(D162,Enthalpy,9),VLOOKUP(ROUNDDOWN(D162,-2),Enthalpy,9)+(D162-ROUNDDOWN(D162,-2))/(ROUNDUP(D162,-2)-ROUNDDOWN(D162,-2))*(VLOOKUP(ROUNDUP(D162,-2),Enthalpy,9)-VLOOKUP(ROUNDDOWN(D162,-2),Enthalpy,9))))</f>
        <v>6932</v>
      </c>
      <c r="D168" s="150">
        <f t="shared" si="11"/>
        <v>6213428.8799999999</v>
      </c>
      <c r="E168" s="67"/>
      <c r="F168" s="67"/>
      <c r="G168" s="67"/>
      <c r="H168" s="67"/>
      <c r="I168" s="67"/>
      <c r="J168" s="67"/>
      <c r="K168" s="68"/>
      <c r="L168" s="71" t="s">
        <v>52</v>
      </c>
      <c r="M168" s="91">
        <f>(M156+M14)</f>
        <v>896.33999999999992</v>
      </c>
      <c r="N168" s="70">
        <f>IF(ROUNDDOWN(O162,-2)=ROUNDUP(O162,-2),VLOOKUP(O162,Enthalpy,9),VLOOKUP(ROUNDDOWN(O162,-2),Enthalpy,9)+(O162-ROUNDDOWN(O162,-2))/(ROUNDUP(O162,-2)-ROUNDDOWN(O162,-2))*(VLOOKUP(ROUNDUP(O162,-2),Enthalpy,9)-VLOOKUP(ROUNDDOWN(O162,-2),Enthalpy,9)))</f>
        <v>6932</v>
      </c>
      <c r="O168" s="154">
        <f t="shared" si="12"/>
        <v>6213428.8799999999</v>
      </c>
      <c r="P168" s="71"/>
      <c r="Q168" s="71"/>
      <c r="R168" s="71"/>
      <c r="S168" s="71"/>
      <c r="T168" s="71"/>
      <c r="U168" s="71"/>
    </row>
    <row r="169" spans="1:21" ht="16.5" x14ac:dyDescent="0.3">
      <c r="A169" s="67" t="s">
        <v>176</v>
      </c>
      <c r="B169" s="88"/>
      <c r="C169" s="66"/>
      <c r="D169" s="150"/>
      <c r="E169" s="67"/>
      <c r="F169" s="67"/>
      <c r="G169" s="67"/>
      <c r="H169" s="67"/>
      <c r="I169" s="67"/>
      <c r="J169" s="67"/>
      <c r="K169" s="68"/>
      <c r="L169" s="71" t="s">
        <v>176</v>
      </c>
      <c r="M169" s="91"/>
      <c r="N169" s="70"/>
      <c r="O169" s="154">
        <f t="shared" si="12"/>
        <v>0</v>
      </c>
      <c r="P169" s="71"/>
      <c r="Q169" s="71"/>
      <c r="R169" s="71"/>
      <c r="S169" s="71"/>
      <c r="T169" s="71"/>
      <c r="U169" s="71"/>
    </row>
    <row r="170" spans="1:21" ht="16.5" x14ac:dyDescent="0.3">
      <c r="A170" s="67" t="s">
        <v>53</v>
      </c>
      <c r="B170" s="94">
        <f>B155-D136-B33</f>
        <v>27.80725177894665</v>
      </c>
      <c r="C170" s="66">
        <f>(IF(ROUNDDOWN(D162,-2)=ROUNDUP(D162,-2),VLOOKUP(D162,Enthalpy,10),VLOOKUP(ROUNDDOWN(D162,-2),Enthalpy,10)+(D162-ROUNDDOWN(D162,-2))/(ROUNDUP(D162,-2)-ROUNDDOWN(D162,-2))*(VLOOKUP(ROUNDUP(D162,-2),Enthalpy,10)-VLOOKUP(ROUNDDOWN(D162,-2),Enthalpy,10))))</f>
        <v>7404</v>
      </c>
      <c r="D170" s="158">
        <f t="shared" si="11"/>
        <v>205884.892171321</v>
      </c>
      <c r="E170" s="67"/>
      <c r="F170" s="67"/>
      <c r="G170" s="67"/>
      <c r="H170" s="67"/>
      <c r="I170" s="67"/>
      <c r="J170" s="67"/>
      <c r="K170" s="68"/>
      <c r="L170" s="71" t="s">
        <v>53</v>
      </c>
      <c r="M170" s="96">
        <f>M155-O136-M33</f>
        <v>27.807336097849621</v>
      </c>
      <c r="N170" s="70">
        <f>IF(ROUNDDOWN(O162,-2)=ROUNDUP(O162,-2),VLOOKUP(O162,Enthalpy,10),VLOOKUP(ROUNDDOWN(O162,-2),Enthalpy,10)+(O162-ROUNDDOWN(O162,-2))/(ROUNDUP(O162,-2)-ROUNDDOWN(O162,-2))*(VLOOKUP(ROUNDUP(O162,-2),Enthalpy,10)-VLOOKUP(ROUNDDOWN(O162,-2),Enthalpy,10)))</f>
        <v>7404</v>
      </c>
      <c r="O170" s="161">
        <f t="shared" si="12"/>
        <v>205885.5164684786</v>
      </c>
      <c r="P170" s="71"/>
      <c r="Q170" s="71"/>
      <c r="R170" s="71"/>
      <c r="S170" s="71"/>
      <c r="T170" s="71"/>
      <c r="U170" s="71"/>
    </row>
    <row r="171" spans="1:21" x14ac:dyDescent="0.25">
      <c r="A171" s="67"/>
      <c r="B171" s="88">
        <f>SUM(B165:B170)</f>
        <v>1522.1690071157866</v>
      </c>
      <c r="C171" s="66"/>
      <c r="D171" s="150">
        <f>SUM(D165:D170)</f>
        <v>11809119.916373661</v>
      </c>
      <c r="E171" s="67"/>
      <c r="F171" s="67"/>
      <c r="G171" s="67"/>
      <c r="H171" s="67"/>
      <c r="I171" s="67"/>
      <c r="J171" s="67"/>
      <c r="K171" s="68"/>
      <c r="L171" s="71"/>
      <c r="M171" s="91">
        <f>SUM(M165:M170)</f>
        <v>1522.1693443913985</v>
      </c>
      <c r="N171" s="70"/>
      <c r="O171" s="154">
        <f>SUM(O165:O170)</f>
        <v>11809122.825375812</v>
      </c>
      <c r="P171" s="71"/>
      <c r="Q171" s="71"/>
      <c r="R171" s="71"/>
      <c r="S171" s="71"/>
      <c r="T171" s="71"/>
      <c r="U171" s="71"/>
    </row>
    <row r="172" spans="1:21" x14ac:dyDescent="0.25">
      <c r="A172" s="67"/>
      <c r="B172" s="66"/>
      <c r="C172" s="66"/>
      <c r="D172" s="67"/>
      <c r="E172" s="67"/>
      <c r="F172" s="67"/>
      <c r="G172" s="67"/>
      <c r="H172" s="67"/>
      <c r="I172" s="67"/>
      <c r="J172" s="67"/>
      <c r="K172" s="68"/>
      <c r="L172" s="71"/>
      <c r="M172" s="70"/>
      <c r="N172" s="70"/>
      <c r="O172" s="71"/>
      <c r="P172" s="71"/>
      <c r="Q172" s="71"/>
      <c r="R172" s="71"/>
      <c r="S172" s="71"/>
      <c r="T172" s="71"/>
      <c r="U172" s="71"/>
    </row>
    <row r="173" spans="1:21" x14ac:dyDescent="0.25">
      <c r="A173" s="275" t="s">
        <v>178</v>
      </c>
      <c r="B173" s="66"/>
      <c r="C173" s="66"/>
      <c r="D173" s="67"/>
      <c r="E173" s="67"/>
      <c r="F173" s="67"/>
      <c r="G173" s="67"/>
      <c r="H173" s="67"/>
      <c r="I173" s="67"/>
      <c r="J173" s="67"/>
      <c r="K173" s="68"/>
      <c r="L173" s="276" t="s">
        <v>178</v>
      </c>
      <c r="M173" s="70"/>
      <c r="N173" s="70"/>
      <c r="O173" s="71"/>
      <c r="P173" s="71"/>
      <c r="Q173" s="71"/>
      <c r="R173" s="71"/>
      <c r="S173" s="71"/>
      <c r="T173" s="71"/>
      <c r="U173" s="71"/>
    </row>
    <row r="174" spans="1:21" x14ac:dyDescent="0.25">
      <c r="A174" s="256" t="s">
        <v>179</v>
      </c>
      <c r="B174" s="66"/>
      <c r="C174" s="171">
        <f>+D171</f>
        <v>11809119.916373661</v>
      </c>
      <c r="D174" s="80" t="s">
        <v>76</v>
      </c>
      <c r="E174" s="67"/>
      <c r="F174" s="67"/>
      <c r="G174" s="67"/>
      <c r="H174" s="67"/>
      <c r="I174" s="67"/>
      <c r="J174" s="67"/>
      <c r="K174" s="68"/>
      <c r="L174" s="277" t="s">
        <v>179</v>
      </c>
      <c r="M174" s="70"/>
      <c r="N174" s="173">
        <f>+O171</f>
        <v>11809122.825375812</v>
      </c>
      <c r="O174" s="82" t="s">
        <v>76</v>
      </c>
      <c r="P174" s="71"/>
      <c r="Q174" s="71"/>
      <c r="R174" s="71"/>
      <c r="S174" s="71"/>
      <c r="T174" s="71"/>
      <c r="U174" s="71"/>
    </row>
    <row r="175" spans="1:21" x14ac:dyDescent="0.25">
      <c r="A175" s="275"/>
      <c r="B175" s="66"/>
      <c r="C175" s="66"/>
      <c r="D175" s="67"/>
      <c r="E175" s="67"/>
      <c r="F175" s="67"/>
      <c r="G175" s="67"/>
      <c r="H175" s="67"/>
      <c r="I175" s="67"/>
      <c r="J175" s="67"/>
      <c r="K175" s="68"/>
      <c r="L175" s="276"/>
      <c r="M175" s="70"/>
      <c r="N175" s="70"/>
      <c r="O175" s="71"/>
      <c r="P175" s="71"/>
      <c r="Q175" s="71"/>
      <c r="R175" s="71"/>
      <c r="S175" s="71"/>
      <c r="T175" s="71"/>
      <c r="U175" s="71"/>
    </row>
    <row r="176" spans="1:21" x14ac:dyDescent="0.25">
      <c r="A176" s="256" t="s">
        <v>180</v>
      </c>
      <c r="B176" s="66"/>
      <c r="C176" s="66"/>
      <c r="D176" s="67"/>
      <c r="E176" s="67"/>
      <c r="F176" s="67"/>
      <c r="G176" s="67"/>
      <c r="H176" s="67"/>
      <c r="I176" s="67"/>
      <c r="J176" s="67"/>
      <c r="K176" s="68"/>
      <c r="L176" s="277" t="s">
        <v>180</v>
      </c>
      <c r="M176" s="70"/>
      <c r="N176" s="70"/>
      <c r="O176" s="71"/>
      <c r="P176" s="71"/>
      <c r="Q176" s="71"/>
      <c r="R176" s="71"/>
      <c r="S176" s="71"/>
      <c r="T176" s="71"/>
      <c r="U176" s="71"/>
    </row>
    <row r="177" spans="1:21" x14ac:dyDescent="0.25">
      <c r="A177" s="67"/>
      <c r="B177" s="75" t="s">
        <v>174</v>
      </c>
      <c r="C177" s="73">
        <f>+D18</f>
        <v>2293690.2300000004</v>
      </c>
      <c r="D177" s="67" t="s">
        <v>76</v>
      </c>
      <c r="E177" s="67"/>
      <c r="F177" s="67"/>
      <c r="G177" s="67"/>
      <c r="H177" s="67"/>
      <c r="I177" s="67"/>
      <c r="J177" s="67"/>
      <c r="K177" s="68"/>
      <c r="L177" s="71"/>
      <c r="M177" s="77" t="s">
        <v>174</v>
      </c>
      <c r="N177" s="74">
        <f>+O18</f>
        <v>2293690.2300000004</v>
      </c>
      <c r="O177" s="71" t="s">
        <v>76</v>
      </c>
      <c r="P177" s="71"/>
      <c r="Q177" s="71"/>
      <c r="R177" s="71"/>
      <c r="S177" s="71"/>
      <c r="T177" s="71"/>
      <c r="U177" s="71"/>
    </row>
    <row r="178" spans="1:21" x14ac:dyDescent="0.25">
      <c r="A178" s="67"/>
      <c r="B178" s="75" t="s">
        <v>175</v>
      </c>
      <c r="C178" s="73">
        <f>+D158</f>
        <v>196398.87902999474</v>
      </c>
      <c r="D178" s="67" t="s">
        <v>76</v>
      </c>
      <c r="E178" s="67"/>
      <c r="F178" s="67"/>
      <c r="G178" s="67"/>
      <c r="H178" s="67"/>
      <c r="I178" s="67"/>
      <c r="J178" s="67"/>
      <c r="K178" s="68"/>
      <c r="L178" s="71"/>
      <c r="M178" s="77" t="s">
        <v>175</v>
      </c>
      <c r="N178" s="74">
        <f>+O158</f>
        <v>196399.00368706087</v>
      </c>
      <c r="O178" s="71" t="s">
        <v>76</v>
      </c>
      <c r="P178" s="71"/>
      <c r="Q178" s="71"/>
      <c r="R178" s="71"/>
      <c r="S178" s="71"/>
      <c r="T178" s="71"/>
      <c r="U178" s="71"/>
    </row>
    <row r="179" spans="1:21" x14ac:dyDescent="0.25">
      <c r="A179" s="67"/>
      <c r="B179" s="75" t="s">
        <v>184</v>
      </c>
      <c r="C179" s="73">
        <f>+D148</f>
        <v>13203.14183490801</v>
      </c>
      <c r="D179" s="67" t="s">
        <v>76</v>
      </c>
      <c r="E179" s="67"/>
      <c r="F179" s="67"/>
      <c r="G179" s="67"/>
      <c r="H179" s="67"/>
      <c r="I179" s="67"/>
      <c r="J179" s="67"/>
      <c r="K179" s="68"/>
      <c r="L179" s="71"/>
      <c r="M179" s="77" t="s">
        <v>184</v>
      </c>
      <c r="N179" s="74">
        <f>+O148</f>
        <v>13203.189702749229</v>
      </c>
      <c r="O179" s="71" t="s">
        <v>76</v>
      </c>
      <c r="P179" s="71"/>
      <c r="Q179" s="71"/>
      <c r="R179" s="71"/>
      <c r="S179" s="71"/>
      <c r="T179" s="71"/>
      <c r="U179" s="71"/>
    </row>
    <row r="180" spans="1:21" ht="16.5" x14ac:dyDescent="0.3">
      <c r="A180" s="67"/>
      <c r="B180" s="75" t="s">
        <v>81</v>
      </c>
      <c r="C180" s="73">
        <f>+B10*(-D23)</f>
        <v>864076</v>
      </c>
      <c r="D180" s="67" t="s">
        <v>76</v>
      </c>
      <c r="E180" s="67"/>
      <c r="F180" s="67"/>
      <c r="G180" s="67"/>
      <c r="H180" s="67"/>
      <c r="I180" s="67"/>
      <c r="J180" s="67"/>
      <c r="K180" s="68"/>
      <c r="L180" s="71"/>
      <c r="M180" s="77" t="s">
        <v>81</v>
      </c>
      <c r="N180" s="74">
        <f>+M10*(-O23)</f>
        <v>864076</v>
      </c>
      <c r="O180" s="71" t="s">
        <v>76</v>
      </c>
      <c r="P180" s="71"/>
      <c r="Q180" s="71"/>
      <c r="R180" s="71"/>
      <c r="S180" s="71"/>
      <c r="T180" s="71"/>
      <c r="U180" s="71"/>
    </row>
    <row r="181" spans="1:21" ht="16.5" x14ac:dyDescent="0.3">
      <c r="A181" s="67"/>
      <c r="B181" s="75" t="s">
        <v>273</v>
      </c>
      <c r="C181" s="73">
        <f>+B17*(-D25)</f>
        <v>191240</v>
      </c>
      <c r="D181" s="67" t="s">
        <v>76</v>
      </c>
      <c r="E181" s="67"/>
      <c r="F181" s="67"/>
      <c r="G181" s="67"/>
      <c r="H181" s="67"/>
      <c r="I181" s="67"/>
      <c r="J181" s="67"/>
      <c r="K181" s="68"/>
      <c r="L181" s="71"/>
      <c r="M181" s="77" t="s">
        <v>273</v>
      </c>
      <c r="N181" s="74">
        <f>+M17*(-O25)</f>
        <v>191240</v>
      </c>
      <c r="O181" s="71" t="s">
        <v>76</v>
      </c>
      <c r="P181" s="71"/>
      <c r="Q181" s="71"/>
      <c r="R181" s="71"/>
      <c r="S181" s="71"/>
      <c r="T181" s="71"/>
      <c r="U181" s="71"/>
    </row>
    <row r="182" spans="1:21" ht="16.5" x14ac:dyDescent="0.3">
      <c r="A182" s="67"/>
      <c r="B182" s="75" t="s">
        <v>274</v>
      </c>
      <c r="C182" s="73">
        <f>+B15*-D27</f>
        <v>16172</v>
      </c>
      <c r="D182" s="67" t="s">
        <v>76</v>
      </c>
      <c r="E182" s="67"/>
      <c r="F182" s="67"/>
      <c r="G182" s="67"/>
      <c r="H182" s="67"/>
      <c r="I182" s="67"/>
      <c r="J182" s="67"/>
      <c r="K182" s="68"/>
      <c r="L182" s="71"/>
      <c r="M182" s="77" t="s">
        <v>274</v>
      </c>
      <c r="N182" s="74">
        <f>+M15*-O27</f>
        <v>16172</v>
      </c>
      <c r="O182" s="71" t="s">
        <v>76</v>
      </c>
      <c r="P182" s="71"/>
      <c r="Q182" s="71"/>
      <c r="R182" s="71"/>
      <c r="S182" s="71"/>
      <c r="T182" s="71"/>
      <c r="U182" s="71"/>
    </row>
    <row r="183" spans="1:21" ht="16.5" x14ac:dyDescent="0.3">
      <c r="A183" s="67"/>
      <c r="B183" s="75" t="s">
        <v>275</v>
      </c>
      <c r="C183" s="73">
        <f>+B16*-D29</f>
        <v>233992</v>
      </c>
      <c r="D183" s="67" t="s">
        <v>76</v>
      </c>
      <c r="E183" s="67"/>
      <c r="F183" s="67"/>
      <c r="G183" s="67"/>
      <c r="H183" s="67"/>
      <c r="I183" s="67"/>
      <c r="J183" s="67"/>
      <c r="K183" s="68"/>
      <c r="L183" s="71"/>
      <c r="M183" s="77" t="s">
        <v>275</v>
      </c>
      <c r="N183" s="74">
        <f>+M16*-O29</f>
        <v>233992</v>
      </c>
      <c r="O183" s="71" t="s">
        <v>76</v>
      </c>
      <c r="P183" s="71"/>
      <c r="Q183" s="71"/>
      <c r="R183" s="71"/>
      <c r="S183" s="71"/>
      <c r="T183" s="71"/>
      <c r="U183" s="71"/>
    </row>
    <row r="184" spans="1:21" ht="16.5" x14ac:dyDescent="0.3">
      <c r="A184" s="67"/>
      <c r="B184" s="75" t="s">
        <v>188</v>
      </c>
      <c r="C184" s="171">
        <f>B143*-D73</f>
        <v>8026077.5889144866</v>
      </c>
      <c r="D184" s="80" t="s">
        <v>76</v>
      </c>
      <c r="E184" s="67"/>
      <c r="F184" s="67"/>
      <c r="G184" s="67"/>
      <c r="H184" s="67"/>
      <c r="I184" s="67"/>
      <c r="J184" s="67"/>
      <c r="K184" s="68"/>
      <c r="L184" s="71"/>
      <c r="M184" s="77" t="s">
        <v>188</v>
      </c>
      <c r="N184" s="173">
        <f>M143*-O73</f>
        <v>8026106.6873679031</v>
      </c>
      <c r="O184" s="82" t="s">
        <v>76</v>
      </c>
      <c r="P184" s="71"/>
      <c r="Q184" s="71"/>
      <c r="R184" s="71"/>
      <c r="S184" s="71"/>
      <c r="T184" s="71"/>
      <c r="U184" s="71"/>
    </row>
    <row r="185" spans="1:21" x14ac:dyDescent="0.25">
      <c r="A185" s="67"/>
      <c r="B185" s="66"/>
      <c r="C185" s="73">
        <f>SUM(C177:C184)</f>
        <v>11834849.83977939</v>
      </c>
      <c r="D185" s="67" t="s">
        <v>76</v>
      </c>
      <c r="E185" s="67"/>
      <c r="F185" s="67"/>
      <c r="G185" s="67"/>
      <c r="H185" s="67"/>
      <c r="I185" s="67"/>
      <c r="J185" s="67"/>
      <c r="K185" s="68"/>
      <c r="L185" s="71"/>
      <c r="M185" s="70"/>
      <c r="N185" s="74">
        <f>SUM(N177:N184)</f>
        <v>11834879.110757714</v>
      </c>
      <c r="O185" s="71" t="s">
        <v>76</v>
      </c>
      <c r="P185" s="71"/>
      <c r="Q185" s="281"/>
      <c r="R185" s="71"/>
      <c r="S185" s="71"/>
      <c r="T185" s="71"/>
      <c r="U185" s="71"/>
    </row>
    <row r="186" spans="1:21" x14ac:dyDescent="0.25">
      <c r="A186" s="67"/>
      <c r="B186" s="66"/>
      <c r="C186" s="73"/>
      <c r="D186" s="67"/>
      <c r="E186" s="67"/>
      <c r="F186" s="67"/>
      <c r="G186" s="67"/>
      <c r="H186" s="67"/>
      <c r="I186" s="67"/>
      <c r="J186" s="67"/>
      <c r="K186" s="68"/>
      <c r="L186" s="71"/>
      <c r="M186" s="70"/>
      <c r="N186" s="74"/>
      <c r="O186" s="71"/>
      <c r="P186" s="71"/>
      <c r="Q186" s="281"/>
      <c r="R186" s="71"/>
      <c r="S186" s="71"/>
      <c r="T186" s="71"/>
      <c r="U186" s="71"/>
    </row>
    <row r="187" spans="1:21" x14ac:dyDescent="0.25">
      <c r="A187" s="67" t="s">
        <v>282</v>
      </c>
      <c r="B187" s="66"/>
      <c r="C187" s="73"/>
      <c r="D187" s="67"/>
      <c r="E187" s="67"/>
      <c r="F187" s="255">
        <v>0.01</v>
      </c>
      <c r="G187" s="67"/>
      <c r="H187" s="67"/>
      <c r="I187" s="67"/>
      <c r="J187" s="67"/>
      <c r="K187" s="68"/>
      <c r="L187" s="71" t="s">
        <v>282</v>
      </c>
      <c r="M187" s="70"/>
      <c r="N187" s="74"/>
      <c r="O187" s="71"/>
      <c r="P187" s="71"/>
      <c r="Q187" s="299">
        <v>0.01</v>
      </c>
      <c r="R187" s="71"/>
      <c r="S187" s="71"/>
      <c r="T187" s="71"/>
      <c r="U187" s="71"/>
    </row>
    <row r="188" spans="1:21" x14ac:dyDescent="0.25">
      <c r="A188" s="256"/>
      <c r="B188" s="66"/>
      <c r="C188" s="73"/>
      <c r="D188" s="67"/>
      <c r="E188" s="67"/>
      <c r="F188" s="67"/>
      <c r="G188" s="67"/>
      <c r="H188" s="67"/>
      <c r="I188" s="67"/>
      <c r="J188" s="67"/>
      <c r="K188" s="68"/>
      <c r="L188" s="277"/>
      <c r="M188" s="70"/>
      <c r="N188" s="74"/>
      <c r="O188" s="71"/>
      <c r="P188" s="71"/>
      <c r="Q188" s="71"/>
      <c r="R188" s="71"/>
      <c r="S188" s="71"/>
      <c r="T188" s="71"/>
      <c r="U188" s="71"/>
    </row>
    <row r="189" spans="1:21" x14ac:dyDescent="0.25">
      <c r="A189" s="67" t="str">
        <f>IF(ABS((C185-C174)/C185)&lt;F187,+CONCATENATE("The heat in plus heat of reactions equals the heat out within ",F187*100,"%, validating the convergence."),+CONCATENATE("The heat in plus the heat of reactions is outside of +/- ",F187*100,"% of the heat out, requiring another iteration."))</f>
        <v>The heat in plus heat of reactions equals the heat out within 1%, validating the convergence.</v>
      </c>
      <c r="B189" s="75"/>
      <c r="C189" s="73"/>
      <c r="D189" s="67"/>
      <c r="E189" s="67"/>
      <c r="F189" s="67"/>
      <c r="G189" s="67"/>
      <c r="H189" s="67"/>
      <c r="I189" s="67"/>
      <c r="J189" s="67"/>
      <c r="K189" s="68"/>
      <c r="L189" s="282" t="str">
        <f>IF(ABS((N185-N174)/N185)&lt;Q187,+CONCATENATE("The heat in plus heat of reactions equals the heat out within ",Q187*100,"%, validating the convergence."),+CONCATENATE("The heat in plus the heat of reactions is outside of +/- ",Q187*100,"% of the heat out, requiring another iteration."))</f>
        <v>The heat in plus heat of reactions equals the heat out within 1%, validating the convergence.</v>
      </c>
      <c r="M189" s="238"/>
      <c r="N189" s="238"/>
      <c r="O189" s="238"/>
      <c r="P189" s="238"/>
      <c r="Q189" s="238"/>
      <c r="R189" s="238"/>
      <c r="S189" s="71"/>
      <c r="T189" s="71"/>
      <c r="U189" s="71"/>
    </row>
    <row r="190" spans="1:21" x14ac:dyDescent="0.25">
      <c r="A190" s="67"/>
      <c r="B190" s="88"/>
      <c r="C190" s="88"/>
      <c r="D190" s="67"/>
      <c r="E190" s="67"/>
      <c r="F190" s="67"/>
      <c r="G190" s="67"/>
      <c r="H190" s="67"/>
      <c r="I190" s="67"/>
      <c r="J190" s="67"/>
      <c r="K190" s="68"/>
      <c r="L190" s="71"/>
      <c r="M190" s="71"/>
      <c r="N190" s="71"/>
      <c r="O190" s="71"/>
      <c r="P190" s="71"/>
      <c r="Q190" s="71"/>
      <c r="R190" s="71"/>
      <c r="S190" s="71"/>
      <c r="T190" s="71"/>
      <c r="U190" s="71"/>
    </row>
    <row r="193" spans="1:1" x14ac:dyDescent="0.25">
      <c r="A193" s="58" t="s">
        <v>327</v>
      </c>
    </row>
    <row r="194" spans="1:1" x14ac:dyDescent="0.25">
      <c r="A194" s="58" t="s">
        <v>328</v>
      </c>
    </row>
    <row r="195" spans="1:1" x14ac:dyDescent="0.25">
      <c r="A195" s="58" t="s">
        <v>329</v>
      </c>
    </row>
    <row r="196" spans="1:1" x14ac:dyDescent="0.25">
      <c r="A196" s="58" t="s">
        <v>330</v>
      </c>
    </row>
    <row r="197" spans="1:1" x14ac:dyDescent="0.25">
      <c r="A197" s="58" t="s">
        <v>331</v>
      </c>
    </row>
  </sheetData>
  <sheetProtection password="F030" sheet="1" objects="1" scenarios="1"/>
  <mergeCells count="26">
    <mergeCell ref="L189:R189"/>
    <mergeCell ref="B119:C119"/>
    <mergeCell ref="M75:O75"/>
    <mergeCell ref="M85:O85"/>
    <mergeCell ref="M95:O95"/>
    <mergeCell ref="M119:N119"/>
    <mergeCell ref="B161:D161"/>
    <mergeCell ref="M140:O140"/>
    <mergeCell ref="M150:O150"/>
    <mergeCell ref="M160:O160"/>
    <mergeCell ref="M161:O161"/>
    <mergeCell ref="B140:D140"/>
    <mergeCell ref="B150:D150"/>
    <mergeCell ref="B160:D160"/>
    <mergeCell ref="F5:G15"/>
    <mergeCell ref="Q5:R15"/>
    <mergeCell ref="B75:D75"/>
    <mergeCell ref="B85:D85"/>
    <mergeCell ref="B95:D95"/>
    <mergeCell ref="A4:C5"/>
    <mergeCell ref="C36:E36"/>
    <mergeCell ref="B48:D48"/>
    <mergeCell ref="L4:N5"/>
    <mergeCell ref="N36:P36"/>
    <mergeCell ref="M48:O48"/>
    <mergeCell ref="F32:I35"/>
  </mergeCells>
  <phoneticPr fontId="21"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zoomScale="80" zoomScaleNormal="80" workbookViewId="0">
      <selection activeCell="R29" sqref="R29"/>
    </sheetView>
  </sheetViews>
  <sheetFormatPr defaultRowHeight="15" x14ac:dyDescent="0.25"/>
  <cols>
    <col min="1" max="1" width="9.140625" style="48"/>
    <col min="2" max="2" width="10.28515625" style="48" bestFit="1" customWidth="1"/>
    <col min="3" max="16384" width="9.140625" style="48"/>
  </cols>
  <sheetData>
    <row r="1" spans="1:23" ht="20.25" x14ac:dyDescent="0.3">
      <c r="A1" s="46" t="s">
        <v>242</v>
      </c>
      <c r="B1" s="47"/>
      <c r="C1" s="47"/>
      <c r="D1" s="47"/>
      <c r="E1" s="47"/>
      <c r="F1" s="47"/>
      <c r="G1" s="47"/>
      <c r="H1" s="47"/>
      <c r="I1" s="47"/>
      <c r="J1" s="47"/>
      <c r="K1" s="47"/>
      <c r="L1" s="47"/>
      <c r="M1" s="47"/>
      <c r="N1" s="47"/>
      <c r="O1" s="47"/>
    </row>
    <row r="2" spans="1:23" x14ac:dyDescent="0.25">
      <c r="A2" s="49"/>
      <c r="B2" s="49">
        <v>2</v>
      </c>
      <c r="C2" s="49">
        <v>3</v>
      </c>
      <c r="D2" s="49">
        <v>4</v>
      </c>
      <c r="E2" s="49">
        <v>5</v>
      </c>
      <c r="F2" s="49">
        <v>6</v>
      </c>
      <c r="G2" s="49">
        <v>7</v>
      </c>
      <c r="H2" s="49">
        <v>8</v>
      </c>
      <c r="I2" s="49">
        <v>9</v>
      </c>
      <c r="J2" s="49">
        <v>10</v>
      </c>
      <c r="K2" s="49">
        <v>11</v>
      </c>
      <c r="L2" s="49">
        <v>12</v>
      </c>
      <c r="M2" s="49">
        <v>13</v>
      </c>
      <c r="N2" s="49">
        <v>14</v>
      </c>
      <c r="O2" s="49">
        <v>15</v>
      </c>
      <c r="P2" s="49">
        <v>16</v>
      </c>
      <c r="Q2" s="49">
        <v>17</v>
      </c>
      <c r="R2" s="49">
        <v>18</v>
      </c>
      <c r="S2" s="49">
        <v>19</v>
      </c>
      <c r="T2" s="49">
        <v>20</v>
      </c>
      <c r="U2" s="49">
        <v>21</v>
      </c>
      <c r="V2" s="49">
        <v>22</v>
      </c>
      <c r="W2" s="49">
        <v>23</v>
      </c>
    </row>
    <row r="3" spans="1:23" s="53" customFormat="1" ht="17.25" x14ac:dyDescent="0.3">
      <c r="A3" s="50" t="s">
        <v>17</v>
      </c>
      <c r="B3" s="51" t="s">
        <v>198</v>
      </c>
      <c r="C3" s="52" t="s">
        <v>199</v>
      </c>
      <c r="D3" s="52" t="s">
        <v>200</v>
      </c>
      <c r="E3" s="52" t="s">
        <v>201</v>
      </c>
      <c r="F3" s="52" t="s">
        <v>202</v>
      </c>
      <c r="G3" s="52" t="s">
        <v>203</v>
      </c>
      <c r="H3" s="52" t="s">
        <v>204</v>
      </c>
      <c r="I3" s="52" t="s">
        <v>213</v>
      </c>
      <c r="J3" s="52" t="s">
        <v>214</v>
      </c>
      <c r="K3" s="52" t="s">
        <v>175</v>
      </c>
      <c r="L3" s="52" t="s">
        <v>215</v>
      </c>
      <c r="M3" s="52" t="s">
        <v>216</v>
      </c>
      <c r="N3" s="52" t="s">
        <v>217</v>
      </c>
      <c r="O3" s="52" t="s">
        <v>218</v>
      </c>
      <c r="P3" s="51" t="s">
        <v>205</v>
      </c>
      <c r="Q3" s="52" t="s">
        <v>206</v>
      </c>
      <c r="R3" s="52" t="s">
        <v>207</v>
      </c>
      <c r="S3" s="52" t="s">
        <v>208</v>
      </c>
      <c r="T3" s="52" t="s">
        <v>209</v>
      </c>
      <c r="U3" s="52" t="s">
        <v>210</v>
      </c>
      <c r="V3" s="52" t="s">
        <v>211</v>
      </c>
      <c r="W3" s="52" t="s">
        <v>212</v>
      </c>
    </row>
    <row r="4" spans="1:23" x14ac:dyDescent="0.25">
      <c r="A4" s="54">
        <v>32</v>
      </c>
      <c r="B4" s="55">
        <v>0</v>
      </c>
      <c r="C4" s="55">
        <v>0</v>
      </c>
      <c r="D4" s="55">
        <v>0</v>
      </c>
      <c r="E4" s="55">
        <v>0</v>
      </c>
      <c r="F4" s="55">
        <v>0</v>
      </c>
      <c r="G4" s="55">
        <v>0</v>
      </c>
      <c r="H4" s="55">
        <v>0</v>
      </c>
      <c r="I4" s="56">
        <v>0</v>
      </c>
      <c r="J4" s="56">
        <v>0</v>
      </c>
      <c r="K4" s="56">
        <v>0</v>
      </c>
      <c r="L4" s="56">
        <v>0</v>
      </c>
      <c r="M4" s="56">
        <v>0</v>
      </c>
      <c r="N4" s="56">
        <v>0</v>
      </c>
      <c r="O4" s="56">
        <v>0</v>
      </c>
      <c r="P4" s="55">
        <v>0</v>
      </c>
      <c r="Q4" s="55">
        <v>0</v>
      </c>
      <c r="R4" s="55">
        <v>0</v>
      </c>
      <c r="S4" s="55">
        <v>0</v>
      </c>
      <c r="T4" s="55">
        <v>0</v>
      </c>
      <c r="U4" s="55">
        <v>0</v>
      </c>
      <c r="V4" s="55">
        <v>0</v>
      </c>
      <c r="W4" s="55">
        <v>0</v>
      </c>
    </row>
    <row r="5" spans="1:23" x14ac:dyDescent="0.25">
      <c r="A5" s="54">
        <v>60</v>
      </c>
      <c r="B5" s="55">
        <v>231.5</v>
      </c>
      <c r="C5" s="57">
        <v>337.4</v>
      </c>
      <c r="D5" s="57">
        <v>469.6</v>
      </c>
      <c r="E5" s="57">
        <v>630.79999999999995</v>
      </c>
      <c r="F5" s="57">
        <v>615.1</v>
      </c>
      <c r="G5" s="57">
        <v>767.5</v>
      </c>
      <c r="H5" s="57">
        <v>911.3</v>
      </c>
      <c r="I5" s="56">
        <v>195.1</v>
      </c>
      <c r="J5" s="56">
        <v>201.7</v>
      </c>
      <c r="K5" s="56">
        <v>194.5</v>
      </c>
      <c r="L5" s="56">
        <v>196</v>
      </c>
      <c r="M5" s="56">
        <v>195.2</v>
      </c>
      <c r="N5" s="56">
        <v>244.7</v>
      </c>
      <c r="O5" s="56">
        <v>228.5</v>
      </c>
      <c r="P5" s="55">
        <v>215.1</v>
      </c>
      <c r="Q5" s="57">
        <v>263.2</v>
      </c>
      <c r="R5" s="57">
        <v>337.6</v>
      </c>
      <c r="S5" s="57">
        <v>225</v>
      </c>
      <c r="T5" s="57">
        <v>298.5</v>
      </c>
      <c r="U5" s="57">
        <v>271.8</v>
      </c>
      <c r="V5" s="57">
        <v>743.2</v>
      </c>
      <c r="W5" s="57">
        <v>1029</v>
      </c>
    </row>
    <row r="6" spans="1:23" x14ac:dyDescent="0.25">
      <c r="A6" s="54">
        <v>77</v>
      </c>
      <c r="B6" s="55">
        <v>373.5</v>
      </c>
      <c r="C6" s="57">
        <v>548.29999999999995</v>
      </c>
      <c r="D6" s="57">
        <v>764.6</v>
      </c>
      <c r="E6" s="57">
        <v>1027</v>
      </c>
      <c r="F6" s="57">
        <v>1002</v>
      </c>
      <c r="G6" s="57">
        <v>1249</v>
      </c>
      <c r="H6" s="57">
        <v>1483</v>
      </c>
      <c r="I6" s="56">
        <v>313.60000000000002</v>
      </c>
      <c r="J6" s="56">
        <v>325</v>
      </c>
      <c r="K6" s="56">
        <v>312.60000000000002</v>
      </c>
      <c r="L6" s="56">
        <v>314.8</v>
      </c>
      <c r="M6" s="56">
        <v>313.89999999999998</v>
      </c>
      <c r="N6" s="56">
        <v>396</v>
      </c>
      <c r="O6" s="56">
        <v>367.9</v>
      </c>
      <c r="P6" s="55">
        <v>346.7</v>
      </c>
      <c r="Q6" s="57">
        <v>425.7</v>
      </c>
      <c r="R6" s="57">
        <v>547</v>
      </c>
      <c r="S6" s="57">
        <v>361.8</v>
      </c>
      <c r="T6" s="57">
        <v>482.2</v>
      </c>
      <c r="U6" s="57">
        <v>439.5</v>
      </c>
      <c r="V6" s="57">
        <v>1200</v>
      </c>
      <c r="W6" s="57">
        <v>1661</v>
      </c>
    </row>
    <row r="7" spans="1:23" x14ac:dyDescent="0.25">
      <c r="A7" s="54">
        <v>100</v>
      </c>
      <c r="B7" s="55">
        <v>567.70000000000005</v>
      </c>
      <c r="C7" s="57">
        <v>841</v>
      </c>
      <c r="D7" s="57">
        <v>1176</v>
      </c>
      <c r="E7" s="57">
        <v>1577</v>
      </c>
      <c r="F7" s="57">
        <v>1543</v>
      </c>
      <c r="G7" s="57">
        <v>1919</v>
      </c>
      <c r="H7" s="57">
        <v>2280</v>
      </c>
      <c r="I7" s="56">
        <v>474.1</v>
      </c>
      <c r="J7" s="56">
        <v>492.8</v>
      </c>
      <c r="K7" s="56">
        <v>472.6</v>
      </c>
      <c r="L7" s="56">
        <v>475.6</v>
      </c>
      <c r="M7" s="56">
        <v>474.5</v>
      </c>
      <c r="N7" s="56">
        <v>603.6</v>
      </c>
      <c r="O7" s="56">
        <v>557.1</v>
      </c>
      <c r="P7" s="55">
        <v>526</v>
      </c>
      <c r="Q7" s="57">
        <v>648.70000000000005</v>
      </c>
      <c r="R7" s="57">
        <v>835.3</v>
      </c>
      <c r="S7" s="57">
        <v>547.20000000000005</v>
      </c>
      <c r="T7" s="57">
        <v>733.7</v>
      </c>
      <c r="U7" s="57">
        <v>669.5</v>
      </c>
      <c r="V7" s="57">
        <v>1826</v>
      </c>
      <c r="W7" s="57">
        <v>2526</v>
      </c>
    </row>
    <row r="8" spans="1:23" x14ac:dyDescent="0.25">
      <c r="A8" s="54">
        <v>200</v>
      </c>
      <c r="B8" s="55">
        <v>1445</v>
      </c>
      <c r="C8" s="57">
        <v>2216</v>
      </c>
      <c r="D8" s="57">
        <v>3128</v>
      </c>
      <c r="E8" s="57">
        <v>4184</v>
      </c>
      <c r="F8" s="57">
        <v>4117</v>
      </c>
      <c r="G8" s="57">
        <v>5094</v>
      </c>
      <c r="H8" s="57">
        <v>6054</v>
      </c>
      <c r="I8" s="56">
        <v>1173</v>
      </c>
      <c r="J8" s="56">
        <v>1232</v>
      </c>
      <c r="K8" s="56">
        <v>1169</v>
      </c>
      <c r="L8" s="56">
        <v>1173</v>
      </c>
      <c r="M8" s="56">
        <v>1174</v>
      </c>
      <c r="N8" s="56">
        <v>1543</v>
      </c>
      <c r="O8" s="56">
        <v>1388</v>
      </c>
      <c r="P8" s="55">
        <v>1319</v>
      </c>
      <c r="Q8" s="57">
        <v>1657</v>
      </c>
      <c r="R8" s="57">
        <v>2148</v>
      </c>
      <c r="S8" s="57">
        <v>1360</v>
      </c>
      <c r="T8" s="57">
        <v>1862</v>
      </c>
      <c r="U8" s="57">
        <v>1707</v>
      </c>
      <c r="V8" s="57">
        <v>4618</v>
      </c>
      <c r="W8" s="57">
        <v>6384</v>
      </c>
    </row>
    <row r="9" spans="1:23" x14ac:dyDescent="0.25">
      <c r="A9" s="54">
        <v>300</v>
      </c>
      <c r="B9" s="55">
        <v>2394</v>
      </c>
      <c r="C9" s="57">
        <v>3762</v>
      </c>
      <c r="D9" s="57">
        <v>5345</v>
      </c>
      <c r="E9" s="57">
        <v>7132</v>
      </c>
      <c r="F9" s="57">
        <v>7052</v>
      </c>
      <c r="G9" s="57">
        <v>8693</v>
      </c>
      <c r="H9" s="57">
        <v>10340</v>
      </c>
      <c r="I9" s="56">
        <v>1873</v>
      </c>
      <c r="J9" s="56">
        <v>1983</v>
      </c>
      <c r="K9" s="56">
        <v>1870</v>
      </c>
      <c r="L9" s="56">
        <v>1870</v>
      </c>
      <c r="M9" s="56">
        <v>1877</v>
      </c>
      <c r="N9" s="56">
        <v>2534</v>
      </c>
      <c r="O9" s="56">
        <v>2228</v>
      </c>
      <c r="P9" s="55">
        <v>2132</v>
      </c>
      <c r="Q9" s="57">
        <v>2720</v>
      </c>
      <c r="R9" s="57">
        <v>3541</v>
      </c>
      <c r="S9" s="57">
        <v>2188</v>
      </c>
      <c r="T9" s="57">
        <v>3038</v>
      </c>
      <c r="U9" s="57">
        <v>2797</v>
      </c>
      <c r="V9" s="57">
        <v>7501</v>
      </c>
      <c r="W9" s="57">
        <v>10360</v>
      </c>
    </row>
    <row r="10" spans="1:23" x14ac:dyDescent="0.25">
      <c r="A10" s="54">
        <v>400</v>
      </c>
      <c r="B10" s="55">
        <v>3426</v>
      </c>
      <c r="C10" s="57">
        <v>5476</v>
      </c>
      <c r="D10" s="57">
        <v>7817</v>
      </c>
      <c r="E10" s="57">
        <v>10410</v>
      </c>
      <c r="F10" s="57">
        <v>10330</v>
      </c>
      <c r="G10" s="57">
        <v>12700</v>
      </c>
      <c r="H10" s="57">
        <v>15110</v>
      </c>
      <c r="I10" s="56">
        <v>2577</v>
      </c>
      <c r="J10" s="56">
        <v>2742</v>
      </c>
      <c r="K10" s="56">
        <v>2576</v>
      </c>
      <c r="L10" s="56">
        <v>2565</v>
      </c>
      <c r="M10" s="56">
        <v>2584</v>
      </c>
      <c r="N10" s="56">
        <v>3566</v>
      </c>
      <c r="O10" s="56">
        <v>3075</v>
      </c>
      <c r="P10" s="55">
        <v>2960</v>
      </c>
      <c r="Q10" s="57">
        <v>3824</v>
      </c>
      <c r="R10" s="57">
        <v>5000</v>
      </c>
      <c r="S10" s="57">
        <v>3040</v>
      </c>
      <c r="T10" s="57">
        <v>4255</v>
      </c>
      <c r="U10" s="57">
        <v>3930</v>
      </c>
      <c r="V10" s="57">
        <v>10450</v>
      </c>
      <c r="W10" s="57">
        <v>14430</v>
      </c>
    </row>
    <row r="11" spans="1:23" x14ac:dyDescent="0.25">
      <c r="A11" s="54">
        <v>500</v>
      </c>
      <c r="B11" s="55">
        <v>4548</v>
      </c>
      <c r="C11" s="57">
        <v>7352</v>
      </c>
      <c r="D11" s="57">
        <v>10530</v>
      </c>
      <c r="E11" s="57">
        <v>13990</v>
      </c>
      <c r="F11" s="57">
        <v>13920</v>
      </c>
      <c r="G11" s="57">
        <v>17100</v>
      </c>
      <c r="H11" s="57">
        <v>20340</v>
      </c>
      <c r="I11" s="56">
        <v>3285</v>
      </c>
      <c r="J11" s="56">
        <v>3508</v>
      </c>
      <c r="K11" s="56">
        <v>3289</v>
      </c>
      <c r="L11" s="56">
        <v>3261</v>
      </c>
      <c r="M11" s="56">
        <v>3297</v>
      </c>
      <c r="N11" s="56">
        <v>4635</v>
      </c>
      <c r="O11" s="56">
        <v>3928</v>
      </c>
      <c r="P11" s="55">
        <v>3800</v>
      </c>
      <c r="Q11" s="57">
        <v>4961</v>
      </c>
      <c r="R11" s="57">
        <v>6516</v>
      </c>
      <c r="S11" s="57">
        <v>3920</v>
      </c>
      <c r="T11" s="57">
        <v>5506</v>
      </c>
      <c r="U11" s="57">
        <v>5100</v>
      </c>
      <c r="V11" s="57">
        <v>13440</v>
      </c>
      <c r="W11" s="57">
        <v>18580</v>
      </c>
    </row>
    <row r="12" spans="1:23" x14ac:dyDescent="0.25">
      <c r="A12" s="54">
        <v>600</v>
      </c>
      <c r="B12" s="55">
        <v>5759</v>
      </c>
      <c r="C12" s="57">
        <v>9380</v>
      </c>
      <c r="D12" s="57">
        <v>13460</v>
      </c>
      <c r="E12" s="57">
        <v>17850</v>
      </c>
      <c r="F12" s="57">
        <v>17800</v>
      </c>
      <c r="G12" s="57">
        <v>21850</v>
      </c>
      <c r="H12" s="57">
        <v>25990</v>
      </c>
      <c r="I12" s="56">
        <v>3999</v>
      </c>
      <c r="J12" s="56">
        <v>4279</v>
      </c>
      <c r="K12" s="56">
        <v>4010</v>
      </c>
      <c r="L12" s="56">
        <v>3956</v>
      </c>
      <c r="M12" s="56">
        <v>4017</v>
      </c>
      <c r="N12" s="56">
        <v>5736</v>
      </c>
      <c r="O12" s="56">
        <v>4789</v>
      </c>
      <c r="P12" s="55">
        <v>4650</v>
      </c>
      <c r="Q12" s="57">
        <v>6124</v>
      </c>
      <c r="R12" s="57">
        <v>8084</v>
      </c>
      <c r="S12" s="57">
        <v>4831</v>
      </c>
      <c r="T12" s="57">
        <v>6786</v>
      </c>
      <c r="U12" s="57">
        <v>6302</v>
      </c>
      <c r="V12" s="57">
        <v>16460</v>
      </c>
      <c r="W12" s="57">
        <v>22780</v>
      </c>
    </row>
    <row r="13" spans="1:23" x14ac:dyDescent="0.25">
      <c r="A13" s="54">
        <v>700</v>
      </c>
      <c r="B13" s="55">
        <v>7053</v>
      </c>
      <c r="C13" s="57">
        <v>11550</v>
      </c>
      <c r="D13" s="57">
        <v>16590</v>
      </c>
      <c r="E13" s="57">
        <v>21970</v>
      </c>
      <c r="F13" s="57">
        <v>21950</v>
      </c>
      <c r="G13" s="57">
        <v>26940</v>
      </c>
      <c r="H13" s="57">
        <v>32030</v>
      </c>
      <c r="I13" s="56">
        <v>4720</v>
      </c>
      <c r="J13" s="56">
        <v>5053</v>
      </c>
      <c r="K13" s="56">
        <v>4740</v>
      </c>
      <c r="L13" s="56">
        <v>4651</v>
      </c>
      <c r="M13" s="56">
        <v>4746</v>
      </c>
      <c r="N13" s="56">
        <v>6868</v>
      </c>
      <c r="O13" s="56">
        <v>5658</v>
      </c>
      <c r="P13" s="55">
        <v>5507</v>
      </c>
      <c r="Q13" s="57">
        <v>7309</v>
      </c>
      <c r="R13" s="57">
        <v>9699</v>
      </c>
      <c r="S13" s="57">
        <v>5774</v>
      </c>
      <c r="T13" s="57">
        <v>8091</v>
      </c>
      <c r="U13" s="57">
        <v>7531</v>
      </c>
      <c r="V13" s="57">
        <v>19510</v>
      </c>
      <c r="W13" s="57">
        <v>27050</v>
      </c>
    </row>
    <row r="14" spans="1:23" x14ac:dyDescent="0.25">
      <c r="A14" s="54">
        <v>800</v>
      </c>
      <c r="B14" s="55">
        <v>8424</v>
      </c>
      <c r="C14" s="57">
        <v>13850</v>
      </c>
      <c r="D14" s="57">
        <v>19910</v>
      </c>
      <c r="E14" s="57">
        <v>26330</v>
      </c>
      <c r="F14" s="57">
        <v>26330</v>
      </c>
      <c r="G14" s="57">
        <v>32320</v>
      </c>
      <c r="H14" s="57">
        <v>38410</v>
      </c>
      <c r="I14" s="56">
        <v>5449</v>
      </c>
      <c r="J14" s="56">
        <v>5833</v>
      </c>
      <c r="K14" s="56">
        <v>5479</v>
      </c>
      <c r="L14" s="56">
        <v>5346</v>
      </c>
      <c r="M14" s="56">
        <v>5484</v>
      </c>
      <c r="N14" s="56">
        <v>8028</v>
      </c>
      <c r="O14" s="56">
        <v>6537</v>
      </c>
      <c r="P14" s="55">
        <v>6372</v>
      </c>
      <c r="Q14" s="57">
        <v>8515</v>
      </c>
      <c r="R14" s="57">
        <v>11360</v>
      </c>
      <c r="S14" s="57">
        <v>6749</v>
      </c>
      <c r="T14" s="57">
        <v>9417</v>
      </c>
      <c r="U14" s="57">
        <v>8786</v>
      </c>
      <c r="V14" s="57">
        <v>22580</v>
      </c>
      <c r="W14" s="57">
        <v>31380</v>
      </c>
    </row>
    <row r="15" spans="1:23" x14ac:dyDescent="0.25">
      <c r="A15" s="54">
        <v>900</v>
      </c>
      <c r="B15" s="55">
        <v>9867</v>
      </c>
      <c r="C15" s="57">
        <v>16280</v>
      </c>
      <c r="D15" s="57">
        <v>23400</v>
      </c>
      <c r="E15" s="57">
        <v>30900</v>
      </c>
      <c r="F15" s="57">
        <v>30930</v>
      </c>
      <c r="G15" s="57">
        <v>37980</v>
      </c>
      <c r="H15" s="57">
        <v>45110</v>
      </c>
      <c r="I15" s="56">
        <v>6186</v>
      </c>
      <c r="J15" s="56">
        <v>6616</v>
      </c>
      <c r="K15" s="56">
        <v>6227</v>
      </c>
      <c r="L15" s="56">
        <v>6043</v>
      </c>
      <c r="M15" s="56">
        <v>6231</v>
      </c>
      <c r="N15" s="56">
        <v>9215</v>
      </c>
      <c r="O15" s="56">
        <v>7428</v>
      </c>
      <c r="P15" s="55">
        <v>7241</v>
      </c>
      <c r="Q15" s="57">
        <v>9740</v>
      </c>
      <c r="R15" s="57">
        <v>13050</v>
      </c>
      <c r="S15" s="57">
        <v>7753</v>
      </c>
      <c r="T15" s="57">
        <v>10760</v>
      </c>
      <c r="U15" s="57">
        <v>10060</v>
      </c>
      <c r="V15" s="57">
        <v>25670</v>
      </c>
      <c r="W15" s="57">
        <v>35770</v>
      </c>
    </row>
    <row r="16" spans="1:23" x14ac:dyDescent="0.25">
      <c r="A16" s="54">
        <v>1000</v>
      </c>
      <c r="B16" s="55">
        <v>11380</v>
      </c>
      <c r="C16" s="57">
        <v>18830</v>
      </c>
      <c r="D16" s="57">
        <v>27050</v>
      </c>
      <c r="E16" s="57">
        <v>35680</v>
      </c>
      <c r="F16" s="57">
        <v>35740</v>
      </c>
      <c r="G16" s="57">
        <v>43890</v>
      </c>
      <c r="H16" s="57">
        <v>52100</v>
      </c>
      <c r="I16" s="56">
        <v>6932</v>
      </c>
      <c r="J16" s="56">
        <v>7404</v>
      </c>
      <c r="K16" s="56">
        <v>6985</v>
      </c>
      <c r="L16" s="56">
        <v>6741</v>
      </c>
      <c r="M16" s="56">
        <v>6988</v>
      </c>
      <c r="N16" s="56">
        <v>10430</v>
      </c>
      <c r="O16" s="56">
        <v>8333</v>
      </c>
      <c r="P16" s="55">
        <v>8116</v>
      </c>
      <c r="Q16" s="57">
        <v>10980</v>
      </c>
      <c r="R16" s="57">
        <v>14780</v>
      </c>
      <c r="S16" s="57">
        <v>8784</v>
      </c>
      <c r="T16" s="57">
        <v>12120</v>
      </c>
      <c r="U16" s="57">
        <v>11360</v>
      </c>
      <c r="V16" s="57">
        <v>28770</v>
      </c>
      <c r="W16" s="57">
        <v>40210</v>
      </c>
    </row>
    <row r="17" spans="1:23" x14ac:dyDescent="0.25">
      <c r="A17" s="54">
        <v>1100</v>
      </c>
      <c r="B17" s="55">
        <v>12950</v>
      </c>
      <c r="C17" s="57">
        <v>21480</v>
      </c>
      <c r="D17" s="57">
        <v>30850</v>
      </c>
      <c r="E17" s="57">
        <v>40640</v>
      </c>
      <c r="F17" s="57">
        <v>40730</v>
      </c>
      <c r="G17" s="57">
        <v>50030</v>
      </c>
      <c r="H17" s="57">
        <v>59360</v>
      </c>
      <c r="I17" s="56">
        <v>7687</v>
      </c>
      <c r="J17" s="56">
        <v>8197</v>
      </c>
      <c r="K17" s="56">
        <v>7751</v>
      </c>
      <c r="L17" s="56">
        <v>7441</v>
      </c>
      <c r="M17" s="56">
        <v>7754</v>
      </c>
      <c r="N17" s="56">
        <v>11660</v>
      </c>
      <c r="O17" s="56">
        <v>9253</v>
      </c>
      <c r="P17" s="55">
        <v>8996</v>
      </c>
      <c r="Q17" s="57">
        <v>12240</v>
      </c>
      <c r="R17" s="57">
        <v>16550</v>
      </c>
      <c r="S17" s="57">
        <v>9842</v>
      </c>
      <c r="T17" s="57">
        <v>13500</v>
      </c>
      <c r="U17" s="57">
        <v>12670</v>
      </c>
      <c r="V17" s="57">
        <v>31880</v>
      </c>
      <c r="W17" s="57">
        <v>44710</v>
      </c>
    </row>
    <row r="18" spans="1:23" x14ac:dyDescent="0.25">
      <c r="A18" s="54">
        <v>1200</v>
      </c>
      <c r="B18" s="55">
        <v>14570</v>
      </c>
      <c r="C18" s="57">
        <v>24230</v>
      </c>
      <c r="D18" s="57">
        <v>34780</v>
      </c>
      <c r="E18" s="57">
        <v>45780</v>
      </c>
      <c r="F18" s="57">
        <v>45890</v>
      </c>
      <c r="G18" s="57">
        <v>56390</v>
      </c>
      <c r="H18" s="57">
        <v>66860</v>
      </c>
      <c r="I18" s="56">
        <v>8450</v>
      </c>
      <c r="J18" s="56">
        <v>8996</v>
      </c>
      <c r="K18" s="56">
        <v>8526</v>
      </c>
      <c r="L18" s="56">
        <v>8144</v>
      </c>
      <c r="M18" s="56">
        <v>8528</v>
      </c>
      <c r="N18" s="56">
        <v>12920</v>
      </c>
      <c r="O18" s="56">
        <v>10190</v>
      </c>
      <c r="P18" s="55">
        <v>9881</v>
      </c>
      <c r="Q18" s="57">
        <v>13520</v>
      </c>
      <c r="R18" s="57">
        <v>18340</v>
      </c>
      <c r="S18" s="57">
        <v>10920</v>
      </c>
      <c r="T18" s="57">
        <v>14890</v>
      </c>
      <c r="U18" s="57">
        <v>14000</v>
      </c>
      <c r="V18" s="57">
        <v>35010</v>
      </c>
      <c r="W18" s="57">
        <v>49250</v>
      </c>
    </row>
    <row r="19" spans="1:23" x14ac:dyDescent="0.25">
      <c r="A19" s="54">
        <v>1300</v>
      </c>
      <c r="B19" s="55">
        <v>16260</v>
      </c>
      <c r="C19" s="57">
        <v>27080</v>
      </c>
      <c r="D19" s="57">
        <v>38850</v>
      </c>
      <c r="E19" s="57">
        <v>51080</v>
      </c>
      <c r="F19" s="57">
        <v>51220</v>
      </c>
      <c r="G19" s="57">
        <v>62940</v>
      </c>
      <c r="H19" s="57">
        <v>74580</v>
      </c>
      <c r="I19" s="56">
        <v>9221</v>
      </c>
      <c r="J19" s="56">
        <v>9800</v>
      </c>
      <c r="K19" s="56">
        <v>9308</v>
      </c>
      <c r="L19" s="56">
        <v>8850</v>
      </c>
      <c r="M19" s="56">
        <v>9312</v>
      </c>
      <c r="N19" s="56">
        <v>14200</v>
      </c>
      <c r="O19" s="56">
        <v>11150</v>
      </c>
      <c r="P19" s="55">
        <v>10770</v>
      </c>
      <c r="Q19" s="57">
        <v>14810</v>
      </c>
      <c r="R19" s="57">
        <v>20160</v>
      </c>
      <c r="S19" s="57">
        <v>12020</v>
      </c>
      <c r="T19" s="57">
        <v>16280</v>
      </c>
      <c r="U19" s="57">
        <v>15350</v>
      </c>
      <c r="V19" s="57">
        <v>38150</v>
      </c>
      <c r="W19" s="57">
        <v>53850</v>
      </c>
    </row>
    <row r="20" spans="1:23" x14ac:dyDescent="0.25">
      <c r="A20" s="54">
        <v>1400</v>
      </c>
      <c r="B20" s="55">
        <v>17990</v>
      </c>
      <c r="C20" s="57">
        <v>30010</v>
      </c>
      <c r="D20" s="57">
        <v>43030</v>
      </c>
      <c r="E20" s="57">
        <v>56520</v>
      </c>
      <c r="F20" s="57">
        <v>56690</v>
      </c>
      <c r="G20" s="57">
        <v>69690</v>
      </c>
      <c r="H20" s="57">
        <v>82520</v>
      </c>
      <c r="I20" s="56">
        <v>10000</v>
      </c>
      <c r="J20" s="56">
        <v>10610</v>
      </c>
      <c r="K20" s="56">
        <v>10100</v>
      </c>
      <c r="L20" s="56">
        <v>9561</v>
      </c>
      <c r="M20" s="56">
        <v>10100</v>
      </c>
      <c r="N20" s="56">
        <v>15490</v>
      </c>
      <c r="O20" s="56">
        <v>12120</v>
      </c>
      <c r="P20" s="55">
        <v>11660</v>
      </c>
      <c r="Q20" s="57">
        <v>16120</v>
      </c>
      <c r="R20" s="57">
        <v>21990</v>
      </c>
      <c r="S20" s="57">
        <v>13150</v>
      </c>
      <c r="T20" s="57">
        <v>17690</v>
      </c>
      <c r="U20" s="57">
        <v>16700</v>
      </c>
      <c r="V20" s="57">
        <v>41300</v>
      </c>
      <c r="W20" s="57">
        <v>58470</v>
      </c>
    </row>
    <row r="21" spans="1:23" x14ac:dyDescent="0.25">
      <c r="A21" s="54">
        <v>1500</v>
      </c>
      <c r="B21" s="55">
        <v>19770</v>
      </c>
      <c r="C21" s="57">
        <v>33030</v>
      </c>
      <c r="D21" s="57">
        <v>47320</v>
      </c>
      <c r="E21" s="57">
        <v>62110</v>
      </c>
      <c r="F21" s="57">
        <v>62290</v>
      </c>
      <c r="G21" s="57">
        <v>76600</v>
      </c>
      <c r="H21" s="57">
        <v>90640</v>
      </c>
      <c r="I21" s="56">
        <v>10790</v>
      </c>
      <c r="J21" s="56">
        <v>11430</v>
      </c>
      <c r="K21" s="56">
        <v>10900</v>
      </c>
      <c r="L21" s="56">
        <v>10280</v>
      </c>
      <c r="M21" s="56">
        <v>10900</v>
      </c>
      <c r="N21" s="56">
        <v>16800</v>
      </c>
      <c r="O21" s="56">
        <v>13110</v>
      </c>
      <c r="P21" s="55">
        <v>12560</v>
      </c>
      <c r="Q21" s="57">
        <v>17440</v>
      </c>
      <c r="R21" s="57">
        <v>23850</v>
      </c>
      <c r="S21" s="57">
        <v>14290</v>
      </c>
      <c r="T21" s="57">
        <v>19110</v>
      </c>
      <c r="U21" s="57">
        <v>18070</v>
      </c>
      <c r="V21" s="57">
        <v>44460</v>
      </c>
      <c r="W21" s="57">
        <v>63140</v>
      </c>
    </row>
    <row r="22" spans="1:23" x14ac:dyDescent="0.25">
      <c r="A22" s="54">
        <v>1600</v>
      </c>
      <c r="B22" s="55">
        <v>21600</v>
      </c>
      <c r="C22" s="57">
        <v>36120</v>
      </c>
      <c r="D22" s="57">
        <v>51710</v>
      </c>
      <c r="E22" s="57">
        <v>67820</v>
      </c>
      <c r="F22" s="57">
        <v>68030</v>
      </c>
      <c r="G22" s="57">
        <v>83660</v>
      </c>
      <c r="H22" s="57">
        <v>98940</v>
      </c>
      <c r="I22" s="56">
        <v>11580</v>
      </c>
      <c r="J22" s="56">
        <v>12250</v>
      </c>
      <c r="K22" s="56">
        <v>11700</v>
      </c>
      <c r="L22" s="56">
        <v>11000</v>
      </c>
      <c r="M22" s="56">
        <v>11710</v>
      </c>
      <c r="N22" s="56">
        <v>18130</v>
      </c>
      <c r="O22" s="56">
        <v>14120</v>
      </c>
      <c r="P22" s="55">
        <v>13460</v>
      </c>
      <c r="Q22" s="57">
        <v>18770</v>
      </c>
      <c r="R22" s="57">
        <v>25730</v>
      </c>
      <c r="S22" s="57">
        <v>15440</v>
      </c>
      <c r="T22" s="57">
        <v>20530</v>
      </c>
      <c r="U22" s="57">
        <v>19450</v>
      </c>
      <c r="V22" s="57">
        <v>47640</v>
      </c>
      <c r="W22" s="57">
        <v>67820</v>
      </c>
    </row>
    <row r="23" spans="1:23" x14ac:dyDescent="0.25">
      <c r="A23" s="54">
        <v>1700</v>
      </c>
      <c r="B23" s="55">
        <v>23480</v>
      </c>
      <c r="C23" s="57">
        <v>39280</v>
      </c>
      <c r="D23" s="57">
        <v>56200</v>
      </c>
      <c r="E23" s="57">
        <v>73640</v>
      </c>
      <c r="F23" s="57">
        <v>73870</v>
      </c>
      <c r="G23" s="57">
        <v>90870</v>
      </c>
      <c r="H23" s="57">
        <v>107400</v>
      </c>
      <c r="I23" s="56">
        <v>12380</v>
      </c>
      <c r="J23" s="56">
        <v>13080</v>
      </c>
      <c r="K23" s="56">
        <v>12510</v>
      </c>
      <c r="L23" s="56">
        <v>11720</v>
      </c>
      <c r="M23" s="56">
        <v>12520</v>
      </c>
      <c r="N23" s="56">
        <v>19470</v>
      </c>
      <c r="O23" s="56">
        <v>15150</v>
      </c>
      <c r="P23" s="55">
        <v>14370</v>
      </c>
      <c r="Q23" s="57">
        <v>20120</v>
      </c>
      <c r="R23" s="57">
        <v>27630</v>
      </c>
      <c r="S23" s="57">
        <v>16620</v>
      </c>
      <c r="T23" s="57">
        <v>21960</v>
      </c>
      <c r="U23" s="57">
        <v>20840</v>
      </c>
      <c r="V23" s="57">
        <v>50820</v>
      </c>
      <c r="W23" s="57">
        <v>72520</v>
      </c>
    </row>
    <row r="24" spans="1:23" x14ac:dyDescent="0.25">
      <c r="A24" s="54">
        <v>1800</v>
      </c>
      <c r="B24" s="55">
        <v>25400</v>
      </c>
      <c r="C24" s="57">
        <v>42510</v>
      </c>
      <c r="D24" s="57">
        <v>60770</v>
      </c>
      <c r="E24" s="57">
        <v>79580</v>
      </c>
      <c r="F24" s="57">
        <v>79830</v>
      </c>
      <c r="G24" s="57">
        <v>98210</v>
      </c>
      <c r="H24" s="57">
        <v>116000</v>
      </c>
      <c r="I24" s="56">
        <v>13190</v>
      </c>
      <c r="J24" s="56">
        <v>13920</v>
      </c>
      <c r="K24" s="56">
        <v>13320</v>
      </c>
      <c r="L24" s="56">
        <v>12450</v>
      </c>
      <c r="M24" s="56">
        <v>13340</v>
      </c>
      <c r="N24" s="56">
        <v>20820</v>
      </c>
      <c r="O24" s="56">
        <v>16200</v>
      </c>
      <c r="P24" s="55">
        <v>15280</v>
      </c>
      <c r="Q24" s="57">
        <v>21470</v>
      </c>
      <c r="R24" s="57">
        <v>29540</v>
      </c>
      <c r="S24" s="57">
        <v>17810</v>
      </c>
      <c r="T24" s="57">
        <v>23400</v>
      </c>
      <c r="U24" s="57">
        <v>22240</v>
      </c>
      <c r="V24" s="57">
        <v>54020</v>
      </c>
      <c r="W24" s="57">
        <v>77230</v>
      </c>
    </row>
    <row r="25" spans="1:23" x14ac:dyDescent="0.25">
      <c r="A25" s="54">
        <v>1900</v>
      </c>
      <c r="B25" s="55">
        <v>27360</v>
      </c>
      <c r="C25" s="57">
        <v>45800</v>
      </c>
      <c r="D25" s="57">
        <v>65430</v>
      </c>
      <c r="E25" s="57">
        <v>85620</v>
      </c>
      <c r="F25" s="57">
        <v>85880</v>
      </c>
      <c r="G25" s="57">
        <v>105700</v>
      </c>
      <c r="H25" s="57">
        <v>124800</v>
      </c>
      <c r="I25" s="56">
        <v>14000</v>
      </c>
      <c r="J25" s="56">
        <v>14760</v>
      </c>
      <c r="K25" s="56">
        <v>14140</v>
      </c>
      <c r="L25" s="56">
        <v>13190</v>
      </c>
      <c r="M25" s="56">
        <v>14160</v>
      </c>
      <c r="N25" s="56">
        <v>22180</v>
      </c>
      <c r="O25" s="56">
        <v>17270</v>
      </c>
      <c r="P25" s="55">
        <v>16190</v>
      </c>
      <c r="Q25" s="57">
        <v>22840</v>
      </c>
      <c r="R25" s="57">
        <v>31460</v>
      </c>
      <c r="S25" s="57">
        <v>19020</v>
      </c>
      <c r="T25" s="57">
        <v>24840</v>
      </c>
      <c r="U25" s="57">
        <v>23640</v>
      </c>
      <c r="V25" s="57">
        <v>57240</v>
      </c>
      <c r="W25" s="57">
        <v>81940</v>
      </c>
    </row>
    <row r="26" spans="1:23" x14ac:dyDescent="0.25">
      <c r="A26" s="54">
        <v>2000</v>
      </c>
      <c r="B26" s="55">
        <v>29360</v>
      </c>
      <c r="C26" s="57">
        <v>49140</v>
      </c>
      <c r="D26" s="57">
        <v>70160</v>
      </c>
      <c r="E26" s="57">
        <v>91750</v>
      </c>
      <c r="F26" s="57">
        <v>92030</v>
      </c>
      <c r="G26" s="57">
        <v>113200</v>
      </c>
      <c r="H26" s="57">
        <v>133700</v>
      </c>
      <c r="I26" s="56">
        <v>14820</v>
      </c>
      <c r="J26" s="56">
        <v>15610</v>
      </c>
      <c r="K26" s="56">
        <v>14970</v>
      </c>
      <c r="L26" s="56">
        <v>13940</v>
      </c>
      <c r="M26" s="56">
        <v>14990</v>
      </c>
      <c r="N26" s="56">
        <v>23560</v>
      </c>
      <c r="O26" s="56">
        <v>18350</v>
      </c>
      <c r="P26" s="55">
        <v>17110</v>
      </c>
      <c r="Q26" s="57">
        <v>24220</v>
      </c>
      <c r="R26" s="57">
        <v>33390</v>
      </c>
      <c r="S26" s="57">
        <v>20240</v>
      </c>
      <c r="T26" s="57">
        <v>26280</v>
      </c>
      <c r="U26" s="57">
        <v>25050</v>
      </c>
      <c r="V26" s="57">
        <v>60460</v>
      </c>
      <c r="W26" s="57">
        <v>86640</v>
      </c>
    </row>
    <row r="27" spans="1:23" x14ac:dyDescent="0.25">
      <c r="A27" s="54">
        <v>2200</v>
      </c>
      <c r="B27" s="55">
        <v>33470</v>
      </c>
      <c r="C27" s="57">
        <v>55980</v>
      </c>
      <c r="D27" s="57">
        <v>79820</v>
      </c>
      <c r="E27" s="57">
        <v>104300</v>
      </c>
      <c r="F27" s="57">
        <v>104600</v>
      </c>
      <c r="G27" s="57">
        <v>128700</v>
      </c>
      <c r="H27" s="57">
        <v>151800</v>
      </c>
      <c r="I27" s="56">
        <v>16480</v>
      </c>
      <c r="J27" s="56">
        <v>17330</v>
      </c>
      <c r="K27" s="56">
        <v>16630</v>
      </c>
      <c r="L27" s="56">
        <v>15440</v>
      </c>
      <c r="M27" s="56">
        <v>16660</v>
      </c>
      <c r="N27" s="56">
        <v>26330</v>
      </c>
      <c r="O27" s="56">
        <v>20570</v>
      </c>
      <c r="P27" s="55">
        <v>18960</v>
      </c>
      <c r="Q27" s="57">
        <v>27000</v>
      </c>
      <c r="R27" s="57">
        <v>37300</v>
      </c>
      <c r="S27" s="57">
        <v>22720</v>
      </c>
      <c r="T27" s="57">
        <v>29190</v>
      </c>
      <c r="U27" s="57">
        <v>27890</v>
      </c>
      <c r="V27" s="57">
        <v>66960</v>
      </c>
      <c r="W27" s="57">
        <v>96040</v>
      </c>
    </row>
    <row r="28" spans="1:23" x14ac:dyDescent="0.25">
      <c r="A28" s="54">
        <v>2400</v>
      </c>
      <c r="B28" s="55">
        <v>37730</v>
      </c>
      <c r="C28" s="57">
        <v>63000</v>
      </c>
      <c r="D28" s="57">
        <v>89720</v>
      </c>
      <c r="E28" s="57">
        <v>117100</v>
      </c>
      <c r="F28" s="57">
        <v>117400</v>
      </c>
      <c r="G28" s="57">
        <v>144600</v>
      </c>
      <c r="H28" s="57">
        <v>170400</v>
      </c>
      <c r="I28" s="56">
        <v>18150</v>
      </c>
      <c r="J28" s="56">
        <v>19070</v>
      </c>
      <c r="K28" s="56">
        <v>18310</v>
      </c>
      <c r="L28" s="56">
        <v>16980</v>
      </c>
      <c r="M28" s="56">
        <v>18350</v>
      </c>
      <c r="N28" s="56">
        <v>29140</v>
      </c>
      <c r="O28" s="56">
        <v>22860</v>
      </c>
      <c r="P28" s="55">
        <v>20830</v>
      </c>
      <c r="Q28" s="57">
        <v>29820</v>
      </c>
      <c r="R28" s="57">
        <v>41240</v>
      </c>
      <c r="S28" s="57">
        <v>25260</v>
      </c>
      <c r="T28" s="57">
        <v>32110</v>
      </c>
      <c r="U28" s="57">
        <v>30760</v>
      </c>
      <c r="V28" s="57">
        <v>73500</v>
      </c>
      <c r="W28" s="57">
        <v>105400</v>
      </c>
    </row>
    <row r="29" spans="1:23" x14ac:dyDescent="0.25">
      <c r="A29" s="54">
        <v>2600</v>
      </c>
      <c r="B29" s="55">
        <v>42110</v>
      </c>
      <c r="C29" s="57">
        <v>70180</v>
      </c>
      <c r="D29" s="57">
        <v>99830</v>
      </c>
      <c r="E29" s="57">
        <v>130100</v>
      </c>
      <c r="F29" s="57">
        <v>130500</v>
      </c>
      <c r="G29" s="57">
        <v>160900</v>
      </c>
      <c r="H29" s="57">
        <v>189500</v>
      </c>
      <c r="I29" s="56">
        <v>19830</v>
      </c>
      <c r="J29" s="56">
        <v>20830</v>
      </c>
      <c r="K29" s="56">
        <v>20010</v>
      </c>
      <c r="L29" s="56">
        <v>18540</v>
      </c>
      <c r="M29" s="56">
        <v>20050</v>
      </c>
      <c r="N29" s="56">
        <v>31970</v>
      </c>
      <c r="O29" s="56">
        <v>25200</v>
      </c>
      <c r="P29" s="55">
        <v>22710</v>
      </c>
      <c r="Q29" s="57">
        <v>32660</v>
      </c>
      <c r="R29" s="57">
        <v>45200</v>
      </c>
      <c r="S29" s="57">
        <v>27850</v>
      </c>
      <c r="T29" s="57">
        <v>35040</v>
      </c>
      <c r="U29" s="57">
        <v>33640</v>
      </c>
      <c r="V29" s="57">
        <v>80090</v>
      </c>
      <c r="W29" s="57">
        <v>114700</v>
      </c>
    </row>
    <row r="30" spans="1:23" x14ac:dyDescent="0.25">
      <c r="A30" s="54">
        <v>2800</v>
      </c>
      <c r="B30" s="55">
        <v>46600</v>
      </c>
      <c r="C30" s="57">
        <v>77480</v>
      </c>
      <c r="D30" s="57">
        <v>110100</v>
      </c>
      <c r="E30" s="57">
        <v>143400</v>
      </c>
      <c r="F30" s="57">
        <v>143800</v>
      </c>
      <c r="G30" s="57">
        <v>177500</v>
      </c>
      <c r="H30" s="57">
        <v>209000</v>
      </c>
      <c r="I30" s="56">
        <v>21530</v>
      </c>
      <c r="J30" s="56">
        <v>22620</v>
      </c>
      <c r="K30" s="56">
        <v>21720</v>
      </c>
      <c r="L30" s="56">
        <v>20130</v>
      </c>
      <c r="M30" s="56">
        <v>21760</v>
      </c>
      <c r="N30" s="56">
        <v>34830</v>
      </c>
      <c r="O30" s="56">
        <v>27600</v>
      </c>
      <c r="P30" s="55">
        <v>24610</v>
      </c>
      <c r="Q30" s="57">
        <v>35520</v>
      </c>
      <c r="R30" s="57">
        <v>49200</v>
      </c>
      <c r="S30" s="57">
        <v>30480</v>
      </c>
      <c r="T30" s="57">
        <v>37980</v>
      </c>
      <c r="U30" s="57">
        <v>36540</v>
      </c>
      <c r="V30" s="57">
        <v>86720</v>
      </c>
      <c r="W30" s="57">
        <v>124000</v>
      </c>
    </row>
    <row r="31" spans="1:23" x14ac:dyDescent="0.25">
      <c r="A31" s="54">
        <v>3000</v>
      </c>
      <c r="B31" s="55">
        <v>51200</v>
      </c>
      <c r="C31" s="57">
        <v>84910</v>
      </c>
      <c r="D31" s="57">
        <v>120600</v>
      </c>
      <c r="E31" s="57">
        <v>156900</v>
      </c>
      <c r="F31" s="57">
        <v>157300</v>
      </c>
      <c r="G31" s="57">
        <v>194500</v>
      </c>
      <c r="H31" s="57">
        <v>228900</v>
      </c>
      <c r="I31" s="56">
        <v>23240</v>
      </c>
      <c r="J31" s="56">
        <v>24420</v>
      </c>
      <c r="K31" s="56">
        <v>23430</v>
      </c>
      <c r="L31" s="56">
        <v>21740</v>
      </c>
      <c r="M31" s="56">
        <v>23490</v>
      </c>
      <c r="N31" s="56">
        <v>37710</v>
      </c>
      <c r="O31" s="56">
        <v>30040</v>
      </c>
      <c r="P31" s="55">
        <v>26520</v>
      </c>
      <c r="Q31" s="57">
        <v>38410</v>
      </c>
      <c r="R31" s="57">
        <v>53220</v>
      </c>
      <c r="S31" s="57">
        <v>33160</v>
      </c>
      <c r="T31" s="57">
        <v>40930</v>
      </c>
      <c r="U31" s="57">
        <v>39460</v>
      </c>
      <c r="V31" s="57">
        <v>93380</v>
      </c>
      <c r="W31" s="57">
        <v>133200</v>
      </c>
    </row>
    <row r="34" spans="1:1" x14ac:dyDescent="0.25">
      <c r="A34" s="58" t="s">
        <v>327</v>
      </c>
    </row>
    <row r="35" spans="1:1" x14ac:dyDescent="0.25">
      <c r="A35" s="58" t="s">
        <v>328</v>
      </c>
    </row>
    <row r="36" spans="1:1" x14ac:dyDescent="0.25">
      <c r="A36" s="58" t="s">
        <v>329</v>
      </c>
    </row>
    <row r="37" spans="1:1" x14ac:dyDescent="0.25">
      <c r="A37" s="58" t="s">
        <v>330</v>
      </c>
    </row>
    <row r="38" spans="1:1" x14ac:dyDescent="0.25">
      <c r="A38" s="58" t="s">
        <v>331</v>
      </c>
    </row>
  </sheetData>
  <sheetProtection password="F030" sheet="1" objects="1" scenarios="1"/>
  <phoneticPr fontId="2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Figure 22-1 - Nomenclature</vt:lpstr>
      <vt:lpstr>Example 22-1 Conditions</vt:lpstr>
      <vt:lpstr>Step 1</vt:lpstr>
      <vt:lpstr>Step 2</vt:lpstr>
      <vt:lpstr>Step 3</vt:lpstr>
      <vt:lpstr>Step 4</vt:lpstr>
      <vt:lpstr>Step 5</vt:lpstr>
      <vt:lpstr>Incinerator</vt:lpstr>
      <vt:lpstr>Fig. 22-28 Enthalpies</vt:lpstr>
      <vt:lpstr>Page 22-28 Molar Enthalpies</vt:lpstr>
      <vt:lpstr>Limits</vt:lpstr>
      <vt:lpstr>Enthalpy</vt:lpstr>
      <vt:lpstr>EnthalpyData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2009-05-19T18:57:38Z</dcterms:created>
  <dcterms:modified xsi:type="dcterms:W3CDTF">2014-10-02T15:02:12Z</dcterms:modified>
</cp:coreProperties>
</file>