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30" windowWidth="15195" windowHeight="11640" activeTab="1"/>
  </bookViews>
  <sheets>
    <sheet name="Nomenclature" sheetId="8" r:id="rId1"/>
    <sheet name="Example 23-1" sheetId="18" r:id="rId2"/>
    <sheet name="Example 23-2" sheetId="16" r:id="rId3"/>
    <sheet name="Example 23-3" sheetId="19" r:id="rId4"/>
    <sheet name="Example 23-4" sheetId="20" r:id="rId5"/>
    <sheet name="Example 23-5" sheetId="21" r:id="rId6"/>
    <sheet name="Example 23-6" sheetId="22" r:id="rId7"/>
    <sheet name="Example 23-7" sheetId="3" r:id="rId8"/>
    <sheet name="Example 23-8" sheetId="12" r:id="rId9"/>
    <sheet name="Example 23-9" sheetId="13" r:id="rId10"/>
    <sheet name="Example 23-10" sheetId="14" r:id="rId11"/>
    <sheet name="Example 23-11" sheetId="15" r:id="rId12"/>
    <sheet name="Example 23-12" sheetId="23" r:id="rId13"/>
    <sheet name="Limits" sheetId="24" r:id="rId14"/>
  </sheets>
  <calcPr calcId="145621"/>
</workbook>
</file>

<file path=xl/calcChain.xml><?xml version="1.0" encoding="utf-8"?>
<calcChain xmlns="http://schemas.openxmlformats.org/spreadsheetml/2006/main">
  <c r="J9" i="23" l="1"/>
  <c r="M8" i="23"/>
  <c r="N8" i="23" s="1"/>
  <c r="O8" i="23" s="1"/>
  <c r="M7" i="23"/>
  <c r="N7" i="23" s="1"/>
  <c r="O7" i="23" s="1"/>
  <c r="M6" i="23"/>
  <c r="N6" i="23" s="1"/>
  <c r="O6" i="23" s="1"/>
  <c r="M5" i="23"/>
  <c r="N5" i="23" s="1"/>
  <c r="O5" i="23" s="1"/>
  <c r="M4" i="23"/>
  <c r="N4" i="23" s="1"/>
  <c r="E5" i="23"/>
  <c r="F5" i="23" s="1"/>
  <c r="G5" i="23" s="1"/>
  <c r="E6" i="23"/>
  <c r="F6" i="23" s="1"/>
  <c r="G6" i="23" s="1"/>
  <c r="E7" i="23"/>
  <c r="F7" i="23" s="1"/>
  <c r="G7" i="23" s="1"/>
  <c r="E8" i="23"/>
  <c r="F8" i="23" s="1"/>
  <c r="G8" i="23" s="1"/>
  <c r="E4" i="23"/>
  <c r="F4" i="23" s="1"/>
  <c r="N14" i="13"/>
  <c r="L19" i="13" s="1"/>
  <c r="L14" i="13"/>
  <c r="K14" i="13"/>
  <c r="Q13" i="13"/>
  <c r="P13" i="13"/>
  <c r="Q12" i="13"/>
  <c r="P12" i="13"/>
  <c r="Q11" i="13"/>
  <c r="Q14" i="13" s="1"/>
  <c r="L21" i="13" s="1"/>
  <c r="P11" i="13"/>
  <c r="P14" i="13" s="1"/>
  <c r="L20" i="13" s="1"/>
  <c r="H13" i="13"/>
  <c r="H12" i="13"/>
  <c r="H11" i="13"/>
  <c r="G12" i="13"/>
  <c r="G13" i="13"/>
  <c r="G11" i="13"/>
  <c r="G14" i="13" s="1"/>
  <c r="C20" i="13" s="1"/>
  <c r="E14" i="13"/>
  <c r="C19" i="13" s="1"/>
  <c r="C14" i="13"/>
  <c r="B14" i="13"/>
  <c r="J17" i="20"/>
  <c r="C17" i="20"/>
  <c r="K5" i="18"/>
  <c r="A47" i="8"/>
  <c r="J13" i="14"/>
  <c r="J14" i="14" s="1"/>
  <c r="J11" i="14"/>
  <c r="B9" i="23"/>
  <c r="H14" i="13" l="1"/>
  <c r="C21" i="13" s="1"/>
  <c r="G4" i="23"/>
  <c r="G9" i="23" s="1"/>
  <c r="F9" i="23"/>
  <c r="N9" i="23"/>
  <c r="O4" i="23"/>
  <c r="O9" i="23" s="1"/>
  <c r="C12" i="23"/>
  <c r="L23" i="13"/>
  <c r="L25" i="13" s="1"/>
  <c r="L27" i="13"/>
  <c r="L29" i="13" s="1"/>
  <c r="J16" i="14"/>
  <c r="J20" i="15"/>
  <c r="J16" i="15"/>
  <c r="J14" i="15"/>
  <c r="I12" i="22"/>
  <c r="I13" i="22" s="1"/>
  <c r="I11" i="22"/>
  <c r="I14" i="22" s="1"/>
  <c r="I10" i="22"/>
  <c r="C14" i="22"/>
  <c r="C11" i="22"/>
  <c r="C12" i="22" s="1"/>
  <c r="C13" i="22" s="1"/>
  <c r="C10" i="22"/>
  <c r="I7" i="21"/>
  <c r="I6" i="21"/>
  <c r="C7" i="21"/>
  <c r="C6" i="21"/>
  <c r="J18" i="20"/>
  <c r="J20" i="20" s="1"/>
  <c r="C18" i="20"/>
  <c r="C20" i="20" s="1"/>
  <c r="J24" i="19"/>
  <c r="J26" i="19" s="1"/>
  <c r="I16" i="19"/>
  <c r="K15" i="19"/>
  <c r="M15" i="19" s="1"/>
  <c r="M14" i="19"/>
  <c r="K14" i="19"/>
  <c r="K13" i="19"/>
  <c r="M13" i="19" s="1"/>
  <c r="M12" i="19"/>
  <c r="K12" i="19"/>
  <c r="K11" i="19"/>
  <c r="M11" i="19" s="1"/>
  <c r="M10" i="19"/>
  <c r="K10" i="19"/>
  <c r="K9" i="19"/>
  <c r="M9" i="19" s="1"/>
  <c r="M8" i="19"/>
  <c r="K8" i="19"/>
  <c r="K7" i="19"/>
  <c r="K6" i="19"/>
  <c r="M6" i="19" s="1"/>
  <c r="J20" i="19" s="1"/>
  <c r="K5" i="19"/>
  <c r="C26" i="19"/>
  <c r="C24" i="19"/>
  <c r="F9" i="19"/>
  <c r="F10" i="19"/>
  <c r="F13" i="19"/>
  <c r="F14" i="19"/>
  <c r="D6" i="19"/>
  <c r="F6" i="19" s="1"/>
  <c r="D7" i="19"/>
  <c r="D8" i="19"/>
  <c r="F8" i="19" s="1"/>
  <c r="D9" i="19"/>
  <c r="D10" i="19"/>
  <c r="D11" i="19"/>
  <c r="F11" i="19" s="1"/>
  <c r="D12" i="19"/>
  <c r="F12" i="19" s="1"/>
  <c r="D13" i="19"/>
  <c r="D14" i="19"/>
  <c r="D15" i="19"/>
  <c r="F15" i="19" s="1"/>
  <c r="D5" i="19"/>
  <c r="C21" i="19" s="1"/>
  <c r="B16" i="19"/>
  <c r="J13" i="16"/>
  <c r="J15" i="16" s="1"/>
  <c r="C5" i="18"/>
  <c r="C13" i="16"/>
  <c r="C15" i="16" s="1"/>
  <c r="C20" i="15"/>
  <c r="C16" i="15"/>
  <c r="C14" i="15"/>
  <c r="C13" i="14"/>
  <c r="C14" i="14" s="1"/>
  <c r="C16" i="14" s="1"/>
  <c r="C11" i="14"/>
  <c r="C27" i="13"/>
  <c r="C29" i="13" s="1"/>
  <c r="C23" i="13"/>
  <c r="C25" i="13" s="1"/>
  <c r="M23" i="12"/>
  <c r="M17" i="12"/>
  <c r="M15" i="12"/>
  <c r="M11" i="12"/>
  <c r="C23" i="12"/>
  <c r="C17" i="12"/>
  <c r="C15" i="12"/>
  <c r="C11" i="12"/>
  <c r="C16" i="3"/>
  <c r="L16" i="3"/>
  <c r="L13" i="3"/>
  <c r="L12" i="3"/>
  <c r="L15" i="3" s="1"/>
  <c r="C13" i="3"/>
  <c r="C12" i="3"/>
  <c r="C15" i="3" s="1"/>
  <c r="I8" i="21"/>
  <c r="C8" i="21"/>
  <c r="K16" i="19"/>
  <c r="J21" i="19"/>
  <c r="J19" i="19"/>
  <c r="D16" i="19"/>
  <c r="C19" i="3" l="1"/>
  <c r="C22" i="3"/>
  <c r="L19" i="3"/>
  <c r="L25" i="3" s="1"/>
  <c r="L22" i="3"/>
  <c r="C18" i="14"/>
  <c r="C19" i="14"/>
  <c r="J18" i="19"/>
  <c r="C20" i="19"/>
  <c r="C14" i="16"/>
  <c r="C16" i="16" s="1"/>
  <c r="C18" i="19"/>
  <c r="C19" i="19"/>
  <c r="J14" i="16"/>
  <c r="J16" i="16" s="1"/>
  <c r="C31" i="13"/>
  <c r="K12" i="23"/>
  <c r="L31" i="13"/>
  <c r="J18" i="14"/>
  <c r="J19" i="14"/>
  <c r="C25" i="3" l="1"/>
</calcChain>
</file>

<file path=xl/sharedStrings.xml><?xml version="1.0" encoding="utf-8"?>
<sst xmlns="http://schemas.openxmlformats.org/spreadsheetml/2006/main" count="998" uniqueCount="312">
  <si>
    <t>psia</t>
  </si>
  <si>
    <t xml:space="preserve"> =</t>
  </si>
  <si>
    <t>Given:</t>
  </si>
  <si>
    <t>Example 23-7 Acentric factor.</t>
  </si>
  <si>
    <t>VAPB</t>
  </si>
  <si>
    <t>degF</t>
  </si>
  <si>
    <t>ASTM slope</t>
  </si>
  <si>
    <t>API gravity</t>
  </si>
  <si>
    <t xml:space="preserve"> = </t>
  </si>
  <si>
    <t>deg API</t>
  </si>
  <si>
    <t>To use Eq. 23-19 we need the average boiling point (MeABP):</t>
  </si>
  <si>
    <t>From Eq. 23-18, the correction to VABP for mean average is:</t>
  </si>
  <si>
    <t>From Eq. 23-18, the correction to MABP is:</t>
  </si>
  <si>
    <t>MeABP</t>
  </si>
  <si>
    <t>MABP</t>
  </si>
  <si>
    <t>degR</t>
  </si>
  <si>
    <t>S, sp.gr.</t>
  </si>
  <si>
    <t>T, degR</t>
  </si>
  <si>
    <t>dimensionless</t>
  </si>
  <si>
    <t>From Eq. 23-16, the pseudo-critical temperature is:</t>
  </si>
  <si>
    <t>From Eq. 23-15, the pseudo-critical pressure is:</t>
  </si>
  <si>
    <r>
      <t>T</t>
    </r>
    <r>
      <rPr>
        <vertAlign val="subscript"/>
        <sz val="11"/>
        <rFont val="Times New Roman"/>
        <family val="1"/>
      </rPr>
      <t>pc</t>
    </r>
  </si>
  <si>
    <r>
      <rPr>
        <sz val="14"/>
        <rFont val="Times New Roman"/>
        <family val="1"/>
      </rPr>
      <t>ω</t>
    </r>
    <r>
      <rPr>
        <sz val="11"/>
        <rFont val="Times New Roman"/>
        <family val="1"/>
      </rPr>
      <t>, acentric factor</t>
    </r>
  </si>
  <si>
    <r>
      <t>P</t>
    </r>
    <r>
      <rPr>
        <vertAlign val="subscript"/>
        <sz val="11"/>
        <rFont val="Times New Roman"/>
        <family val="1"/>
      </rPr>
      <t>pc</t>
    </r>
  </si>
  <si>
    <t>From Eq. 23-19:</t>
  </si>
  <si>
    <t>Assumes atmospheric pressure, 14.7 psia.</t>
  </si>
  <si>
    <t>Example 23-8 Calculation of Gas Mixture Viscosity.</t>
  </si>
  <si>
    <t>Pressure</t>
  </si>
  <si>
    <t>Temperature</t>
  </si>
  <si>
    <t>MW</t>
  </si>
  <si>
    <t>lb/lb-mole</t>
  </si>
  <si>
    <t>Solution Steps</t>
  </si>
  <si>
    <r>
      <t>T</t>
    </r>
    <r>
      <rPr>
        <vertAlign val="subscript"/>
        <sz val="11"/>
        <rFont val="Times New Roman"/>
        <family val="1"/>
      </rPr>
      <t>c</t>
    </r>
  </si>
  <si>
    <r>
      <t>P</t>
    </r>
    <r>
      <rPr>
        <vertAlign val="subscript"/>
        <sz val="11"/>
        <rFont val="Times New Roman"/>
        <family val="1"/>
      </rPr>
      <t>c</t>
    </r>
  </si>
  <si>
    <r>
      <t>G</t>
    </r>
    <r>
      <rPr>
        <vertAlign val="superscript"/>
        <sz val="11"/>
        <rFont val="Times New Roman"/>
        <family val="1"/>
      </rPr>
      <t>id</t>
    </r>
  </si>
  <si>
    <r>
      <rPr>
        <sz val="11"/>
        <rFont val="Calibri"/>
        <family val="2"/>
      </rPr>
      <t>μ</t>
    </r>
    <r>
      <rPr>
        <vertAlign val="subscript"/>
        <sz val="12.65"/>
        <rFont val="Times New Roman"/>
        <family val="1"/>
      </rPr>
      <t>A</t>
    </r>
  </si>
  <si>
    <t>cP</t>
  </si>
  <si>
    <r>
      <t>Use Fig. 23-22 to find μ</t>
    </r>
    <r>
      <rPr>
        <vertAlign val="subscript"/>
        <sz val="11"/>
        <rFont val="Times New Roman"/>
        <family val="1"/>
      </rPr>
      <t xml:space="preserve">A </t>
    </r>
    <r>
      <rPr>
        <sz val="11"/>
        <rFont val="Times New Roman"/>
        <family val="1"/>
      </rPr>
      <t>at 1 atm.</t>
    </r>
  </si>
  <si>
    <r>
      <t xml:space="preserve">Calculate </t>
    </r>
    <r>
      <rPr>
        <sz val="12"/>
        <rFont val="Times New Roman"/>
        <family val="1"/>
      </rPr>
      <t>T</t>
    </r>
    <r>
      <rPr>
        <vertAlign val="subscript"/>
        <sz val="12"/>
        <rFont val="Times New Roman"/>
        <family val="1"/>
      </rPr>
      <t>r</t>
    </r>
  </si>
  <si>
    <r>
      <t>T</t>
    </r>
    <r>
      <rPr>
        <vertAlign val="subscript"/>
        <sz val="12"/>
        <rFont val="Times New Roman"/>
        <family val="1"/>
      </rPr>
      <t>r</t>
    </r>
  </si>
  <si>
    <r>
      <t xml:space="preserve">Calculate </t>
    </r>
    <r>
      <rPr>
        <sz val="12"/>
        <rFont val="Times New Roman"/>
        <family val="1"/>
      </rPr>
      <t>P</t>
    </r>
    <r>
      <rPr>
        <vertAlign val="subscript"/>
        <sz val="12"/>
        <rFont val="Times New Roman"/>
        <family val="1"/>
      </rPr>
      <t>r</t>
    </r>
  </si>
  <si>
    <r>
      <t>P</t>
    </r>
    <r>
      <rPr>
        <vertAlign val="subscript"/>
        <sz val="12"/>
        <rFont val="Times New Roman"/>
        <family val="1"/>
      </rPr>
      <t>r</t>
    </r>
  </si>
  <si>
    <t>Calculate viscosity at 1,000 psia and 100 degF</t>
  </si>
  <si>
    <t xml:space="preserve"> μ</t>
  </si>
  <si>
    <t>For calculating viscosities of gaseous mixtures with large concentrations of non-hydrocarbons, use Dean and Stiel method.</t>
  </si>
  <si>
    <r>
      <t>Using Fig. 23-24, calculate μ/μ</t>
    </r>
    <r>
      <rPr>
        <vertAlign val="subscript"/>
        <sz val="11"/>
        <rFont val="Times New Roman"/>
        <family val="1"/>
      </rPr>
      <t>A</t>
    </r>
  </si>
  <si>
    <r>
      <t>If T</t>
    </r>
    <r>
      <rPr>
        <vertAlign val="subscript"/>
        <sz val="11"/>
        <rFont val="Times New Roman"/>
        <family val="1"/>
      </rPr>
      <t xml:space="preserve">r </t>
    </r>
    <r>
      <rPr>
        <sz val="11"/>
        <rFont val="Times New Roman"/>
        <family val="1"/>
      </rPr>
      <t>is &gt;1, use Fig. 23-24 to calculate μ/μ</t>
    </r>
    <r>
      <rPr>
        <vertAlign val="subscript"/>
        <sz val="11"/>
        <rFont val="Times New Roman"/>
        <family val="1"/>
      </rPr>
      <t>A</t>
    </r>
    <r>
      <rPr>
        <sz val="11"/>
        <rFont val="Times New Roman"/>
        <family val="1"/>
      </rPr>
      <t>. If T</t>
    </r>
    <r>
      <rPr>
        <vertAlign val="subscript"/>
        <sz val="11"/>
        <rFont val="Times New Roman"/>
        <family val="1"/>
      </rPr>
      <t>r</t>
    </r>
    <r>
      <rPr>
        <sz val="11"/>
        <rFont val="Times New Roman"/>
        <family val="1"/>
      </rPr>
      <t xml:space="preserve"> is &lt;1, use Fig. 23-23</t>
    </r>
  </si>
  <si>
    <r>
      <t xml:space="preserve">If </t>
    </r>
    <r>
      <rPr>
        <sz val="12"/>
        <rFont val="Times New Roman"/>
        <family val="1"/>
      </rPr>
      <t>T</t>
    </r>
    <r>
      <rPr>
        <vertAlign val="subscript"/>
        <sz val="12"/>
        <rFont val="Times New Roman"/>
        <family val="1"/>
      </rPr>
      <t>r</t>
    </r>
    <r>
      <rPr>
        <vertAlign val="subscript"/>
        <sz val="11"/>
        <rFont val="Times New Roman"/>
        <family val="1"/>
      </rPr>
      <t xml:space="preserve"> </t>
    </r>
    <r>
      <rPr>
        <sz val="11"/>
        <rFont val="Times New Roman"/>
        <family val="1"/>
      </rPr>
      <t>is &gt;1, use Fig. 23-24 to calculate μ/μ</t>
    </r>
    <r>
      <rPr>
        <vertAlign val="subscript"/>
        <sz val="11"/>
        <rFont val="Times New Roman"/>
        <family val="1"/>
      </rPr>
      <t>A</t>
    </r>
    <r>
      <rPr>
        <sz val="11"/>
        <rFont val="Times New Roman"/>
        <family val="1"/>
      </rPr>
      <t xml:space="preserve">. If </t>
    </r>
    <r>
      <rPr>
        <sz val="12"/>
        <rFont val="Times New Roman"/>
        <family val="1"/>
      </rPr>
      <t>T</t>
    </r>
    <r>
      <rPr>
        <vertAlign val="subscript"/>
        <sz val="12"/>
        <rFont val="Times New Roman"/>
        <family val="1"/>
      </rPr>
      <t>r</t>
    </r>
    <r>
      <rPr>
        <sz val="11"/>
        <rFont val="Times New Roman"/>
        <family val="1"/>
      </rPr>
      <t xml:space="preserve"> is &lt;1, use Fig. 23-23</t>
    </r>
  </si>
  <si>
    <t>mol %</t>
  </si>
  <si>
    <r>
      <t>Use data in Fig. 23-30 to calculate P</t>
    </r>
    <r>
      <rPr>
        <vertAlign val="subscript"/>
        <sz val="11"/>
        <rFont val="Times New Roman"/>
        <family val="1"/>
      </rPr>
      <t xml:space="preserve">cm </t>
    </r>
  </si>
  <si>
    <r>
      <t>T</t>
    </r>
    <r>
      <rPr>
        <vertAlign val="subscript"/>
        <sz val="11"/>
        <rFont val="Times New Roman"/>
        <family val="1"/>
      </rPr>
      <t>cm</t>
    </r>
  </si>
  <si>
    <r>
      <t>V</t>
    </r>
    <r>
      <rPr>
        <vertAlign val="subscript"/>
        <sz val="11"/>
        <rFont val="Times New Roman"/>
        <family val="1"/>
      </rPr>
      <t>cm</t>
    </r>
  </si>
  <si>
    <r>
      <t>Z</t>
    </r>
    <r>
      <rPr>
        <vertAlign val="subscript"/>
        <sz val="11"/>
        <rFont val="Times New Roman"/>
        <family val="1"/>
      </rPr>
      <t>cm</t>
    </r>
  </si>
  <si>
    <r>
      <t>P</t>
    </r>
    <r>
      <rPr>
        <vertAlign val="subscript"/>
        <sz val="11"/>
        <rFont val="Times New Roman"/>
        <family val="1"/>
      </rPr>
      <t>cm</t>
    </r>
  </si>
  <si>
    <t>ξ</t>
  </si>
  <si>
    <t>Calculate ξ using Eq. 23-20</t>
  </si>
  <si>
    <t>Use MW and mol % for each component to calculate ξ defined in Eq. 23-20</t>
  </si>
  <si>
    <r>
      <t>ξμ</t>
    </r>
    <r>
      <rPr>
        <vertAlign val="subscript"/>
        <sz val="12"/>
        <rFont val="Times New Roman"/>
        <family val="1"/>
      </rPr>
      <t>A</t>
    </r>
  </si>
  <si>
    <r>
      <t>μ</t>
    </r>
    <r>
      <rPr>
        <vertAlign val="subscript"/>
        <sz val="14"/>
        <rFont val="Times New Roman"/>
        <family val="1"/>
      </rPr>
      <t>A</t>
    </r>
  </si>
  <si>
    <r>
      <t>Because T</t>
    </r>
    <r>
      <rPr>
        <vertAlign val="subscript"/>
        <sz val="12"/>
        <rFont val="Times New Roman"/>
        <family val="1"/>
      </rPr>
      <t>r</t>
    </r>
    <r>
      <rPr>
        <sz val="12"/>
        <rFont val="Times New Roman"/>
        <family val="1"/>
      </rPr>
      <t xml:space="preserve"> &gt; 1.5 use Eq. 23-21 to calculate ξμ</t>
    </r>
    <r>
      <rPr>
        <vertAlign val="subscript"/>
        <sz val="12"/>
        <rFont val="Times New Roman"/>
        <family val="1"/>
      </rPr>
      <t>A</t>
    </r>
  </si>
  <si>
    <t>Example 23-9 Viscosity Estimation of A Gas Mixture.</t>
  </si>
  <si>
    <t>Sp. Gr.</t>
  </si>
  <si>
    <t>Ln(B)</t>
  </si>
  <si>
    <t>Calculate Ln(B) using Eq. 23-29</t>
  </si>
  <si>
    <t xml:space="preserve">B </t>
  </si>
  <si>
    <t>Calculate A using Eq. 23-28</t>
  </si>
  <si>
    <t>A</t>
  </si>
  <si>
    <r>
      <t>Mid-boiling point, T</t>
    </r>
    <r>
      <rPr>
        <vertAlign val="subscript"/>
        <sz val="11"/>
        <rFont val="Times New Roman"/>
        <family val="1"/>
      </rPr>
      <t>b</t>
    </r>
  </si>
  <si>
    <t>Calculate η using Eq. 23-27</t>
  </si>
  <si>
    <t>T1</t>
  </si>
  <si>
    <t>T2</t>
  </si>
  <si>
    <t>η @ 100 degF</t>
  </si>
  <si>
    <t>cs</t>
  </si>
  <si>
    <t>η @ 210 degF</t>
  </si>
  <si>
    <r>
      <t>psia</t>
    </r>
    <r>
      <rPr>
        <vertAlign val="superscript"/>
        <sz val="11"/>
        <rFont val="Times New Roman"/>
        <family val="1"/>
      </rPr>
      <t>-1</t>
    </r>
  </si>
  <si>
    <r>
      <t>Determine K</t>
    </r>
    <r>
      <rPr>
        <vertAlign val="subscript"/>
        <sz val="11"/>
        <rFont val="Times New Roman"/>
        <family val="1"/>
      </rPr>
      <t>w</t>
    </r>
    <r>
      <rPr>
        <sz val="11"/>
        <rFont val="Times New Roman"/>
        <family val="1"/>
      </rPr>
      <t xml:space="preserve"> using Fig. 23-12</t>
    </r>
  </si>
  <si>
    <r>
      <t>K</t>
    </r>
    <r>
      <rPr>
        <vertAlign val="subscript"/>
        <sz val="11"/>
        <rFont val="Times New Roman"/>
        <family val="1"/>
      </rPr>
      <t>w</t>
    </r>
  </si>
  <si>
    <t>Range is 0 to 1,100 degF</t>
  </si>
  <si>
    <t>Example 23-11 Find the Thermal Conductivity of a Natural Gas.</t>
  </si>
  <si>
    <r>
      <t>Determine k</t>
    </r>
    <r>
      <rPr>
        <vertAlign val="subscript"/>
        <sz val="11"/>
        <rFont val="Times New Roman"/>
        <family val="1"/>
      </rPr>
      <t>A</t>
    </r>
    <r>
      <rPr>
        <sz val="11"/>
        <rFont val="Times New Roman"/>
        <family val="1"/>
      </rPr>
      <t xml:space="preserve"> using Fig. 23-31</t>
    </r>
  </si>
  <si>
    <r>
      <t>k</t>
    </r>
    <r>
      <rPr>
        <vertAlign val="subscript"/>
        <sz val="11"/>
        <rFont val="Times New Roman"/>
        <family val="1"/>
      </rPr>
      <t>A</t>
    </r>
  </si>
  <si>
    <t>Btu/[(hr-sq.ft.-degF)/ft]</t>
  </si>
  <si>
    <r>
      <t>Calculate T</t>
    </r>
    <r>
      <rPr>
        <vertAlign val="subscript"/>
        <sz val="11"/>
        <rFont val="Times New Roman"/>
        <family val="1"/>
      </rPr>
      <t>r</t>
    </r>
  </si>
  <si>
    <r>
      <t>T</t>
    </r>
    <r>
      <rPr>
        <vertAlign val="subscript"/>
        <sz val="11"/>
        <rFont val="Times New Roman"/>
        <family val="1"/>
      </rPr>
      <t>r</t>
    </r>
  </si>
  <si>
    <r>
      <t>Calculate P</t>
    </r>
    <r>
      <rPr>
        <vertAlign val="subscript"/>
        <sz val="11"/>
        <rFont val="Times New Roman"/>
        <family val="1"/>
      </rPr>
      <t>r</t>
    </r>
  </si>
  <si>
    <r>
      <t>P</t>
    </r>
    <r>
      <rPr>
        <vertAlign val="subscript"/>
        <sz val="11"/>
        <rFont val="Times New Roman"/>
        <family val="1"/>
      </rPr>
      <t>r</t>
    </r>
  </si>
  <si>
    <r>
      <t>k/k</t>
    </r>
    <r>
      <rPr>
        <vertAlign val="subscript"/>
        <sz val="12"/>
        <rFont val="Times New Roman"/>
        <family val="1"/>
      </rPr>
      <t>A</t>
    </r>
  </si>
  <si>
    <t>k</t>
  </si>
  <si>
    <r>
      <t>T</t>
    </r>
    <r>
      <rPr>
        <vertAlign val="subscript"/>
        <sz val="11"/>
        <rFont val="Times New Roman"/>
        <family val="1"/>
      </rPr>
      <t>r</t>
    </r>
    <r>
      <rPr>
        <sz val="11"/>
        <rFont val="Times New Roman"/>
        <family val="1"/>
      </rPr>
      <t xml:space="preserve"> range is 0.96 to 3.00</t>
    </r>
  </si>
  <si>
    <r>
      <t>P</t>
    </r>
    <r>
      <rPr>
        <vertAlign val="subscript"/>
        <sz val="11"/>
        <rFont val="Times New Roman"/>
        <family val="1"/>
      </rPr>
      <t>r</t>
    </r>
    <r>
      <rPr>
        <sz val="11"/>
        <rFont val="Times New Roman"/>
        <family val="1"/>
      </rPr>
      <t xml:space="preserve"> range is 0.1 to 7.0</t>
    </r>
  </si>
  <si>
    <r>
      <t>Determine thermal conductivity ratio, k/k</t>
    </r>
    <r>
      <rPr>
        <vertAlign val="subscript"/>
        <sz val="12"/>
        <rFont val="Times New Roman"/>
        <family val="1"/>
      </rPr>
      <t>A</t>
    </r>
    <r>
      <rPr>
        <sz val="12"/>
        <rFont val="Times New Roman"/>
        <family val="1"/>
      </rPr>
      <t>, using Fig. 23-32</t>
    </r>
  </si>
  <si>
    <t>Calculate thermal conductivity, k</t>
  </si>
  <si>
    <r>
      <t>Unadjusted T</t>
    </r>
    <r>
      <rPr>
        <vertAlign val="subscript"/>
        <sz val="11"/>
        <rFont val="Times New Roman"/>
        <family val="1"/>
      </rPr>
      <t>c</t>
    </r>
  </si>
  <si>
    <r>
      <t>Unadjusted P</t>
    </r>
    <r>
      <rPr>
        <vertAlign val="subscript"/>
        <sz val="11"/>
        <rFont val="Times New Roman"/>
        <family val="1"/>
      </rPr>
      <t>c</t>
    </r>
  </si>
  <si>
    <t>ε</t>
  </si>
  <si>
    <r>
      <t xml:space="preserve">Use Fig. 23-8 to determine Pseudocritical Temperature Adjustment Factor, </t>
    </r>
    <r>
      <rPr>
        <sz val="14"/>
        <rFont val="Times New Roman"/>
        <family val="1"/>
      </rPr>
      <t>ε</t>
    </r>
    <r>
      <rPr>
        <sz val="11"/>
        <rFont val="Times New Roman"/>
        <family val="1"/>
      </rPr>
      <t>, degF.</t>
    </r>
  </si>
  <si>
    <t>Example 23-1 Using Fig. 24-27, the P-H diagram for propane, calculate the density of propane vapor at 200degF and 100 psia.</t>
  </si>
  <si>
    <t>On P-H diagram at the intersection of T = 200 degF, P = 100 psia lines read v = 1.5 ft3/lbm.</t>
  </si>
  <si>
    <t>v</t>
  </si>
  <si>
    <t>ft3/lbm</t>
  </si>
  <si>
    <t>Density (ρ)</t>
  </si>
  <si>
    <t>lbm/ft3</t>
  </si>
  <si>
    <t>The above example only applies to propane, using Fig. 24-27.</t>
  </si>
  <si>
    <t>Mole fraction H2S</t>
  </si>
  <si>
    <t>Use Fig. 23-8 to determine Pseudocritical Temperature Adjustment Factor, ε, degF.</t>
  </si>
  <si>
    <t>Example 23-3 Calculate the liquid density of a mixture at 120 degF and 1,760 psia.</t>
  </si>
  <si>
    <t>Mixture properties are given below (Fig 23-16)</t>
  </si>
  <si>
    <t>Component</t>
  </si>
  <si>
    <t>Mole fraction</t>
  </si>
  <si>
    <t>Mol wt</t>
  </si>
  <si>
    <t>Weight, lb</t>
  </si>
  <si>
    <t>Density (60F), lb/cf</t>
  </si>
  <si>
    <t>Volume, cu ft</t>
  </si>
  <si>
    <t>Methane</t>
  </si>
  <si>
    <t>Carbon dioxide</t>
  </si>
  <si>
    <t>Ethane</t>
  </si>
  <si>
    <t>Propane</t>
  </si>
  <si>
    <t>n-Butane</t>
  </si>
  <si>
    <t>n-Pentane</t>
  </si>
  <si>
    <t>n-Hexane</t>
  </si>
  <si>
    <t>n-Octane</t>
  </si>
  <si>
    <t>n-Decane</t>
  </si>
  <si>
    <t>n-Tetradecane</t>
  </si>
  <si>
    <t>Total</t>
  </si>
  <si>
    <t>n-Heptane</t>
  </si>
  <si>
    <t xml:space="preserve"> -</t>
  </si>
  <si>
    <t>4 = 2 X 3</t>
  </si>
  <si>
    <t>6 = 4/5</t>
  </si>
  <si>
    <t>Weight % C2 in C2+</t>
  </si>
  <si>
    <t>Wt %</t>
  </si>
  <si>
    <t>Density of CO2+</t>
  </si>
  <si>
    <t>Wt % CH4 in Total</t>
  </si>
  <si>
    <t>Pseudo-density of mixture at 60F and 14.7 psia from Fig 23-14</t>
  </si>
  <si>
    <t>Pressure correction to 1,760 psia from Fig 23-15</t>
  </si>
  <si>
    <t>Density at 60F and 1,760 psia</t>
  </si>
  <si>
    <t>Temp correction to 120F from Fig. 23-17</t>
  </si>
  <si>
    <t>LIMITS</t>
  </si>
  <si>
    <t>Procedure can handle up to 20% N2, 80% CO2, and 30% H2S.</t>
  </si>
  <si>
    <t>Not valid in the critical region.</t>
  </si>
  <si>
    <t>Example 23-4 Determine the mean average boiling point (MeABP) and the molecular weight for a 56.8degAPI petroleum fraction with the following ASTM distillation data.</t>
  </si>
  <si>
    <t>Distillation data</t>
  </si>
  <si>
    <t xml:space="preserve"> % Over</t>
  </si>
  <si>
    <t>Temp, degF</t>
  </si>
  <si>
    <t>IBP</t>
  </si>
  <si>
    <t>EP</t>
  </si>
  <si>
    <t>Slope</t>
  </si>
  <si>
    <t>VABP</t>
  </si>
  <si>
    <t>Correction to be added to volumetric average boiling point, degF, to obtain other boiling points, Fig. 23-18.</t>
  </si>
  <si>
    <t>Limits</t>
  </si>
  <si>
    <t>Valid in the molecular weight range of 70 to 720; MeABP range of 97 to 1,040 degF; and the API range of 14 to 93.</t>
  </si>
  <si>
    <t>API Gravity</t>
  </si>
  <si>
    <t>degAPI</t>
  </si>
  <si>
    <t>Calculate MW using Eq. 23-14</t>
  </si>
  <si>
    <t>Convert API Gravity to Sp. Gr.</t>
  </si>
  <si>
    <t>Convert MeABP from degF to degR</t>
  </si>
  <si>
    <t>lb/lb-mol</t>
  </si>
  <si>
    <t>Example 23-5 Calculation of molecular weight, using mixture from Example 23-4.</t>
  </si>
  <si>
    <t>Example 23-6 Calculate pseudo-critical temperature and pressure using mixture from Example 23-4</t>
  </si>
  <si>
    <t>API</t>
  </si>
  <si>
    <t>ASTM D-86 Slope from Example 23-4</t>
  </si>
  <si>
    <t>Find the VABP correction factor from Fig. 23-18 (off the graph)</t>
  </si>
  <si>
    <t>Calculate MABP</t>
  </si>
  <si>
    <t>Calculate pseudo-critical temp using Eq. 23-16</t>
  </si>
  <si>
    <t>Convert API gravity to sp. Gr.</t>
  </si>
  <si>
    <t>Convert pseudo-critical temp to degF</t>
  </si>
  <si>
    <t>Calculate pseudo-critical pressure using Eq. 23-15 and MeABP = 271 degF</t>
  </si>
  <si>
    <t>Valid over range of 80 to 690 MW; 70 to 295 degF normal boiling point; and 6.6 to 95 degAPI</t>
  </si>
  <si>
    <t>Valid over a range of 80 to 690 MW; 70 to 295 degF normal boiling point; and 6.6 to 95 degAPI</t>
  </si>
  <si>
    <t>Example 23-12 Find the thermal conductivity of the gaseous mixture shown in Fig. 23-37 at 200F and one atmosphere.</t>
  </si>
  <si>
    <t>Mole Fraction</t>
  </si>
  <si>
    <t>Thermal conductivity, btu/[(hr-sqft-degF)/ft]</t>
  </si>
  <si>
    <t>Molecular wt, MW</t>
  </si>
  <si>
    <t>CO2</t>
  </si>
  <si>
    <r>
      <t>MW</t>
    </r>
    <r>
      <rPr>
        <vertAlign val="superscript"/>
        <sz val="12"/>
        <rFont val="Times New Roman"/>
        <family val="1"/>
      </rPr>
      <t>-3</t>
    </r>
  </si>
  <si>
    <r>
      <t>(y</t>
    </r>
    <r>
      <rPr>
        <i/>
        <vertAlign val="subscript"/>
        <sz val="11"/>
        <rFont val="Times New Roman"/>
        <family val="1"/>
      </rPr>
      <t>i</t>
    </r>
    <r>
      <rPr>
        <i/>
        <sz val="11"/>
        <rFont val="Times New Roman"/>
        <family val="1"/>
      </rPr>
      <t>)</t>
    </r>
    <r>
      <rPr>
        <sz val="11"/>
        <rFont val="Times New Roman"/>
        <family val="1"/>
      </rPr>
      <t>MW</t>
    </r>
    <r>
      <rPr>
        <vertAlign val="superscript"/>
        <sz val="12"/>
        <rFont val="Times New Roman"/>
        <family val="1"/>
      </rPr>
      <t>-3</t>
    </r>
  </si>
  <si>
    <r>
      <t>(y</t>
    </r>
    <r>
      <rPr>
        <vertAlign val="subscript"/>
        <sz val="11"/>
        <rFont val="Times New Roman"/>
        <family val="1"/>
      </rPr>
      <t>i</t>
    </r>
    <r>
      <rPr>
        <sz val="11"/>
        <rFont val="Times New Roman"/>
        <family val="1"/>
      </rPr>
      <t>)(k</t>
    </r>
    <r>
      <rPr>
        <vertAlign val="subscript"/>
        <sz val="11"/>
        <rFont val="Times New Roman"/>
        <family val="1"/>
      </rPr>
      <t>i</t>
    </r>
    <r>
      <rPr>
        <sz val="11"/>
        <rFont val="Times New Roman"/>
        <family val="1"/>
      </rPr>
      <t>)MW</t>
    </r>
    <r>
      <rPr>
        <vertAlign val="superscript"/>
        <sz val="11"/>
        <rFont val="Times New Roman"/>
        <family val="1"/>
      </rPr>
      <t>-3</t>
    </r>
  </si>
  <si>
    <t>H2S</t>
  </si>
  <si>
    <t>N2</t>
  </si>
  <si>
    <t>CH4</t>
  </si>
  <si>
    <t>C2H6</t>
  </si>
  <si>
    <r>
      <t>Calculate k</t>
    </r>
    <r>
      <rPr>
        <vertAlign val="subscript"/>
        <sz val="11"/>
        <rFont val="Times New Roman"/>
        <family val="1"/>
      </rPr>
      <t>m</t>
    </r>
    <r>
      <rPr>
        <sz val="11"/>
        <rFont val="Times New Roman"/>
        <family val="1"/>
      </rPr>
      <t xml:space="preserve"> using Eq. 23-30</t>
    </r>
  </si>
  <si>
    <t>Solution Step</t>
  </si>
  <si>
    <t>Example 23-10 At 100degF and 210degF find the viscosities of a heavy condensate having a mid-boiling point of 325 degF and a specific gravity of 0.7688.</t>
  </si>
  <si>
    <t>B = second virial coefficient for a gas mixture, (psia)–1</t>
  </si>
  <si>
    <t>B´ = mole fraction H2S in sour gas stream, Equation 23-6</t>
  </si>
  <si>
    <t>Bii = second virial coefficient for component i</t>
  </si>
  <si>
    <t>Bij = second cross virial coefficient for components i and j</t>
  </si>
  <si>
    <t>bi</t>
  </si>
  <si>
    <t>1/2 = summation factor for component i</t>
  </si>
  <si>
    <t>c = cost of gas</t>
  </si>
  <si>
    <t>CABP = cubic average boiling point, °F</t>
  </si>
  <si>
    <t>d = density, g/cc</t>
  </si>
  <si>
    <t>gal = gallons</t>
  </si>
  <si>
    <t>G = specific gravity or relative density (gas density)</t>
  </si>
  <si>
    <t>Gi</t>
  </si>
  <si>
    <t>id = molecular weight ratio of component i in mixture</t>
  </si>
  <si>
    <t>Hvid = gross heating value per unit volume of ideal gas,</t>
  </si>
  <si>
    <t>Btu/cu ft</t>
  </si>
  <si>
    <t>Kw = Watson characterization factor, Fig. 23-12</t>
  </si>
  <si>
    <t>k = thermal conductivity, Btu/[(hr • ft2 • °F)/ft]</t>
  </si>
  <si>
    <t>kA = thermal conductivity at one atmosphere, Btu/[(hr •</t>
  </si>
  <si>
    <t>ft2 • °F)/ft]</t>
  </si>
  <si>
    <t>lbm = pounds mass</t>
  </si>
  <si>
    <t>M = mass fraction</t>
  </si>
  <si>
    <t>m = mass, lbm</t>
  </si>
  <si>
    <t>MW = molecular weight, lbm/lbmol</t>
  </si>
  <si>
    <t>MABP = molal average boiling point, °F or °R</t>
  </si>
  <si>
    <t>MeABP = Mean average boiling point, °F or °R</t>
  </si>
  <si>
    <t>n = number of moles, (mass/MW)</t>
  </si>
  <si>
    <t>p = price of real gas</t>
  </si>
  <si>
    <t>pid = price of ideal gas</t>
  </si>
  <si>
    <t>P = pressure, psia</t>
  </si>
  <si>
    <t>Pc′ = pseudo-critical pressure adjusted for acid gas</t>
  </si>
  <si>
    <t>composition, psia</t>
  </si>
  <si>
    <t>Pvp = vapor pressure at a reduced temperature of 0.7</t>
  </si>
  <si>
    <t>P•w = vapor pressure of water, 0.25636 psia at 60°F</t>
  </si>
  <si>
    <t>R = gas constant, 10.73 (psia • ft3)/(°R •lbmol) for</t>
  </si>
  <si>
    <t>all gases (Section 1 for R in other units)</t>
  </si>
  <si>
    <t>S = specific gravity at 60°/60°F (liquid)</t>
  </si>
  <si>
    <t>T = absolute temperature, °R</t>
  </si>
  <si>
    <t>t = ASTM D-86 distillation temperature for a given</t>
  </si>
  <si>
    <t>volumetric fraction, °F or °R, Equation 23-11</t>
  </si>
  <si>
    <t>Tc´ = pseudo-critical temperature adjusted for acid gas</t>
  </si>
  <si>
    <t>composition, °R</t>
  </si>
  <si>
    <t>V = volume, cu ft</t>
  </si>
  <si>
    <t>v = volume fraction</t>
  </si>
  <si>
    <t>•V</t>
  </si>
  <si>
    <t>id = volumetric flow rate, ideal gas</t>
  </si>
  <si>
    <t>VABP = volumetric average boiling point, °F</t>
  </si>
  <si>
    <t>Wt = weight, lbm</t>
  </si>
  <si>
    <t>WABP = weight average boiling point, °F</t>
  </si>
  <si>
    <t>yi = mole fraction of component i from analysis on dry</t>
  </si>
  <si>
    <t>basis, Equation 23-38</t>
  </si>
  <si>
    <t>xi = mole fraction in liquid phase</t>
  </si>
  <si>
    <t>yi(cor) = mole fraction of component i adjusted for water</t>
  </si>
  <si>
    <t>content</t>
  </si>
  <si>
    <t>y = mole fraction in gas phase</t>
  </si>
  <si>
    <t>Z = Z-factor = PV/nRT</t>
  </si>
  <si>
    <t>Greek</t>
  </si>
  <si>
    <t>ε = pseudo-critical temperature adjustment factor,</t>
  </si>
  <si>
    <t>Equation 23-6</t>
  </si>
  <si>
    <t>θ = MABP/Tpc</t>
  </si>
  <si>
    <t>ρ = density, lbm/ft3</t>
  </si>
  <si>
    <t>μ = viscosity at operating temperature and pressure,</t>
  </si>
  <si>
    <t>centipoise</t>
  </si>
  <si>
    <t>μA = viscosity at 14.7 psia (1 atm) and operating</t>
  </si>
  <si>
    <t>temperature, centipoise</t>
  </si>
  <si>
    <t>ξ = factor defined by Equation 23-20</t>
  </si>
  <si>
    <t>σ = surface tension, dynes/cm</t>
  </si>
  <si>
    <t>ω = acentric factor</t>
  </si>
  <si>
    <t>η = kinematic viscosity, centistokes</t>
  </si>
  <si>
    <t>Δt = accounting period</t>
  </si>
  <si>
    <t>Subscripts</t>
  </si>
  <si>
    <t>a = air</t>
  </si>
  <si>
    <t>b = boiling</t>
  </si>
  <si>
    <t>c = critical</t>
  </si>
  <si>
    <t>i = component i</t>
  </si>
  <si>
    <t>L = liquid</t>
  </si>
  <si>
    <t>m = mixture</t>
  </si>
  <si>
    <t>pc = pseudo-critical</t>
  </si>
  <si>
    <t>r = reduced state</t>
  </si>
  <si>
    <t>V = vapor</t>
  </si>
  <si>
    <t>v = volume</t>
  </si>
  <si>
    <t>w = water</t>
  </si>
  <si>
    <t>Superscripts</t>
  </si>
  <si>
    <t>id = ideal gas</t>
  </si>
  <si>
    <t>° = reference state</t>
  </si>
  <si>
    <t>SECTION 23</t>
  </si>
  <si>
    <t>Physical Properties</t>
  </si>
  <si>
    <t>FIG. 23-1</t>
  </si>
  <si>
    <t>Nomenclature</t>
  </si>
  <si>
    <t>On P-H diagram at the intersection of T = 200 degF and P = 100 psia lines, read v = 1.5 ft3/lbm.</t>
  </si>
  <si>
    <r>
      <t>Calculate adjusted pseudo-critical Temp., T</t>
    </r>
    <r>
      <rPr>
        <vertAlign val="subscript"/>
        <sz val="11"/>
        <rFont val="Times New Roman"/>
        <family val="1"/>
      </rPr>
      <t>c</t>
    </r>
    <r>
      <rPr>
        <sz val="11"/>
        <rFont val="Times New Roman"/>
        <family val="1"/>
      </rPr>
      <t>'</t>
    </r>
  </si>
  <si>
    <r>
      <t>Mole fraction H</t>
    </r>
    <r>
      <rPr>
        <vertAlign val="subscript"/>
        <sz val="11"/>
        <rFont val="Times New Roman"/>
        <family val="1"/>
      </rPr>
      <t>2</t>
    </r>
    <r>
      <rPr>
        <sz val="11"/>
        <rFont val="Times New Roman"/>
        <family val="1"/>
      </rPr>
      <t>S</t>
    </r>
  </si>
  <si>
    <r>
      <t>Calculate adjusted pseudo-critical pressure, P</t>
    </r>
    <r>
      <rPr>
        <vertAlign val="subscript"/>
        <sz val="11"/>
        <rFont val="Times New Roman"/>
        <family val="1"/>
      </rPr>
      <t>c</t>
    </r>
    <r>
      <rPr>
        <sz val="11"/>
        <rFont val="Times New Roman"/>
        <family val="1"/>
      </rPr>
      <t>'</t>
    </r>
  </si>
  <si>
    <r>
      <t>Calculate pseudo-reduced temperature, T</t>
    </r>
    <r>
      <rPr>
        <vertAlign val="subscript"/>
        <sz val="11"/>
        <rFont val="Times New Roman"/>
        <family val="1"/>
      </rPr>
      <t>r</t>
    </r>
    <r>
      <rPr>
        <sz val="11"/>
        <rFont val="Times New Roman"/>
        <family val="1"/>
      </rPr>
      <t>'</t>
    </r>
  </si>
  <si>
    <r>
      <t>Calculate pseudo-reduced pressure, P</t>
    </r>
    <r>
      <rPr>
        <vertAlign val="subscript"/>
        <sz val="11"/>
        <rFont val="Times New Roman"/>
        <family val="1"/>
      </rPr>
      <t>r</t>
    </r>
    <r>
      <rPr>
        <sz val="11"/>
        <rFont val="Times New Roman"/>
        <family val="1"/>
      </rPr>
      <t>'</t>
    </r>
  </si>
  <si>
    <r>
      <t>From Fig. 23-4, locate Z using T</t>
    </r>
    <r>
      <rPr>
        <vertAlign val="subscript"/>
        <sz val="12"/>
        <rFont val="Times New Roman"/>
        <family val="1"/>
      </rPr>
      <t>r</t>
    </r>
    <r>
      <rPr>
        <sz val="12"/>
        <rFont val="Times New Roman"/>
        <family val="1"/>
      </rPr>
      <t>' and P</t>
    </r>
    <r>
      <rPr>
        <vertAlign val="subscript"/>
        <sz val="12"/>
        <rFont val="Times New Roman"/>
        <family val="1"/>
      </rPr>
      <t>r</t>
    </r>
    <r>
      <rPr>
        <sz val="12"/>
        <rFont val="Times New Roman"/>
        <family val="1"/>
      </rPr>
      <t>'</t>
    </r>
  </si>
  <si>
    <r>
      <t>Example 23-2 - A sour natural gas contains 10 mol% CO</t>
    </r>
    <r>
      <rPr>
        <b/>
        <vertAlign val="subscript"/>
        <sz val="11"/>
        <rFont val="Times New Roman"/>
        <family val="1"/>
      </rPr>
      <t>2</t>
    </r>
    <r>
      <rPr>
        <b/>
        <sz val="11"/>
        <rFont val="Times New Roman"/>
        <family val="1"/>
      </rPr>
      <t xml:space="preserve"> and 20 mol% H</t>
    </r>
    <r>
      <rPr>
        <b/>
        <vertAlign val="subscript"/>
        <sz val="11"/>
        <rFont val="Times New Roman"/>
        <family val="1"/>
      </rPr>
      <t>2</t>
    </r>
    <r>
      <rPr>
        <b/>
        <sz val="11"/>
        <rFont val="Times New Roman"/>
        <family val="1"/>
      </rPr>
      <t>S.  The unadjusted values of T</t>
    </r>
    <r>
      <rPr>
        <b/>
        <vertAlign val="subscript"/>
        <sz val="11"/>
        <rFont val="Times New Roman"/>
        <family val="1"/>
      </rPr>
      <t>c</t>
    </r>
    <r>
      <rPr>
        <b/>
        <sz val="11"/>
        <rFont val="Times New Roman"/>
        <family val="1"/>
      </rPr>
      <t>' and P</t>
    </r>
    <r>
      <rPr>
        <b/>
        <vertAlign val="subscript"/>
        <sz val="11"/>
        <rFont val="Times New Roman"/>
        <family val="1"/>
      </rPr>
      <t>c</t>
    </r>
    <r>
      <rPr>
        <b/>
        <sz val="11"/>
        <rFont val="Times New Roman"/>
        <family val="1"/>
      </rPr>
      <t>' can be taken as 433.9 degR and 826.9 psia, respectively.  Determine the Z-factor for the gas at 100 degF and 1000 psia.</t>
    </r>
  </si>
  <si>
    <t>Calculate density of C3+</t>
  </si>
  <si>
    <r>
      <t>lbm/ft</t>
    </r>
    <r>
      <rPr>
        <vertAlign val="superscript"/>
        <sz val="11"/>
        <rFont val="Times New Roman"/>
        <family val="1"/>
      </rPr>
      <t>3</t>
    </r>
  </si>
  <si>
    <t>Pseudo-density of mixture at 60F and 14.7 psia from Fig 23-14.  Use Density of CO2+ for Density of Nitrogen and Ethane Plus</t>
  </si>
  <si>
    <t>Generally applicable to liquids containing components heavier than pentanes (gas saturated or subcooled) at pressures up to 10,000 psia and temperatures from -100F to 600F</t>
  </si>
  <si>
    <t>Mixtures at temperatures greater than 150F that contain more than 60 mol% methane or more than 80 mol% CO2 are problem areas.</t>
  </si>
  <si>
    <t xml:space="preserve">Limits are given in the spreadsheets for the individual examples. </t>
  </si>
  <si>
    <t>Above calculation is limited to hydrocarbon mixtures with a boiling point range of 50 degF or less.</t>
  </si>
  <si>
    <t>Nitrogen</t>
  </si>
  <si>
    <t>Use this method for large amounts of non-hydrocarbons.</t>
  </si>
  <si>
    <r>
      <t xml:space="preserve">Calculate </t>
    </r>
    <r>
      <rPr>
        <sz val="12"/>
        <rFont val="Times New Roman"/>
        <family val="1"/>
      </rPr>
      <t>T</t>
    </r>
    <r>
      <rPr>
        <vertAlign val="subscript"/>
        <sz val="12"/>
        <rFont val="Times New Roman"/>
        <family val="1"/>
      </rPr>
      <t xml:space="preserve">r </t>
    </r>
    <r>
      <rPr>
        <sz val="12"/>
        <rFont val="Times New Roman"/>
        <family val="1"/>
      </rPr>
      <t>= T/T</t>
    </r>
    <r>
      <rPr>
        <vertAlign val="subscript"/>
        <sz val="12"/>
        <rFont val="Times New Roman"/>
        <family val="1"/>
      </rPr>
      <t>cm.</t>
    </r>
  </si>
  <si>
    <t>If Tr &lt; 1.5, use Eq.23-22 rather than Eq. 23-21.</t>
  </si>
  <si>
    <t>Fig. 23-30</t>
  </si>
  <si>
    <t>Mixture</t>
  </si>
  <si>
    <r>
      <t>P</t>
    </r>
    <r>
      <rPr>
        <vertAlign val="subscript"/>
        <sz val="11"/>
        <rFont val="Times New Roman"/>
        <family val="1"/>
      </rPr>
      <t>ci</t>
    </r>
    <r>
      <rPr>
        <sz val="11"/>
        <rFont val="Times New Roman"/>
        <family val="1"/>
      </rPr>
      <t>, psia</t>
    </r>
  </si>
  <si>
    <r>
      <t>mol fract, y</t>
    </r>
    <r>
      <rPr>
        <vertAlign val="subscript"/>
        <sz val="11"/>
        <rFont val="Times New Roman"/>
        <family val="1"/>
      </rPr>
      <t>i</t>
    </r>
  </si>
  <si>
    <t>Σ</t>
  </si>
  <si>
    <r>
      <t>MW</t>
    </r>
    <r>
      <rPr>
        <vertAlign val="subscript"/>
        <sz val="11"/>
        <rFont val="Times New Roman"/>
        <family val="1"/>
      </rPr>
      <t>cm</t>
    </r>
    <r>
      <rPr>
        <sz val="11"/>
        <rFont val="Times New Roman"/>
        <family val="1"/>
      </rPr>
      <t xml:space="preserve"> = Σy</t>
    </r>
    <r>
      <rPr>
        <vertAlign val="subscript"/>
        <sz val="11"/>
        <rFont val="Times New Roman"/>
        <family val="1"/>
      </rPr>
      <t xml:space="preserve">i </t>
    </r>
    <r>
      <rPr>
        <sz val="11"/>
        <rFont val="Times New Roman"/>
        <family val="1"/>
      </rPr>
      <t>• MW</t>
    </r>
    <r>
      <rPr>
        <vertAlign val="subscript"/>
        <sz val="11"/>
        <rFont val="Times New Roman"/>
        <family val="1"/>
      </rPr>
      <t>i</t>
    </r>
  </si>
  <si>
    <r>
      <t>T</t>
    </r>
    <r>
      <rPr>
        <vertAlign val="subscript"/>
        <sz val="11"/>
        <rFont val="Times New Roman"/>
        <family val="1"/>
      </rPr>
      <t>cm</t>
    </r>
    <r>
      <rPr>
        <sz val="11"/>
        <rFont val="Times New Roman"/>
        <family val="1"/>
      </rPr>
      <t xml:space="preserve"> = Σy</t>
    </r>
    <r>
      <rPr>
        <vertAlign val="subscript"/>
        <sz val="11"/>
        <rFont val="Times New Roman"/>
        <family val="1"/>
      </rPr>
      <t xml:space="preserve">i </t>
    </r>
    <r>
      <rPr>
        <sz val="11"/>
        <rFont val="Times New Roman"/>
        <family val="1"/>
      </rPr>
      <t>• T</t>
    </r>
    <r>
      <rPr>
        <vertAlign val="subscript"/>
        <sz val="11"/>
        <rFont val="Times New Roman"/>
        <family val="1"/>
      </rPr>
      <t>ci</t>
    </r>
  </si>
  <si>
    <r>
      <t>ft</t>
    </r>
    <r>
      <rPr>
        <vertAlign val="superscript"/>
        <sz val="11"/>
        <rFont val="Times New Roman"/>
        <family val="1"/>
      </rPr>
      <t>3</t>
    </r>
    <r>
      <rPr>
        <sz val="11"/>
        <rFont val="Times New Roman"/>
        <family val="1"/>
      </rPr>
      <t>/lb</t>
    </r>
  </si>
  <si>
    <r>
      <t>T</t>
    </r>
    <r>
      <rPr>
        <vertAlign val="subscript"/>
        <sz val="11"/>
        <rFont val="Times New Roman"/>
        <family val="1"/>
      </rPr>
      <t>ci</t>
    </r>
    <r>
      <rPr>
        <sz val="11"/>
        <rFont val="Times New Roman"/>
        <family val="1"/>
      </rPr>
      <t>, degR</t>
    </r>
  </si>
  <si>
    <r>
      <t>V</t>
    </r>
    <r>
      <rPr>
        <vertAlign val="subscript"/>
        <sz val="11"/>
        <rFont val="Times New Roman"/>
        <family val="1"/>
      </rPr>
      <t>ci</t>
    </r>
    <r>
      <rPr>
        <sz val="11"/>
        <rFont val="Times New Roman"/>
        <family val="1"/>
      </rPr>
      <t>, ft</t>
    </r>
    <r>
      <rPr>
        <vertAlign val="superscript"/>
        <sz val="11"/>
        <rFont val="Times New Roman"/>
        <family val="1"/>
      </rPr>
      <t>3</t>
    </r>
    <r>
      <rPr>
        <sz val="11"/>
        <rFont val="Times New Roman"/>
        <family val="1"/>
      </rPr>
      <t>/lb</t>
    </r>
  </si>
  <si>
    <r>
      <t>V</t>
    </r>
    <r>
      <rPr>
        <vertAlign val="subscript"/>
        <sz val="11"/>
        <rFont val="Times New Roman"/>
        <family val="1"/>
      </rPr>
      <t>ci</t>
    </r>
    <r>
      <rPr>
        <sz val="11"/>
        <rFont val="Times New Roman"/>
        <family val="1"/>
      </rPr>
      <t xml:space="preserve"> • MW</t>
    </r>
    <r>
      <rPr>
        <vertAlign val="subscript"/>
        <sz val="11"/>
        <rFont val="Times New Roman"/>
        <family val="1"/>
      </rPr>
      <t xml:space="preserve">i </t>
    </r>
    <r>
      <rPr>
        <sz val="11"/>
        <rFont val="Times New Roman"/>
        <family val="1"/>
      </rPr>
      <t>• y</t>
    </r>
    <r>
      <rPr>
        <vertAlign val="subscript"/>
        <sz val="11"/>
        <rFont val="Times New Roman"/>
        <family val="1"/>
      </rPr>
      <t>i</t>
    </r>
  </si>
  <si>
    <r>
      <t>Z</t>
    </r>
    <r>
      <rPr>
        <vertAlign val="subscript"/>
        <sz val="11"/>
        <rFont val="Times New Roman"/>
        <family val="1"/>
      </rPr>
      <t xml:space="preserve">ci </t>
    </r>
    <r>
      <rPr>
        <sz val="11"/>
        <rFont val="Times New Roman"/>
        <family val="1"/>
      </rPr>
      <t>• y</t>
    </r>
    <r>
      <rPr>
        <vertAlign val="subscript"/>
        <sz val="11"/>
        <rFont val="Times New Roman"/>
        <family val="1"/>
      </rPr>
      <t>i</t>
    </r>
  </si>
  <si>
    <r>
      <t>V</t>
    </r>
    <r>
      <rPr>
        <vertAlign val="subscript"/>
        <sz val="11"/>
        <rFont val="Times New Roman"/>
        <family val="1"/>
      </rPr>
      <t>cm</t>
    </r>
    <r>
      <rPr>
        <sz val="11"/>
        <rFont val="Times New Roman"/>
        <family val="1"/>
      </rPr>
      <t xml:space="preserve"> = Σy</t>
    </r>
    <r>
      <rPr>
        <vertAlign val="subscript"/>
        <sz val="11"/>
        <rFont val="Times New Roman"/>
        <family val="1"/>
      </rPr>
      <t>i</t>
    </r>
    <r>
      <rPr>
        <sz val="11"/>
        <rFont val="Times New Roman"/>
        <family val="1"/>
      </rPr>
      <t xml:space="preserve"> • V</t>
    </r>
    <r>
      <rPr>
        <vertAlign val="subscript"/>
        <sz val="11"/>
        <rFont val="Times New Roman"/>
        <family val="1"/>
      </rPr>
      <t>ci</t>
    </r>
  </si>
  <si>
    <r>
      <t>Z</t>
    </r>
    <r>
      <rPr>
        <vertAlign val="subscript"/>
        <sz val="11"/>
        <rFont val="Times New Roman"/>
        <family val="1"/>
      </rPr>
      <t>cm</t>
    </r>
    <r>
      <rPr>
        <sz val="11"/>
        <rFont val="Times New Roman"/>
        <family val="1"/>
      </rPr>
      <t xml:space="preserve"> = Σy</t>
    </r>
    <r>
      <rPr>
        <vertAlign val="subscript"/>
        <sz val="11"/>
        <rFont val="Times New Roman"/>
        <family val="1"/>
      </rPr>
      <t>i</t>
    </r>
    <r>
      <rPr>
        <sz val="11"/>
        <rFont val="Times New Roman"/>
        <family val="1"/>
      </rPr>
      <t xml:space="preserve"> • Z</t>
    </r>
    <r>
      <rPr>
        <vertAlign val="subscript"/>
        <sz val="11"/>
        <rFont val="Times New Roman"/>
        <family val="1"/>
      </rPr>
      <t>ci</t>
    </r>
  </si>
  <si>
    <t>Given: (For temperatures other than 200 degF, use thermal conductivities given in Figs. 23-31, 23-33 and 23-34.)</t>
  </si>
  <si>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</si>
  <si>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</si>
  <si>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</si>
  <si>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 reference to or reliance on the information in thes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</si>
  <si>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</si>
  <si>
    <r>
      <t>MW</t>
    </r>
    <r>
      <rPr>
        <vertAlign val="superscript"/>
        <sz val="11"/>
        <rFont val="Times New Roman"/>
        <family val="1"/>
      </rPr>
      <t>-3</t>
    </r>
  </si>
  <si>
    <r>
      <t>(y</t>
    </r>
    <r>
      <rPr>
        <i/>
        <vertAlign val="subscript"/>
        <sz val="11"/>
        <rFont val="Times New Roman"/>
        <family val="1"/>
      </rPr>
      <t>i</t>
    </r>
    <r>
      <rPr>
        <i/>
        <sz val="11"/>
        <rFont val="Times New Roman"/>
        <family val="1"/>
      </rPr>
      <t>)</t>
    </r>
    <r>
      <rPr>
        <sz val="11"/>
        <rFont val="Times New Roman"/>
        <family val="1"/>
      </rPr>
      <t>MW</t>
    </r>
    <r>
      <rPr>
        <vertAlign val="superscript"/>
        <sz val="11"/>
        <rFont val="Times New Roman"/>
        <family val="1"/>
      </rPr>
      <t>-3</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</si>
</sst>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00"/>
    <numFmt numFmtId="165" formatCode="0.0000"/>
    <numFmt numFmtId="166" formatCode="#,##0.0"/>
    <numFmt numFmtId="167" formatCode="#,##0.000"/>
    <numFmt numFmtId="168" formatCode="#,##0.0000"/>
    <numFmt numFmtId="169" formatCode="0.00000"/>
    <numFmt numFmtId="170" formatCode="0.000000"/>
    <numFmt numFmtId="171" formatCode="#,##0.00000"/>
    <numFmt numFmtId="172" formatCode="0.0"/>
  </numFmts>
  <fonts count="23" x14ac:knownFonts="1">
    <font>
      <sz val="10"/>
      <name val="Arial"/>
    </font>
    <font>
      <sz val="8"/>
      <name val="Arial"/>
      <family val="2"/>
    </font>
    <font>
      <b/>
      <sz val="11"/>
      <name val="Times New Roman"/>
      <family val="1"/>
    </font>
    <font>
      <sz val="11"/>
      <name val="Times New Roman"/>
      <family val="1"/>
    </font>
    <font>
      <vertAlign val="subscript"/>
      <sz val="11"/>
      <name val="Times New Roman"/>
      <family val="1"/>
    </font>
    <font>
      <sz val="11"/>
      <color indexed="18"/>
      <name val="Times New Roman"/>
      <family val="1"/>
    </font>
    <font>
      <b/>
      <sz val="11"/>
      <color indexed="18"/>
      <name val="Times New Roman"/>
      <family val="1"/>
    </font>
    <font>
      <sz val="10"/>
      <color indexed="18"/>
      <name val="Arial"/>
      <family val="2"/>
    </font>
    <font>
      <sz val="11"/>
      <color indexed="16"/>
      <name val="Times New Roman"/>
      <family val="1"/>
    </font>
    <font>
      <b/>
      <sz val="11"/>
      <color indexed="16"/>
      <name val="Times New Roman"/>
      <family val="1"/>
    </font>
    <font>
      <sz val="10"/>
      <name val="Arial"/>
      <family val="2"/>
    </font>
    <font>
      <sz val="14"/>
      <name val="Times New Roman"/>
      <family val="1"/>
    </font>
    <font>
      <vertAlign val="superscript"/>
      <sz val="11"/>
      <name val="Times New Roman"/>
      <family val="1"/>
    </font>
    <font>
      <sz val="11"/>
      <name val="Calibri"/>
      <family val="2"/>
    </font>
    <font>
      <vertAlign val="subscript"/>
      <sz val="12.65"/>
      <name val="Times New Roman"/>
      <family val="1"/>
    </font>
    <font>
      <sz val="12"/>
      <name val="Times New Roman"/>
      <family val="1"/>
    </font>
    <font>
      <vertAlign val="subscript"/>
      <sz val="12"/>
      <name val="Times New Roman"/>
      <family val="1"/>
    </font>
    <font>
      <vertAlign val="subscript"/>
      <sz val="14"/>
      <name val="Times New Roman"/>
      <family val="1"/>
    </font>
    <font>
      <vertAlign val="superscript"/>
      <sz val="12"/>
      <name val="Times New Roman"/>
      <family val="1"/>
    </font>
    <font>
      <i/>
      <vertAlign val="subscript"/>
      <sz val="11"/>
      <name val="Times New Roman"/>
      <family val="1"/>
    </font>
    <font>
      <i/>
      <sz val="11"/>
      <name val="Times New Roman"/>
      <family val="1"/>
    </font>
    <font>
      <b/>
      <vertAlign val="subscript"/>
      <sz val="11"/>
      <name val="Times New Roman"/>
      <family val="1"/>
    </font>
    <font>
      <sz val="11"/>
      <color theme="5" tint="-0.249977111117893"/>
      <name val="Times New Roman"/>
      <family val="1"/>
    </font>
  </fonts>
  <fills count="4">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s>
  <borders count="1">
    <border>
      <left/>
      <right/>
      <top/>
      <bottom/>
      <diagonal/>
    </border>
  </borders>
  <cellStyleXfs count="1">
    <xf numFmtId="0" fontId="0" fillId="0" borderId="0"/>
  </cellStyleXfs>
  <cellXfs count="216">
    <xf numFmtId="0" fontId="0" fillId="0" borderId="0" xfId="0"/>
    <xf numFmtId="0" fontId="3" fillId="0" borderId="0" xfId="0" applyFont="1"/>
    <xf numFmtId="0" fontId="3" fillId="0" borderId="0" xfId="0" applyFont="1" applyAlignment="1">
      <alignment vertical="center"/>
    </xf>
    <xf numFmtId="0" fontId="0" fillId="0" borderId="0" xfId="0" applyAlignment="1">
      <alignment vertical="center"/>
    </xf>
    <xf numFmtId="0" fontId="3" fillId="0" borderId="0" xfId="0" applyFont="1" applyAlignment="1">
      <alignment vertical="center" wrapText="1"/>
    </xf>
    <xf numFmtId="0" fontId="3" fillId="0" borderId="0" xfId="0" applyFont="1" applyAlignment="1" applyProtection="1">
      <alignment vertical="center"/>
    </xf>
    <xf numFmtId="0" fontId="3" fillId="2" borderId="0" xfId="0" applyFont="1" applyFill="1" applyBorder="1" applyProtection="1"/>
    <xf numFmtId="0" fontId="3" fillId="2" borderId="0" xfId="0" applyFont="1" applyFill="1" applyBorder="1" applyAlignment="1" applyProtection="1">
      <alignment horizontal="center"/>
    </xf>
    <xf numFmtId="0" fontId="5" fillId="2" borderId="0" xfId="0" applyFont="1" applyFill="1" applyBorder="1" applyProtection="1"/>
    <xf numFmtId="0" fontId="3" fillId="0" borderId="0" xfId="0" applyFont="1" applyProtection="1"/>
    <xf numFmtId="0" fontId="3" fillId="3" borderId="0" xfId="0" applyFont="1" applyFill="1" applyBorder="1" applyProtection="1"/>
    <xf numFmtId="0" fontId="3" fillId="3" borderId="0" xfId="0" applyFont="1" applyFill="1" applyBorder="1" applyAlignment="1" applyProtection="1">
      <alignment horizontal="center"/>
    </xf>
    <xf numFmtId="0" fontId="5" fillId="3" borderId="0" xfId="0" applyFont="1" applyFill="1" applyBorder="1" applyProtection="1"/>
    <xf numFmtId="164" fontId="3" fillId="2" borderId="0" xfId="0" applyNumberFormat="1" applyFont="1" applyFill="1" applyBorder="1" applyAlignment="1" applyProtection="1">
      <alignment horizontal="center"/>
    </xf>
    <xf numFmtId="164" fontId="3" fillId="3" borderId="0" xfId="0" applyNumberFormat="1" applyFont="1" applyFill="1" applyBorder="1" applyAlignment="1" applyProtection="1">
      <alignment horizontal="center"/>
    </xf>
    <xf numFmtId="0" fontId="22" fillId="0" borderId="0" xfId="0" applyFont="1" applyProtection="1"/>
    <xf numFmtId="0" fontId="3" fillId="0" borderId="0" xfId="0" applyFont="1" applyAlignment="1" applyProtection="1">
      <alignment horizontal="center"/>
    </xf>
    <xf numFmtId="0" fontId="2" fillId="2" borderId="0" xfId="0" applyFont="1" applyFill="1" applyBorder="1" applyAlignment="1" applyProtection="1"/>
    <xf numFmtId="0" fontId="0" fillId="2" borderId="0" xfId="0" applyFill="1" applyAlignment="1" applyProtection="1">
      <alignment wrapText="1"/>
    </xf>
    <xf numFmtId="0" fontId="2" fillId="3" borderId="0" xfId="0" applyFont="1" applyFill="1" applyBorder="1" applyAlignment="1" applyProtection="1"/>
    <xf numFmtId="0" fontId="3" fillId="3" borderId="0" xfId="0" applyFont="1" applyFill="1" applyAlignment="1" applyProtection="1">
      <alignment wrapText="1"/>
    </xf>
    <xf numFmtId="3" fontId="3" fillId="2" borderId="0" xfId="0" applyNumberFormat="1" applyFont="1" applyFill="1" applyBorder="1" applyAlignment="1" applyProtection="1">
      <alignment horizontal="center"/>
    </xf>
    <xf numFmtId="3" fontId="3" fillId="3" borderId="0" xfId="0" applyNumberFormat="1" applyFont="1" applyFill="1" applyBorder="1" applyAlignment="1" applyProtection="1">
      <alignment horizontal="center"/>
    </xf>
    <xf numFmtId="0" fontId="2" fillId="2" borderId="0" xfId="0" applyFont="1" applyFill="1" applyBorder="1" applyProtection="1"/>
    <xf numFmtId="0" fontId="2" fillId="2" borderId="0" xfId="0" applyFont="1" applyFill="1" applyBorder="1" applyAlignment="1" applyProtection="1">
      <alignment horizontal="center"/>
    </xf>
    <xf numFmtId="3" fontId="2" fillId="2" borderId="0" xfId="0" applyNumberFormat="1" applyFont="1" applyFill="1" applyBorder="1" applyAlignment="1" applyProtection="1">
      <alignment horizontal="center"/>
    </xf>
    <xf numFmtId="0" fontId="6" fillId="2" borderId="0" xfId="0" applyFont="1" applyFill="1" applyBorder="1" applyProtection="1"/>
    <xf numFmtId="0" fontId="2" fillId="0" borderId="0" xfId="0" applyFont="1" applyProtection="1"/>
    <xf numFmtId="0" fontId="2" fillId="3" borderId="0" xfId="0" applyFont="1" applyFill="1" applyBorder="1" applyProtection="1"/>
    <xf numFmtId="0" fontId="2" fillId="3" borderId="0" xfId="0" applyFont="1" applyFill="1" applyBorder="1" applyAlignment="1" applyProtection="1">
      <alignment horizontal="center"/>
    </xf>
    <xf numFmtId="3" fontId="2" fillId="3" borderId="0" xfId="0" applyNumberFormat="1" applyFont="1" applyFill="1" applyBorder="1" applyAlignment="1" applyProtection="1">
      <alignment horizontal="center"/>
    </xf>
    <xf numFmtId="0" fontId="6" fillId="3" borderId="0" xfId="0" applyFont="1" applyFill="1" applyBorder="1" applyProtection="1"/>
    <xf numFmtId="0" fontId="11" fillId="2" borderId="0" xfId="0" applyFont="1" applyFill="1" applyBorder="1" applyProtection="1"/>
    <xf numFmtId="4" fontId="3" fillId="2" borderId="0" xfId="0" applyNumberFormat="1" applyFont="1" applyFill="1" applyBorder="1" applyAlignment="1" applyProtection="1">
      <alignment horizontal="center"/>
    </xf>
    <xf numFmtId="4" fontId="3" fillId="3" borderId="0" xfId="0" applyNumberFormat="1" applyFont="1" applyFill="1" applyBorder="1" applyAlignment="1" applyProtection="1">
      <alignment horizontal="center"/>
    </xf>
    <xf numFmtId="0" fontId="3" fillId="2" borderId="0" xfId="0" applyFont="1" applyFill="1" applyBorder="1" applyAlignment="1" applyProtection="1">
      <alignment wrapText="1"/>
    </xf>
    <xf numFmtId="167" fontId="3" fillId="2" borderId="0" xfId="0" applyNumberFormat="1" applyFont="1" applyFill="1" applyBorder="1" applyAlignment="1" applyProtection="1">
      <alignment horizontal="center"/>
    </xf>
    <xf numFmtId="0" fontId="3" fillId="3" borderId="0" xfId="0" applyFont="1" applyFill="1" applyBorder="1" applyAlignment="1" applyProtection="1">
      <alignment wrapText="1"/>
    </xf>
    <xf numFmtId="167" fontId="3" fillId="3" borderId="0" xfId="0" applyNumberFormat="1" applyFont="1" applyFill="1" applyBorder="1" applyAlignment="1" applyProtection="1">
      <alignment horizontal="center"/>
    </xf>
    <xf numFmtId="0" fontId="3" fillId="2" borderId="0" xfId="0" applyFont="1" applyFill="1" applyAlignment="1" applyProtection="1">
      <alignment wrapText="1"/>
    </xf>
    <xf numFmtId="0" fontId="3" fillId="2" borderId="0" xfId="0" applyFont="1" applyFill="1" applyAlignment="1" applyProtection="1">
      <alignment horizontal="center" vertical="center"/>
    </xf>
    <xf numFmtId="2" fontId="3" fillId="2" borderId="0" xfId="0" applyNumberFormat="1" applyFont="1" applyFill="1" applyAlignment="1" applyProtection="1">
      <alignment horizontal="center" vertical="center"/>
    </xf>
    <xf numFmtId="0" fontId="3" fillId="2" borderId="0" xfId="0" applyFont="1" applyFill="1" applyAlignment="1" applyProtection="1">
      <alignment vertical="center"/>
    </xf>
    <xf numFmtId="0" fontId="3" fillId="2" borderId="0" xfId="0" applyFont="1" applyFill="1" applyProtection="1"/>
    <xf numFmtId="0" fontId="3" fillId="3" borderId="0" xfId="0" applyFont="1" applyFill="1" applyAlignment="1" applyProtection="1">
      <alignment horizontal="center" vertical="center"/>
    </xf>
    <xf numFmtId="0" fontId="3" fillId="3" borderId="0" xfId="0" applyFont="1" applyFill="1" applyAlignment="1" applyProtection="1">
      <alignment vertical="center"/>
    </xf>
    <xf numFmtId="0" fontId="3" fillId="3" borderId="0" xfId="0" applyFont="1" applyFill="1" applyProtection="1"/>
    <xf numFmtId="0" fontId="3" fillId="2" borderId="0" xfId="0" applyFont="1" applyFill="1" applyBorder="1" applyAlignment="1" applyProtection="1">
      <alignment horizontal="center" vertical="center"/>
    </xf>
    <xf numFmtId="167" fontId="3" fillId="2" borderId="0" xfId="0" applyNumberFormat="1" applyFont="1" applyFill="1" applyBorder="1" applyAlignment="1" applyProtection="1">
      <alignment horizontal="center" vertical="center"/>
    </xf>
    <xf numFmtId="0" fontId="3" fillId="2" borderId="0" xfId="0" applyFont="1" applyFill="1" applyBorder="1" applyAlignment="1" applyProtection="1">
      <alignment vertical="center"/>
    </xf>
    <xf numFmtId="0" fontId="3" fillId="3" borderId="0" xfId="0" applyFont="1" applyFill="1" applyBorder="1" applyAlignment="1" applyProtection="1">
      <alignment horizontal="center" vertical="center"/>
    </xf>
    <xf numFmtId="164" fontId="3" fillId="3" borderId="0" xfId="0" applyNumberFormat="1" applyFont="1" applyFill="1" applyBorder="1" applyAlignment="1" applyProtection="1">
      <alignment horizontal="center" vertical="center"/>
    </xf>
    <xf numFmtId="0" fontId="3" fillId="3" borderId="0" xfId="0" applyFont="1" applyFill="1" applyBorder="1" applyAlignment="1" applyProtection="1">
      <alignment vertical="center"/>
    </xf>
    <xf numFmtId="0" fontId="15" fillId="2" borderId="0" xfId="0" applyFont="1" applyFill="1" applyAlignment="1" applyProtection="1">
      <alignment wrapText="1"/>
    </xf>
    <xf numFmtId="0" fontId="15" fillId="3" borderId="0" xfId="0" applyFont="1" applyFill="1" applyAlignment="1" applyProtection="1">
      <alignment wrapText="1"/>
    </xf>
    <xf numFmtId="0" fontId="10" fillId="2" borderId="0" xfId="0" applyFont="1" applyFill="1" applyAlignment="1" applyProtection="1">
      <alignment wrapText="1"/>
    </xf>
    <xf numFmtId="0" fontId="3" fillId="2" borderId="0" xfId="0" applyFont="1" applyFill="1" applyBorder="1" applyAlignment="1" applyProtection="1">
      <alignment horizontal="left" indent="2"/>
    </xf>
    <xf numFmtId="0" fontId="3" fillId="2" borderId="0"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169" fontId="3" fillId="2" borderId="0" xfId="0" applyNumberFormat="1" applyFont="1" applyFill="1" applyBorder="1" applyAlignment="1" applyProtection="1">
      <alignment horizontal="center"/>
    </xf>
    <xf numFmtId="164" fontId="3" fillId="2" borderId="0" xfId="0" applyNumberFormat="1" applyFont="1" applyFill="1" applyBorder="1" applyAlignment="1" applyProtection="1">
      <alignment horizontal="right" indent="1"/>
    </xf>
    <xf numFmtId="169" fontId="3" fillId="3" borderId="0" xfId="0" applyNumberFormat="1" applyFont="1" applyFill="1" applyBorder="1" applyAlignment="1" applyProtection="1">
      <alignment horizontal="center"/>
    </xf>
    <xf numFmtId="164" fontId="3" fillId="3" borderId="0" xfId="0" applyNumberFormat="1" applyFont="1" applyFill="1" applyBorder="1" applyAlignment="1" applyProtection="1">
      <alignment horizontal="right" indent="1"/>
    </xf>
    <xf numFmtId="165" fontId="3" fillId="2" borderId="0" xfId="0" applyNumberFormat="1" applyFont="1" applyFill="1" applyBorder="1" applyAlignment="1" applyProtection="1">
      <alignment horizontal="center"/>
    </xf>
    <xf numFmtId="165" fontId="3" fillId="3" borderId="0" xfId="0" applyNumberFormat="1" applyFont="1" applyFill="1" applyBorder="1" applyAlignment="1" applyProtection="1">
      <alignment horizontal="center"/>
    </xf>
    <xf numFmtId="169" fontId="3" fillId="2" borderId="0" xfId="0" applyNumberFormat="1" applyFont="1" applyFill="1" applyAlignment="1" applyProtection="1">
      <alignment horizontal="center" vertical="center"/>
    </xf>
    <xf numFmtId="164" fontId="3" fillId="2" borderId="0" xfId="0" applyNumberFormat="1" applyFont="1" applyFill="1" applyAlignment="1" applyProtection="1">
      <alignment horizontal="center" vertical="center"/>
    </xf>
    <xf numFmtId="0" fontId="3" fillId="2" borderId="0" xfId="0" applyFont="1" applyFill="1" applyAlignment="1" applyProtection="1">
      <alignment horizontal="center"/>
    </xf>
    <xf numFmtId="164" fontId="3" fillId="3" borderId="0" xfId="0" applyNumberFormat="1" applyFont="1" applyFill="1" applyAlignment="1" applyProtection="1">
      <alignment horizontal="center" vertical="center"/>
    </xf>
    <xf numFmtId="0" fontId="3" fillId="3" borderId="0" xfId="0" applyFont="1" applyFill="1" applyAlignment="1" applyProtection="1">
      <alignment horizontal="center"/>
    </xf>
    <xf numFmtId="169" fontId="3" fillId="2" borderId="0" xfId="0" applyNumberFormat="1" applyFont="1" applyFill="1" applyBorder="1" applyAlignment="1" applyProtection="1">
      <alignment horizontal="center" vertical="center"/>
    </xf>
    <xf numFmtId="164" fontId="3" fillId="2" borderId="0" xfId="0" applyNumberFormat="1" applyFont="1" applyFill="1" applyBorder="1" applyAlignment="1" applyProtection="1">
      <alignment horizontal="center" vertical="center"/>
    </xf>
    <xf numFmtId="167" fontId="3" fillId="3" borderId="0" xfId="0" applyNumberFormat="1" applyFont="1" applyFill="1" applyBorder="1" applyAlignment="1" applyProtection="1">
      <alignment horizontal="center" vertical="center"/>
    </xf>
    <xf numFmtId="164" fontId="3" fillId="2" borderId="0" xfId="0" applyNumberFormat="1" applyFont="1" applyFill="1" applyAlignment="1" applyProtection="1">
      <alignment horizontal="center"/>
    </xf>
    <xf numFmtId="2" fontId="3" fillId="2" borderId="0" xfId="0" applyNumberFormat="1" applyFont="1" applyFill="1" applyAlignment="1" applyProtection="1">
      <alignment horizontal="center"/>
    </xf>
    <xf numFmtId="172" fontId="3" fillId="2" borderId="0" xfId="0" applyNumberFormat="1" applyFont="1" applyFill="1" applyAlignment="1" applyProtection="1">
      <alignment horizontal="center"/>
    </xf>
    <xf numFmtId="164" fontId="3" fillId="2" borderId="0" xfId="0" applyNumberFormat="1" applyFont="1" applyFill="1" applyProtection="1"/>
    <xf numFmtId="164" fontId="3" fillId="3" borderId="0" xfId="0" applyNumberFormat="1" applyFont="1" applyFill="1" applyProtection="1"/>
    <xf numFmtId="0" fontId="3" fillId="2" borderId="0" xfId="0" applyFont="1" applyFill="1" applyAlignment="1" applyProtection="1">
      <alignment vertical="center" wrapText="1"/>
    </xf>
    <xf numFmtId="0" fontId="3" fillId="3" borderId="0" xfId="0" applyFont="1" applyFill="1" applyAlignment="1" applyProtection="1">
      <alignment vertical="center" wrapText="1"/>
    </xf>
    <xf numFmtId="0" fontId="3" fillId="0" borderId="0" xfId="0" applyFont="1" applyAlignment="1" applyProtection="1">
      <alignment vertical="center" wrapText="1"/>
    </xf>
    <xf numFmtId="1" fontId="3" fillId="2" borderId="0" xfId="0" applyNumberFormat="1" applyFont="1" applyFill="1" applyBorder="1" applyAlignment="1" applyProtection="1">
      <alignment horizontal="center" vertical="center" wrapText="1"/>
    </xf>
    <xf numFmtId="1" fontId="3" fillId="3" borderId="0" xfId="0" applyNumberFormat="1" applyFont="1" applyFill="1" applyBorder="1" applyAlignment="1" applyProtection="1">
      <alignment horizontal="center" vertical="center" wrapText="1"/>
    </xf>
    <xf numFmtId="1" fontId="3" fillId="2" borderId="0" xfId="0" applyNumberFormat="1" applyFont="1" applyFill="1" applyBorder="1" applyAlignment="1" applyProtection="1">
      <alignment horizontal="center"/>
    </xf>
    <xf numFmtId="164" fontId="3" fillId="2" borderId="0" xfId="0" applyNumberFormat="1" applyFont="1" applyFill="1" applyBorder="1" applyProtection="1"/>
    <xf numFmtId="1" fontId="3" fillId="3" borderId="0" xfId="0" applyNumberFormat="1" applyFont="1" applyFill="1" applyBorder="1" applyAlignment="1" applyProtection="1">
      <alignment horizontal="center"/>
    </xf>
    <xf numFmtId="164" fontId="3" fillId="3" borderId="0" xfId="0" applyNumberFormat="1" applyFont="1" applyFill="1" applyBorder="1" applyProtection="1"/>
    <xf numFmtId="0" fontId="3" fillId="2" borderId="0" xfId="0" applyFont="1" applyFill="1" applyAlignment="1" applyProtection="1">
      <alignment horizontal="center" wrapText="1"/>
    </xf>
    <xf numFmtId="1" fontId="3" fillId="2" borderId="0" xfId="0" applyNumberFormat="1" applyFont="1" applyFill="1" applyAlignment="1" applyProtection="1">
      <alignment horizontal="center" vertical="center"/>
    </xf>
    <xf numFmtId="0" fontId="3" fillId="3" borderId="0" xfId="0" applyFont="1" applyFill="1" applyAlignment="1" applyProtection="1">
      <alignment horizontal="center" wrapText="1"/>
    </xf>
    <xf numFmtId="0" fontId="3" fillId="2" borderId="0" xfId="0" applyFont="1" applyFill="1" applyBorder="1" applyAlignment="1" applyProtection="1">
      <alignment horizontal="center" wrapText="1"/>
    </xf>
    <xf numFmtId="1" fontId="3" fillId="2" borderId="0" xfId="0" applyNumberFormat="1" applyFont="1" applyFill="1" applyBorder="1" applyAlignment="1" applyProtection="1">
      <alignment horizontal="center" vertical="center"/>
    </xf>
    <xf numFmtId="0" fontId="3" fillId="3" borderId="0" xfId="0" applyFont="1" applyFill="1" applyBorder="1" applyAlignment="1" applyProtection="1">
      <alignment horizontal="center" wrapText="1"/>
    </xf>
    <xf numFmtId="4" fontId="3" fillId="2" borderId="0" xfId="0" applyNumberFormat="1" applyFont="1" applyFill="1" applyBorder="1" applyAlignment="1" applyProtection="1">
      <alignment horizontal="center" vertical="center"/>
    </xf>
    <xf numFmtId="1" fontId="3" fillId="2" borderId="0" xfId="0" applyNumberFormat="1" applyFont="1" applyFill="1" applyAlignment="1" applyProtection="1">
      <alignment horizontal="center"/>
    </xf>
    <xf numFmtId="0" fontId="0" fillId="3" borderId="0" xfId="0" applyFill="1" applyAlignment="1" applyProtection="1">
      <alignment wrapText="1"/>
    </xf>
    <xf numFmtId="0" fontId="3" fillId="2" borderId="0" xfId="0" applyFont="1" applyFill="1" applyBorder="1" applyAlignment="1" applyProtection="1">
      <alignment horizontal="left"/>
    </xf>
    <xf numFmtId="0" fontId="3" fillId="3" borderId="0" xfId="0" applyFont="1" applyFill="1" applyBorder="1" applyAlignment="1" applyProtection="1">
      <alignment horizontal="left"/>
    </xf>
    <xf numFmtId="0" fontId="3" fillId="2" borderId="0" xfId="0" applyFont="1" applyFill="1" applyBorder="1" applyAlignment="1" applyProtection="1">
      <alignment horizontal="left" vertical="center"/>
    </xf>
    <xf numFmtId="0" fontId="3" fillId="3" borderId="0" xfId="0" applyFont="1" applyFill="1" applyBorder="1" applyAlignment="1" applyProtection="1">
      <alignment horizontal="left" vertical="center"/>
    </xf>
    <xf numFmtId="0" fontId="3" fillId="0" borderId="0" xfId="0" applyFont="1" applyFill="1" applyAlignment="1" applyProtection="1">
      <alignment horizontal="left"/>
    </xf>
    <xf numFmtId="172" fontId="3" fillId="2" borderId="0" xfId="0" applyNumberFormat="1" applyFont="1" applyFill="1" applyBorder="1" applyAlignment="1" applyProtection="1">
      <alignment horizontal="center"/>
    </xf>
    <xf numFmtId="172" fontId="3" fillId="3" borderId="0" xfId="0" applyNumberFormat="1" applyFont="1" applyFill="1" applyBorder="1" applyAlignment="1" applyProtection="1">
      <alignment horizontal="center"/>
    </xf>
    <xf numFmtId="2" fontId="3" fillId="2" borderId="0" xfId="0" applyNumberFormat="1" applyFont="1" applyFill="1" applyBorder="1" applyAlignment="1" applyProtection="1">
      <alignment horizontal="center"/>
    </xf>
    <xf numFmtId="2" fontId="3" fillId="3" borderId="0" xfId="0" applyNumberFormat="1" applyFont="1" applyFill="1" applyBorder="1" applyAlignment="1" applyProtection="1">
      <alignment horizontal="center"/>
    </xf>
    <xf numFmtId="165" fontId="3" fillId="2" borderId="0" xfId="0" applyNumberFormat="1" applyFont="1" applyFill="1" applyAlignment="1" applyProtection="1">
      <alignment horizontal="center"/>
    </xf>
    <xf numFmtId="3" fontId="3" fillId="2" borderId="0" xfId="0" applyNumberFormat="1" applyFont="1" applyFill="1" applyAlignment="1" applyProtection="1">
      <alignment horizontal="center"/>
    </xf>
    <xf numFmtId="3" fontId="3" fillId="2" borderId="0" xfId="0" applyNumberFormat="1" applyFont="1" applyFill="1" applyAlignment="1" applyProtection="1">
      <alignment horizontal="center" vertical="center"/>
    </xf>
    <xf numFmtId="0" fontId="8" fillId="2" borderId="0" xfId="0" applyFont="1" applyFill="1" applyBorder="1" applyAlignment="1" applyProtection="1">
      <alignment horizontal="center"/>
    </xf>
    <xf numFmtId="0" fontId="8" fillId="2" borderId="0" xfId="0" applyFont="1" applyFill="1" applyBorder="1" applyProtection="1"/>
    <xf numFmtId="0" fontId="8" fillId="3" borderId="0" xfId="0" applyFont="1" applyFill="1" applyBorder="1" applyAlignment="1" applyProtection="1">
      <alignment horizontal="center"/>
    </xf>
    <xf numFmtId="0" fontId="8" fillId="3" borderId="0" xfId="0" applyFont="1" applyFill="1" applyBorder="1" applyProtection="1"/>
    <xf numFmtId="166" fontId="3" fillId="2" borderId="0" xfId="0" applyNumberFormat="1" applyFont="1" applyFill="1" applyBorder="1" applyAlignment="1" applyProtection="1">
      <alignment horizontal="center"/>
    </xf>
    <xf numFmtId="0" fontId="8" fillId="2" borderId="0" xfId="0" applyFont="1" applyFill="1" applyBorder="1" applyAlignment="1" applyProtection="1">
      <alignment horizontal="left"/>
    </xf>
    <xf numFmtId="165" fontId="8" fillId="2" borderId="0" xfId="0" applyNumberFormat="1" applyFont="1" applyFill="1" applyBorder="1" applyAlignment="1" applyProtection="1">
      <alignment horizontal="center"/>
    </xf>
    <xf numFmtId="164" fontId="9" fillId="2" borderId="0" xfId="0" applyNumberFormat="1" applyFont="1" applyFill="1" applyBorder="1" applyAlignment="1" applyProtection="1">
      <alignment horizontal="center"/>
    </xf>
    <xf numFmtId="0" fontId="8" fillId="3" borderId="0" xfId="0" applyFont="1" applyFill="1" applyBorder="1" applyAlignment="1" applyProtection="1">
      <alignment horizontal="left"/>
    </xf>
    <xf numFmtId="165" fontId="8" fillId="3" borderId="0" xfId="0" applyNumberFormat="1" applyFont="1" applyFill="1" applyBorder="1" applyAlignment="1" applyProtection="1">
      <alignment horizontal="center"/>
    </xf>
    <xf numFmtId="164" fontId="9" fillId="3" borderId="0" xfId="0" applyNumberFormat="1" applyFont="1" applyFill="1" applyBorder="1" applyAlignment="1" applyProtection="1">
      <alignment horizontal="center"/>
    </xf>
    <xf numFmtId="0" fontId="3" fillId="2" borderId="0" xfId="0" applyFont="1" applyFill="1" applyBorder="1" applyAlignment="1" applyProtection="1"/>
    <xf numFmtId="0" fontId="3" fillId="3" borderId="0" xfId="0" applyFont="1" applyFill="1" applyBorder="1" applyAlignment="1" applyProtection="1"/>
    <xf numFmtId="0" fontId="5" fillId="2" borderId="0" xfId="0" applyFont="1" applyFill="1" applyBorder="1" applyAlignment="1" applyProtection="1">
      <alignment horizontal="center"/>
    </xf>
    <xf numFmtId="0" fontId="7" fillId="2" borderId="0" xfId="0" applyFont="1" applyFill="1" applyBorder="1" applyAlignment="1" applyProtection="1"/>
    <xf numFmtId="0" fontId="5" fillId="3" borderId="0" xfId="0" applyFont="1" applyFill="1" applyBorder="1" applyAlignment="1" applyProtection="1">
      <alignment horizontal="center"/>
    </xf>
    <xf numFmtId="0" fontId="7" fillId="3" borderId="0" xfId="0" applyFont="1" applyFill="1" applyBorder="1" applyAlignment="1" applyProtection="1"/>
    <xf numFmtId="168" fontId="3" fillId="2" borderId="0" xfId="0" applyNumberFormat="1" applyFont="1" applyFill="1" applyBorder="1" applyAlignment="1" applyProtection="1">
      <alignment horizontal="center"/>
    </xf>
    <xf numFmtId="168" fontId="3" fillId="3" borderId="0" xfId="0" applyNumberFormat="1" applyFont="1" applyFill="1" applyBorder="1" applyAlignment="1" applyProtection="1">
      <alignment horizontal="center"/>
    </xf>
    <xf numFmtId="0" fontId="15" fillId="2" borderId="0" xfId="0" applyFont="1" applyFill="1" applyBorder="1" applyProtection="1"/>
    <xf numFmtId="0" fontId="15" fillId="3" borderId="0" xfId="0" applyFont="1" applyFill="1" applyBorder="1" applyProtection="1"/>
    <xf numFmtId="2" fontId="3" fillId="2" borderId="0" xfId="0" applyNumberFormat="1" applyFont="1" applyFill="1" applyBorder="1" applyAlignment="1" applyProtection="1">
      <alignment horizontal="center" vertical="center"/>
    </xf>
    <xf numFmtId="3" fontId="3" fillId="2" borderId="0" xfId="0" applyNumberFormat="1" applyFont="1" applyFill="1" applyBorder="1" applyAlignment="1" applyProtection="1">
      <alignment horizontal="center" vertical="center"/>
    </xf>
    <xf numFmtId="3" fontId="3" fillId="3" borderId="0" xfId="0" applyNumberFormat="1" applyFont="1" applyFill="1" applyBorder="1" applyAlignment="1" applyProtection="1">
      <alignment horizontal="center" vertical="center"/>
    </xf>
    <xf numFmtId="166" fontId="3" fillId="3" borderId="0" xfId="0" applyNumberFormat="1" applyFont="1" applyFill="1" applyBorder="1" applyAlignment="1" applyProtection="1">
      <alignment horizontal="center"/>
    </xf>
    <xf numFmtId="0" fontId="15" fillId="2" borderId="0" xfId="0" applyFont="1" applyFill="1" applyAlignment="1" applyProtection="1">
      <alignment horizontal="center" vertical="center"/>
    </xf>
    <xf numFmtId="167" fontId="3" fillId="2" borderId="0" xfId="0" applyNumberFormat="1" applyFont="1" applyFill="1" applyBorder="1" applyAlignment="1" applyProtection="1">
      <alignment horizontal="center" wrapText="1"/>
    </xf>
    <xf numFmtId="0" fontId="15" fillId="3" borderId="0" xfId="0" applyFont="1" applyFill="1" applyAlignment="1" applyProtection="1">
      <alignment horizontal="center" vertical="center"/>
    </xf>
    <xf numFmtId="167" fontId="3" fillId="3" borderId="0" xfId="0" applyNumberFormat="1" applyFont="1" applyFill="1" applyBorder="1" applyAlignment="1" applyProtection="1">
      <alignment horizontal="center" wrapText="1"/>
    </xf>
    <xf numFmtId="0" fontId="15" fillId="2" borderId="0" xfId="0" applyFont="1" applyFill="1" applyProtection="1"/>
    <xf numFmtId="0" fontId="15" fillId="3" borderId="0" xfId="0" applyFont="1" applyFill="1" applyProtection="1"/>
    <xf numFmtId="0" fontId="5" fillId="2" borderId="0" xfId="0" applyFont="1" applyFill="1" applyBorder="1" applyAlignment="1" applyProtection="1">
      <alignment vertical="center"/>
    </xf>
    <xf numFmtId="0" fontId="5" fillId="3" borderId="0" xfId="0" applyFont="1" applyFill="1" applyBorder="1" applyAlignment="1" applyProtection="1">
      <alignment vertical="center"/>
    </xf>
    <xf numFmtId="170" fontId="3" fillId="2" borderId="0" xfId="0" applyNumberFormat="1" applyFont="1" applyFill="1" applyBorder="1" applyAlignment="1" applyProtection="1">
      <alignment horizontal="center"/>
    </xf>
    <xf numFmtId="0" fontId="11" fillId="3" borderId="0" xfId="0" applyFont="1" applyFill="1" applyBorder="1" applyProtection="1"/>
    <xf numFmtId="171" fontId="3" fillId="2" borderId="0" xfId="0" applyNumberFormat="1" applyFont="1" applyFill="1" applyBorder="1" applyAlignment="1" applyProtection="1">
      <alignment horizontal="center"/>
    </xf>
    <xf numFmtId="171" fontId="3" fillId="3" borderId="0" xfId="0" applyNumberFormat="1" applyFont="1" applyFill="1" applyBorder="1" applyAlignment="1" applyProtection="1">
      <alignment horizontal="center"/>
    </xf>
    <xf numFmtId="0" fontId="15" fillId="2" borderId="0" xfId="0" applyFont="1" applyFill="1" applyAlignment="1" applyProtection="1">
      <alignment vertical="center"/>
    </xf>
    <xf numFmtId="0" fontId="3" fillId="2" borderId="0" xfId="0" applyFont="1" applyFill="1" applyBorder="1" applyAlignment="1" applyProtection="1">
      <alignment vertical="center" wrapText="1"/>
    </xf>
    <xf numFmtId="0" fontId="15" fillId="3" borderId="0" xfId="0" applyFont="1" applyFill="1" applyAlignment="1" applyProtection="1">
      <alignment vertical="center"/>
    </xf>
    <xf numFmtId="0" fontId="3" fillId="3" borderId="0" xfId="0" applyFont="1" applyFill="1" applyBorder="1" applyAlignment="1" applyProtection="1">
      <alignment vertical="center" wrapText="1"/>
    </xf>
    <xf numFmtId="168" fontId="3" fillId="2" borderId="0" xfId="0" applyNumberFormat="1" applyFont="1" applyFill="1" applyBorder="1" applyAlignment="1" applyProtection="1">
      <alignment horizontal="center" vertical="center"/>
    </xf>
    <xf numFmtId="168" fontId="3" fillId="3" borderId="0" xfId="0" applyNumberFormat="1" applyFont="1" applyFill="1" applyBorder="1" applyAlignment="1" applyProtection="1">
      <alignment horizontal="center" vertical="center"/>
    </xf>
    <xf numFmtId="0" fontId="3" fillId="3" borderId="0" xfId="0" applyFont="1" applyFill="1" applyBorder="1" applyAlignment="1" applyProtection="1">
      <alignment horizontal="center"/>
      <protection locked="0"/>
    </xf>
    <xf numFmtId="164" fontId="3" fillId="3" borderId="0" xfId="0" applyNumberFormat="1" applyFont="1" applyFill="1" applyBorder="1" applyAlignment="1" applyProtection="1">
      <alignment horizontal="center"/>
      <protection locked="0"/>
    </xf>
    <xf numFmtId="0" fontId="3" fillId="3" borderId="0" xfId="0" applyFont="1" applyFill="1" applyBorder="1" applyProtection="1">
      <protection locked="0"/>
    </xf>
    <xf numFmtId="4" fontId="3" fillId="3" borderId="0" xfId="0" applyNumberFormat="1" applyFont="1" applyFill="1" applyBorder="1" applyAlignment="1" applyProtection="1">
      <alignment horizontal="center"/>
      <protection locked="0"/>
    </xf>
    <xf numFmtId="167" fontId="3" fillId="3" borderId="0" xfId="0" applyNumberFormat="1" applyFont="1" applyFill="1" applyBorder="1" applyAlignment="1" applyProtection="1">
      <alignment horizontal="center"/>
      <protection locked="0"/>
    </xf>
    <xf numFmtId="2" fontId="3" fillId="3" borderId="0" xfId="0" applyNumberFormat="1" applyFont="1" applyFill="1" applyAlignment="1" applyProtection="1">
      <alignment horizontal="center" vertical="center"/>
      <protection locked="0"/>
    </xf>
    <xf numFmtId="164" fontId="3" fillId="3" borderId="0" xfId="0" applyNumberFormat="1" applyFont="1" applyFill="1" applyBorder="1" applyAlignment="1" applyProtection="1">
      <alignment horizontal="center" vertical="center"/>
      <protection locked="0"/>
    </xf>
    <xf numFmtId="169" fontId="3" fillId="3" borderId="0" xfId="0" applyNumberFormat="1" applyFont="1" applyFill="1" applyBorder="1" applyAlignment="1" applyProtection="1">
      <alignment horizontal="center"/>
      <protection locked="0"/>
    </xf>
    <xf numFmtId="169" fontId="3" fillId="3" borderId="0" xfId="0" applyNumberFormat="1" applyFont="1" applyFill="1" applyAlignment="1" applyProtection="1">
      <alignment horizontal="center" vertical="center"/>
      <protection locked="0"/>
    </xf>
    <xf numFmtId="169" fontId="3" fillId="3" borderId="0"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horizontal="center"/>
      <protection locked="0"/>
    </xf>
    <xf numFmtId="164" fontId="3" fillId="3" borderId="0" xfId="0" applyNumberFormat="1" applyFont="1" applyFill="1" applyAlignment="1" applyProtection="1">
      <alignment horizontal="center"/>
      <protection locked="0"/>
    </xf>
    <xf numFmtId="2" fontId="3" fillId="3" borderId="0" xfId="0" applyNumberFormat="1" applyFont="1" applyFill="1" applyAlignment="1" applyProtection="1">
      <alignment horizontal="center"/>
      <protection locked="0"/>
    </xf>
    <xf numFmtId="172" fontId="3" fillId="3" borderId="0" xfId="0" applyNumberFormat="1" applyFont="1" applyFill="1" applyAlignment="1" applyProtection="1">
      <alignment horizontal="center"/>
      <protection locked="0"/>
    </xf>
    <xf numFmtId="0" fontId="3" fillId="3" borderId="0" xfId="0" applyFont="1" applyFill="1" applyAlignment="1" applyProtection="1">
      <alignment horizontal="center" vertical="center"/>
      <protection locked="0"/>
    </xf>
    <xf numFmtId="0" fontId="3" fillId="3" borderId="0" xfId="0" applyFont="1" applyFill="1" applyAlignment="1" applyProtection="1">
      <alignment horizontal="center"/>
      <protection locked="0"/>
    </xf>
    <xf numFmtId="0" fontId="3" fillId="3" borderId="0" xfId="0" applyFont="1" applyFill="1" applyAlignment="1" applyProtection="1">
      <alignment wrapText="1"/>
      <protection locked="0"/>
    </xf>
    <xf numFmtId="1" fontId="3" fillId="3" borderId="0" xfId="0" applyNumberFormat="1" applyFont="1" applyFill="1" applyBorder="1" applyAlignment="1" applyProtection="1">
      <alignment horizontal="center" vertical="center" wrapText="1"/>
      <protection locked="0"/>
    </xf>
    <xf numFmtId="1" fontId="3" fillId="3" borderId="0" xfId="0" applyNumberFormat="1" applyFont="1" applyFill="1" applyBorder="1" applyAlignment="1" applyProtection="1">
      <alignment horizontal="center"/>
      <protection locked="0"/>
    </xf>
    <xf numFmtId="1" fontId="3" fillId="3" borderId="0" xfId="0" applyNumberFormat="1" applyFont="1" applyFill="1" applyAlignment="1" applyProtection="1">
      <alignment horizontal="center" vertical="center"/>
      <protection locked="0"/>
    </xf>
    <xf numFmtId="1" fontId="3" fillId="3" borderId="0" xfId="0" applyNumberFormat="1" applyFont="1" applyFill="1" applyBorder="1" applyAlignment="1" applyProtection="1">
      <alignment horizontal="center" vertical="center"/>
      <protection locked="0"/>
    </xf>
    <xf numFmtId="4" fontId="3" fillId="3" borderId="0" xfId="0" applyNumberFormat="1" applyFont="1" applyFill="1" applyBorder="1" applyAlignment="1" applyProtection="1">
      <alignment horizontal="center" vertical="center"/>
      <protection locked="0"/>
    </xf>
    <xf numFmtId="1" fontId="3" fillId="3" borderId="0" xfId="0" applyNumberFormat="1" applyFont="1" applyFill="1" applyAlignment="1" applyProtection="1">
      <alignment horizontal="center"/>
      <protection locked="0"/>
    </xf>
    <xf numFmtId="0" fontId="3" fillId="0" borderId="0" xfId="0" applyFont="1" applyAlignment="1" applyProtection="1">
      <alignment horizontal="center"/>
      <protection locked="0"/>
    </xf>
    <xf numFmtId="0" fontId="3" fillId="3" borderId="0" xfId="0" applyFont="1" applyFill="1" applyBorder="1" applyAlignment="1" applyProtection="1">
      <alignment horizontal="center" vertical="center"/>
      <protection locked="0"/>
    </xf>
    <xf numFmtId="0" fontId="3" fillId="0" borderId="0" xfId="0" applyFont="1" applyProtection="1">
      <protection locked="0"/>
    </xf>
    <xf numFmtId="172" fontId="3" fillId="3" borderId="0" xfId="0" applyNumberFormat="1" applyFont="1" applyFill="1" applyBorder="1" applyAlignment="1" applyProtection="1">
      <alignment horizontal="center"/>
      <protection locked="0"/>
    </xf>
    <xf numFmtId="2" fontId="3" fillId="3" borderId="0" xfId="0" applyNumberFormat="1" applyFont="1" applyFill="1" applyBorder="1" applyAlignment="1" applyProtection="1">
      <alignment horizontal="center"/>
      <protection locked="0"/>
    </xf>
    <xf numFmtId="165" fontId="3" fillId="3" borderId="0" xfId="0" applyNumberFormat="1" applyFont="1" applyFill="1" applyAlignment="1" applyProtection="1">
      <alignment horizontal="center"/>
      <protection locked="0"/>
    </xf>
    <xf numFmtId="3" fontId="3" fillId="3" borderId="0" xfId="0" applyNumberFormat="1" applyFont="1" applyFill="1" applyAlignment="1" applyProtection="1">
      <alignment horizontal="center"/>
      <protection locked="0"/>
    </xf>
    <xf numFmtId="3" fontId="3" fillId="3" borderId="0" xfId="0" applyNumberFormat="1" applyFont="1" applyFill="1" applyAlignment="1" applyProtection="1">
      <alignment horizontal="center" vertical="center"/>
      <protection locked="0"/>
    </xf>
    <xf numFmtId="3" fontId="3" fillId="3" borderId="0" xfId="0" applyNumberFormat="1" applyFont="1" applyFill="1" applyBorder="1" applyAlignment="1" applyProtection="1">
      <alignment horizontal="center"/>
      <protection locked="0"/>
    </xf>
    <xf numFmtId="168" fontId="3" fillId="3" borderId="0" xfId="0" applyNumberFormat="1" applyFont="1" applyFill="1" applyBorder="1" applyAlignment="1" applyProtection="1">
      <alignment horizontal="center"/>
      <protection locked="0"/>
    </xf>
    <xf numFmtId="2" fontId="3" fillId="3" borderId="0" xfId="0" applyNumberFormat="1" applyFont="1" applyFill="1" applyBorder="1" applyAlignment="1" applyProtection="1">
      <alignment horizontal="center" vertical="center"/>
      <protection locked="0"/>
    </xf>
    <xf numFmtId="0" fontId="3" fillId="3" borderId="0" xfId="0" applyFont="1" applyFill="1" applyBorder="1" applyAlignment="1" applyProtection="1">
      <alignment vertical="center"/>
      <protection locked="0"/>
    </xf>
    <xf numFmtId="166" fontId="3" fillId="3" borderId="0" xfId="0" applyNumberFormat="1" applyFont="1" applyFill="1" applyBorder="1" applyAlignment="1" applyProtection="1">
      <alignment horizontal="center"/>
      <protection locked="0"/>
    </xf>
    <xf numFmtId="167" fontId="3" fillId="3" borderId="0" xfId="0" applyNumberFormat="1" applyFont="1" applyFill="1" applyBorder="1" applyAlignment="1" applyProtection="1">
      <alignment horizontal="center" vertical="center"/>
      <protection locked="0"/>
    </xf>
    <xf numFmtId="170" fontId="3" fillId="3" borderId="0" xfId="0" applyNumberFormat="1" applyFont="1" applyFill="1" applyBorder="1" applyAlignment="1" applyProtection="1">
      <alignment horizontal="center"/>
      <protection locked="0"/>
    </xf>
    <xf numFmtId="171" fontId="3" fillId="3" borderId="0" xfId="0" applyNumberFormat="1" applyFont="1" applyFill="1" applyBorder="1" applyAlignment="1" applyProtection="1">
      <alignment horizontal="center"/>
      <protection locked="0"/>
    </xf>
    <xf numFmtId="168" fontId="3" fillId="3" borderId="0" xfId="0" applyNumberFormat="1" applyFont="1" applyFill="1" applyBorder="1" applyAlignment="1" applyProtection="1">
      <alignment horizontal="center" vertical="center"/>
      <protection locked="0"/>
    </xf>
    <xf numFmtId="0" fontId="3" fillId="0" borderId="0" xfId="0" applyFont="1" applyAlignment="1">
      <alignment horizontal="center"/>
    </xf>
    <xf numFmtId="0" fontId="3" fillId="2" borderId="0" xfId="0" applyFont="1" applyFill="1" applyBorder="1" applyAlignment="1" applyProtection="1">
      <alignment horizontal="left"/>
    </xf>
    <xf numFmtId="0" fontId="3" fillId="3" borderId="0" xfId="0" applyFont="1" applyFill="1" applyBorder="1" applyAlignment="1" applyProtection="1">
      <alignment horizontal="left"/>
    </xf>
    <xf numFmtId="0" fontId="2" fillId="2" borderId="0" xfId="0" applyFont="1" applyFill="1" applyBorder="1" applyAlignment="1" applyProtection="1">
      <alignment vertical="center" wrapText="1"/>
    </xf>
    <xf numFmtId="0" fontId="0" fillId="2" borderId="0" xfId="0" applyFill="1" applyAlignment="1" applyProtection="1">
      <alignment vertical="center" wrapText="1"/>
    </xf>
    <xf numFmtId="0" fontId="2" fillId="3" borderId="0" xfId="0" applyFont="1" applyFill="1" applyBorder="1" applyAlignment="1" applyProtection="1">
      <alignment vertical="center" wrapText="1"/>
    </xf>
    <xf numFmtId="0" fontId="3" fillId="3" borderId="0" xfId="0" applyFont="1" applyFill="1" applyAlignment="1" applyProtection="1">
      <alignment vertical="center" wrapText="1"/>
    </xf>
    <xf numFmtId="0" fontId="3" fillId="2" borderId="0" xfId="0" applyFont="1" applyFill="1" applyAlignment="1" applyProtection="1">
      <alignment horizontal="left" vertical="center" wrapText="1"/>
    </xf>
    <xf numFmtId="0" fontId="3" fillId="3" borderId="0" xfId="0" applyFont="1" applyFill="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2" borderId="0" xfId="0" applyFont="1" applyFill="1" applyBorder="1" applyAlignment="1" applyProtection="1">
      <alignment wrapText="1"/>
    </xf>
    <xf numFmtId="0" fontId="0" fillId="2" borderId="0" xfId="0" applyFill="1" applyAlignment="1" applyProtection="1">
      <alignment wrapText="1"/>
    </xf>
    <xf numFmtId="0" fontId="2" fillId="3" borderId="0" xfId="0" applyFont="1" applyFill="1" applyBorder="1" applyAlignment="1" applyProtection="1">
      <alignment wrapText="1"/>
    </xf>
    <xf numFmtId="0" fontId="3" fillId="3" borderId="0" xfId="0" applyFont="1" applyFill="1" applyAlignment="1" applyProtection="1">
      <alignment wrapText="1"/>
    </xf>
    <xf numFmtId="0" fontId="0" fillId="3" borderId="0" xfId="0" applyFill="1" applyAlignment="1" applyProtection="1">
      <alignment wrapText="1"/>
    </xf>
    <xf numFmtId="0" fontId="3" fillId="2" borderId="0" xfId="0" applyFont="1" applyFill="1" applyAlignment="1" applyProtection="1">
      <alignment horizontal="left"/>
    </xf>
    <xf numFmtId="0" fontId="3" fillId="3" borderId="0" xfId="0" applyFont="1" applyFill="1" applyAlignment="1" applyProtection="1">
      <alignment horizontal="left"/>
    </xf>
    <xf numFmtId="0" fontId="3" fillId="2" borderId="0" xfId="0" applyFont="1" applyFill="1" applyBorder="1" applyAlignment="1" applyProtection="1">
      <alignment horizontal="center"/>
    </xf>
    <xf numFmtId="0" fontId="3" fillId="2" borderId="0" xfId="0" applyFont="1" applyFill="1" applyBorder="1" applyAlignment="1" applyProtection="1">
      <alignment horizontal="left" vertical="center" wrapText="1"/>
    </xf>
    <xf numFmtId="0" fontId="2" fillId="2" borderId="0" xfId="0" applyFont="1" applyFill="1" applyBorder="1" applyAlignment="1" applyProtection="1">
      <alignment horizontal="left" wrapText="1"/>
    </xf>
    <xf numFmtId="0" fontId="2" fillId="3" borderId="0" xfId="0" applyFont="1" applyFill="1" applyBorder="1" applyAlignment="1" applyProtection="1">
      <alignment horizontal="left" wrapText="1"/>
    </xf>
    <xf numFmtId="0" fontId="3" fillId="3" borderId="0" xfId="0" applyFont="1" applyFill="1" applyBorder="1" applyAlignment="1" applyProtection="1">
      <alignment horizontal="center"/>
    </xf>
    <xf numFmtId="0" fontId="3" fillId="3" borderId="0" xfId="0" applyFont="1" applyFill="1" applyBorder="1" applyAlignment="1" applyProtection="1">
      <alignment horizontal="left" vertical="center" wrapText="1"/>
    </xf>
    <xf numFmtId="0" fontId="3"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colors>
    <mruColors>
      <color rgb="FFFFFFCC"/>
      <color rgb="FFFFCC9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1"/>
  <sheetViews>
    <sheetView zoomScale="80" zoomScaleNormal="80" workbookViewId="0">
      <selection activeCell="A3" sqref="A1:H1048576"/>
    </sheetView>
  </sheetViews>
  <sheetFormatPr defaultRowHeight="15" x14ac:dyDescent="0.25"/>
  <cols>
    <col min="1" max="1" width="9.42578125" style="1" bestFit="1" customWidth="1"/>
    <col min="2" max="8" width="9.140625" style="1"/>
  </cols>
  <sheetData>
    <row r="1" spans="1:15" x14ac:dyDescent="0.25">
      <c r="A1" s="191" t="s">
        <v>269</v>
      </c>
      <c r="B1" s="191"/>
      <c r="C1" s="191"/>
      <c r="D1" s="191"/>
      <c r="E1" s="191"/>
      <c r="F1" s="191"/>
      <c r="I1" s="1"/>
      <c r="J1" s="1"/>
      <c r="K1" s="1"/>
      <c r="L1" s="1"/>
      <c r="M1" s="1"/>
      <c r="N1" s="1"/>
      <c r="O1" s="1"/>
    </row>
    <row r="2" spans="1:15" x14ac:dyDescent="0.25">
      <c r="A2" s="191" t="s">
        <v>270</v>
      </c>
      <c r="B2" s="191"/>
      <c r="C2" s="191"/>
      <c r="D2" s="191"/>
      <c r="E2" s="191"/>
      <c r="F2" s="191"/>
      <c r="I2" s="1"/>
      <c r="J2" s="1"/>
      <c r="K2" s="1"/>
      <c r="L2" s="1"/>
      <c r="M2" s="1"/>
      <c r="N2" s="1"/>
      <c r="O2" s="1"/>
    </row>
    <row r="3" spans="1:15" x14ac:dyDescent="0.25">
      <c r="A3" s="1" t="s">
        <v>183</v>
      </c>
      <c r="I3" s="1"/>
      <c r="J3" s="1"/>
      <c r="K3" s="1"/>
      <c r="L3" s="1"/>
      <c r="M3" s="1"/>
      <c r="N3" s="1"/>
      <c r="O3" s="1"/>
    </row>
    <row r="4" spans="1:15" x14ac:dyDescent="0.25">
      <c r="A4" s="1" t="s">
        <v>184</v>
      </c>
      <c r="I4" s="1"/>
      <c r="J4" s="1"/>
      <c r="K4" s="1"/>
      <c r="L4" s="1"/>
      <c r="M4" s="1"/>
      <c r="N4" s="1"/>
      <c r="O4" s="1"/>
    </row>
    <row r="5" spans="1:15" x14ac:dyDescent="0.25">
      <c r="A5" s="1" t="s">
        <v>185</v>
      </c>
      <c r="I5" s="1"/>
      <c r="J5" s="1"/>
      <c r="K5" s="1"/>
      <c r="L5" s="1"/>
      <c r="M5" s="1"/>
      <c r="N5" s="1"/>
      <c r="O5" s="1"/>
    </row>
    <row r="6" spans="1:15" x14ac:dyDescent="0.25">
      <c r="A6" s="1" t="s">
        <v>186</v>
      </c>
      <c r="I6" s="1"/>
      <c r="J6" s="1"/>
      <c r="K6" s="1"/>
      <c r="L6" s="1"/>
      <c r="M6" s="1"/>
      <c r="N6" s="1"/>
      <c r="O6" s="1"/>
    </row>
    <row r="7" spans="1:15" x14ac:dyDescent="0.25">
      <c r="A7" s="1" t="s">
        <v>187</v>
      </c>
    </row>
    <row r="8" spans="1:15" x14ac:dyDescent="0.25">
      <c r="A8" s="1" t="s">
        <v>188</v>
      </c>
    </row>
    <row r="9" spans="1:15" x14ac:dyDescent="0.25">
      <c r="A9" s="1" t="s">
        <v>189</v>
      </c>
    </row>
    <row r="10" spans="1:15" x14ac:dyDescent="0.25">
      <c r="A10" s="1" t="s">
        <v>190</v>
      </c>
    </row>
    <row r="11" spans="1:15" x14ac:dyDescent="0.25">
      <c r="A11" s="1" t="s">
        <v>191</v>
      </c>
    </row>
    <row r="12" spans="1:15" x14ac:dyDescent="0.25">
      <c r="A12" s="1" t="s">
        <v>192</v>
      </c>
    </row>
    <row r="13" spans="1:15" x14ac:dyDescent="0.25">
      <c r="A13" s="1" t="s">
        <v>193</v>
      </c>
    </row>
    <row r="14" spans="1:15" x14ac:dyDescent="0.25">
      <c r="A14" s="1" t="s">
        <v>194</v>
      </c>
    </row>
    <row r="15" spans="1:15" x14ac:dyDescent="0.25">
      <c r="A15" s="1" t="s">
        <v>195</v>
      </c>
    </row>
    <row r="16" spans="1:15" x14ac:dyDescent="0.25">
      <c r="A16" s="1" t="s">
        <v>196</v>
      </c>
    </row>
    <row r="17" spans="1:1" x14ac:dyDescent="0.25">
      <c r="A17" s="1" t="s">
        <v>197</v>
      </c>
    </row>
    <row r="18" spans="1:1" x14ac:dyDescent="0.25">
      <c r="A18" s="1" t="s">
        <v>198</v>
      </c>
    </row>
    <row r="19" spans="1:1" x14ac:dyDescent="0.25">
      <c r="A19" s="1" t="s">
        <v>199</v>
      </c>
    </row>
    <row r="20" spans="1:1" x14ac:dyDescent="0.25">
      <c r="A20" s="1" t="s">
        <v>200</v>
      </c>
    </row>
    <row r="21" spans="1:1" x14ac:dyDescent="0.25">
      <c r="A21" s="1" t="s">
        <v>201</v>
      </c>
    </row>
    <row r="22" spans="1:1" x14ac:dyDescent="0.25">
      <c r="A22" s="1" t="s">
        <v>202</v>
      </c>
    </row>
    <row r="23" spans="1:1" x14ac:dyDescent="0.25">
      <c r="A23" s="1" t="s">
        <v>203</v>
      </c>
    </row>
    <row r="24" spans="1:1" x14ac:dyDescent="0.25">
      <c r="A24" s="1" t="s">
        <v>204</v>
      </c>
    </row>
    <row r="25" spans="1:1" x14ac:dyDescent="0.25">
      <c r="A25" s="1" t="s">
        <v>205</v>
      </c>
    </row>
    <row r="26" spans="1:1" x14ac:dyDescent="0.25">
      <c r="A26" s="1" t="s">
        <v>206</v>
      </c>
    </row>
    <row r="27" spans="1:1" x14ac:dyDescent="0.25">
      <c r="A27" s="1" t="s">
        <v>207</v>
      </c>
    </row>
    <row r="28" spans="1:1" x14ac:dyDescent="0.25">
      <c r="A28" s="1" t="s">
        <v>208</v>
      </c>
    </row>
    <row r="29" spans="1:1" x14ac:dyDescent="0.25">
      <c r="A29" s="1" t="s">
        <v>209</v>
      </c>
    </row>
    <row r="30" spans="1:1" x14ac:dyDescent="0.25">
      <c r="A30" s="1" t="s">
        <v>210</v>
      </c>
    </row>
    <row r="31" spans="1:1" x14ac:dyDescent="0.25">
      <c r="A31" s="1" t="s">
        <v>211</v>
      </c>
    </row>
    <row r="32" spans="1:1" x14ac:dyDescent="0.25">
      <c r="A32" s="1" t="s">
        <v>212</v>
      </c>
    </row>
    <row r="33" spans="1:1" x14ac:dyDescent="0.25">
      <c r="A33" s="1" t="s">
        <v>213</v>
      </c>
    </row>
    <row r="34" spans="1:1" x14ac:dyDescent="0.25">
      <c r="A34" s="1" t="s">
        <v>214</v>
      </c>
    </row>
    <row r="35" spans="1:1" x14ac:dyDescent="0.25">
      <c r="A35" s="1" t="s">
        <v>215</v>
      </c>
    </row>
    <row r="36" spans="1:1" x14ac:dyDescent="0.25">
      <c r="A36" s="1" t="s">
        <v>216</v>
      </c>
    </row>
    <row r="37" spans="1:1" x14ac:dyDescent="0.25">
      <c r="A37" s="1" t="s">
        <v>217</v>
      </c>
    </row>
    <row r="38" spans="1:1" x14ac:dyDescent="0.25">
      <c r="A38" s="1" t="s">
        <v>218</v>
      </c>
    </row>
    <row r="39" spans="1:1" x14ac:dyDescent="0.25">
      <c r="A39" s="1" t="s">
        <v>219</v>
      </c>
    </row>
    <row r="40" spans="1:1" x14ac:dyDescent="0.25">
      <c r="A40" s="1" t="s">
        <v>220</v>
      </c>
    </row>
    <row r="41" spans="1:1" x14ac:dyDescent="0.25">
      <c r="A41" s="1" t="s">
        <v>221</v>
      </c>
    </row>
    <row r="42" spans="1:1" x14ac:dyDescent="0.25">
      <c r="A42" s="1" t="s">
        <v>222</v>
      </c>
    </row>
    <row r="43" spans="1:1" x14ac:dyDescent="0.25">
      <c r="A43" s="1" t="s">
        <v>223</v>
      </c>
    </row>
    <row r="44" spans="1:1" x14ac:dyDescent="0.25">
      <c r="A44" s="1" t="s">
        <v>224</v>
      </c>
    </row>
    <row r="45" spans="1:1" x14ac:dyDescent="0.25">
      <c r="A45" s="1" t="s">
        <v>225</v>
      </c>
    </row>
    <row r="46" spans="1:1" x14ac:dyDescent="0.25">
      <c r="A46" s="1" t="s">
        <v>226</v>
      </c>
    </row>
    <row r="47" spans="1:1" x14ac:dyDescent="0.25">
      <c r="A47" s="1" t="e">
        <f xml:space="preserve"> volumetric flow rate, real gas</f>
        <v>#NAME?</v>
      </c>
    </row>
    <row r="48" spans="1:1" x14ac:dyDescent="0.25">
      <c r="A48" s="1" t="s">
        <v>226</v>
      </c>
    </row>
    <row r="49" spans="1:1" x14ac:dyDescent="0.25">
      <c r="A49" s="1" t="s">
        <v>227</v>
      </c>
    </row>
    <row r="50" spans="1:1" x14ac:dyDescent="0.25">
      <c r="A50" s="1" t="s">
        <v>228</v>
      </c>
    </row>
    <row r="51" spans="1:1" x14ac:dyDescent="0.25">
      <c r="A51" s="1" t="s">
        <v>229</v>
      </c>
    </row>
    <row r="52" spans="1:1" x14ac:dyDescent="0.25">
      <c r="A52" s="1" t="s">
        <v>230</v>
      </c>
    </row>
    <row r="53" spans="1:1" x14ac:dyDescent="0.25">
      <c r="A53" s="1" t="s">
        <v>231</v>
      </c>
    </row>
    <row r="54" spans="1:1" x14ac:dyDescent="0.25">
      <c r="A54" s="1" t="s">
        <v>232</v>
      </c>
    </row>
    <row r="55" spans="1:1" x14ac:dyDescent="0.25">
      <c r="A55" s="1" t="s">
        <v>233</v>
      </c>
    </row>
    <row r="56" spans="1:1" x14ac:dyDescent="0.25">
      <c r="A56" s="1" t="s">
        <v>234</v>
      </c>
    </row>
    <row r="57" spans="1:1" x14ac:dyDescent="0.25">
      <c r="A57" s="1" t="s">
        <v>235</v>
      </c>
    </row>
    <row r="58" spans="1:1" x14ac:dyDescent="0.25">
      <c r="A58" s="1" t="s">
        <v>236</v>
      </c>
    </row>
    <row r="59" spans="1:1" x14ac:dyDescent="0.25">
      <c r="A59" s="1" t="s">
        <v>237</v>
      </c>
    </row>
    <row r="60" spans="1:1" x14ac:dyDescent="0.25">
      <c r="A60" s="1" t="s">
        <v>238</v>
      </c>
    </row>
    <row r="61" spans="1:1" x14ac:dyDescent="0.25">
      <c r="A61" s="1" t="s">
        <v>239</v>
      </c>
    </row>
    <row r="62" spans="1:1" x14ac:dyDescent="0.25">
      <c r="A62" s="1" t="s">
        <v>240</v>
      </c>
    </row>
    <row r="63" spans="1:1" x14ac:dyDescent="0.25">
      <c r="A63" s="1" t="s">
        <v>241</v>
      </c>
    </row>
    <row r="64" spans="1:1" x14ac:dyDescent="0.25">
      <c r="A64" s="1" t="s">
        <v>242</v>
      </c>
    </row>
    <row r="65" spans="1:1" x14ac:dyDescent="0.25">
      <c r="A65" s="1" t="s">
        <v>243</v>
      </c>
    </row>
    <row r="66" spans="1:1" x14ac:dyDescent="0.25">
      <c r="A66" s="1" t="s">
        <v>244</v>
      </c>
    </row>
    <row r="67" spans="1:1" x14ac:dyDescent="0.25">
      <c r="A67" s="1" t="s">
        <v>245</v>
      </c>
    </row>
    <row r="68" spans="1:1" x14ac:dyDescent="0.25">
      <c r="A68" s="1" t="s">
        <v>246</v>
      </c>
    </row>
    <row r="69" spans="1:1" x14ac:dyDescent="0.25">
      <c r="A69" s="1" t="s">
        <v>247</v>
      </c>
    </row>
    <row r="70" spans="1:1" x14ac:dyDescent="0.25">
      <c r="A70" s="1" t="s">
        <v>248</v>
      </c>
    </row>
    <row r="71" spans="1:1" x14ac:dyDescent="0.25">
      <c r="A71" s="1" t="s">
        <v>249</v>
      </c>
    </row>
    <row r="72" spans="1:1" x14ac:dyDescent="0.25">
      <c r="A72" s="1" t="s">
        <v>250</v>
      </c>
    </row>
    <row r="73" spans="1:1" x14ac:dyDescent="0.25">
      <c r="A73" s="1" t="s">
        <v>251</v>
      </c>
    </row>
    <row r="74" spans="1:1" x14ac:dyDescent="0.25">
      <c r="A74" s="1" t="s">
        <v>252</v>
      </c>
    </row>
    <row r="75" spans="1:1" x14ac:dyDescent="0.25">
      <c r="A75" s="1" t="s">
        <v>253</v>
      </c>
    </row>
    <row r="76" spans="1:1" x14ac:dyDescent="0.25">
      <c r="A76" s="1" t="s">
        <v>254</v>
      </c>
    </row>
    <row r="77" spans="1:1" x14ac:dyDescent="0.25">
      <c r="A77" s="1" t="s">
        <v>255</v>
      </c>
    </row>
    <row r="78" spans="1:1" x14ac:dyDescent="0.25">
      <c r="A78" s="1" t="s">
        <v>256</v>
      </c>
    </row>
    <row r="79" spans="1:1" x14ac:dyDescent="0.25">
      <c r="A79" s="1" t="s">
        <v>257</v>
      </c>
    </row>
    <row r="80" spans="1:1" x14ac:dyDescent="0.25">
      <c r="A80" s="1" t="s">
        <v>258</v>
      </c>
    </row>
    <row r="81" spans="1:1" x14ac:dyDescent="0.25">
      <c r="A81" s="1" t="s">
        <v>259</v>
      </c>
    </row>
    <row r="82" spans="1:1" x14ac:dyDescent="0.25">
      <c r="A82" s="1" t="s">
        <v>260</v>
      </c>
    </row>
    <row r="83" spans="1:1" x14ac:dyDescent="0.25">
      <c r="A83" s="1" t="s">
        <v>261</v>
      </c>
    </row>
    <row r="84" spans="1:1" x14ac:dyDescent="0.25">
      <c r="A84" s="1" t="s">
        <v>262</v>
      </c>
    </row>
    <row r="85" spans="1:1" x14ac:dyDescent="0.25">
      <c r="A85" s="1" t="s">
        <v>263</v>
      </c>
    </row>
    <row r="86" spans="1:1" x14ac:dyDescent="0.25">
      <c r="A86" s="1" t="s">
        <v>264</v>
      </c>
    </row>
    <row r="87" spans="1:1" x14ac:dyDescent="0.25">
      <c r="A87" s="1" t="s">
        <v>265</v>
      </c>
    </row>
    <row r="88" spans="1:1" x14ac:dyDescent="0.25">
      <c r="A88" s="1" t="s">
        <v>263</v>
      </c>
    </row>
    <row r="89" spans="1:1" x14ac:dyDescent="0.25">
      <c r="A89" s="1" t="s">
        <v>266</v>
      </c>
    </row>
    <row r="90" spans="1:1" x14ac:dyDescent="0.25">
      <c r="A90" s="1" t="s">
        <v>267</v>
      </c>
    </row>
    <row r="91" spans="1:1" x14ac:dyDescent="0.25">
      <c r="A91" s="1" t="s">
        <v>268</v>
      </c>
    </row>
  </sheetData>
  <mergeCells count="2">
    <mergeCell ref="A1:F1"/>
    <mergeCell ref="A2:F2"/>
  </mergeCells>
  <pageMargins left="0.7" right="0.7" top="0.75" bottom="0.75" header="0.3" footer="0.3"/>
  <pageSetup paperSize="201" scale="60" orientation="portrait" r:id="rId1"/>
  <headerFooter>
    <oddHeader>&amp;CCALCULATION SPREADSHEET FOR GPSA ENGINEERING DATA BOOK, 13th EDITION
NOMENCLATURE</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topLeftCell="E1" zoomScale="80" zoomScaleNormal="80" workbookViewId="0">
      <selection activeCell="K14" sqref="K14"/>
    </sheetView>
  </sheetViews>
  <sheetFormatPr defaultRowHeight="15" x14ac:dyDescent="0.25"/>
  <cols>
    <col min="1" max="1" width="21.42578125" style="9" customWidth="1"/>
    <col min="2" max="2" width="9.140625" style="16"/>
    <col min="3" max="3" width="15" style="16" customWidth="1"/>
    <col min="4" max="4" width="10.5703125" style="9" customWidth="1"/>
    <col min="5" max="5" width="12.28515625" style="9" customWidth="1"/>
    <col min="6" max="6" width="18.5703125" style="9" customWidth="1"/>
    <col min="7" max="7" width="15.140625" style="9" customWidth="1"/>
    <col min="8" max="8" width="23.140625" style="9" customWidth="1"/>
    <col min="9" max="9" width="9.140625" style="9"/>
    <col min="10" max="10" width="22.140625" style="9" customWidth="1"/>
    <col min="11" max="11" width="9.140625" style="16"/>
    <col min="12" max="12" width="17" style="16" customWidth="1"/>
    <col min="13" max="13" width="10.7109375" style="9" bestFit="1" customWidth="1"/>
    <col min="14" max="14" width="9.140625" style="9"/>
    <col min="15" max="15" width="28.7109375" style="9" customWidth="1"/>
    <col min="16" max="16" width="14.7109375" style="9" customWidth="1"/>
    <col min="17" max="17" width="16.7109375" style="9" customWidth="1"/>
    <col min="18" max="16384" width="9.140625" style="9"/>
  </cols>
  <sheetData>
    <row r="1" spans="1:17" ht="21" customHeight="1" x14ac:dyDescent="0.25">
      <c r="A1" s="211" t="s">
        <v>60</v>
      </c>
      <c r="B1" s="211"/>
      <c r="C1" s="211"/>
      <c r="D1" s="211"/>
      <c r="E1" s="211"/>
      <c r="F1" s="211"/>
      <c r="G1" s="211"/>
      <c r="H1" s="211"/>
      <c r="J1" s="212" t="s">
        <v>60</v>
      </c>
      <c r="K1" s="212"/>
      <c r="L1" s="212"/>
      <c r="M1" s="212"/>
      <c r="N1" s="212"/>
      <c r="O1" s="212"/>
      <c r="P1" s="212"/>
      <c r="Q1" s="212"/>
    </row>
    <row r="2" spans="1:17" x14ac:dyDescent="0.25">
      <c r="A2" s="6" t="s">
        <v>2</v>
      </c>
      <c r="B2" s="7"/>
      <c r="C2" s="7"/>
      <c r="D2" s="6"/>
      <c r="E2" s="8"/>
      <c r="F2" s="8"/>
      <c r="G2" s="8"/>
      <c r="H2" s="8"/>
      <c r="J2" s="10" t="s">
        <v>2</v>
      </c>
      <c r="K2" s="11"/>
      <c r="L2" s="11"/>
      <c r="M2" s="10"/>
      <c r="N2" s="12"/>
      <c r="O2" s="12"/>
      <c r="P2" s="12"/>
      <c r="Q2" s="12"/>
    </row>
    <row r="3" spans="1:17" x14ac:dyDescent="0.25">
      <c r="A3" s="6" t="s">
        <v>27</v>
      </c>
      <c r="B3" s="7" t="s">
        <v>1</v>
      </c>
      <c r="C3" s="21">
        <v>300</v>
      </c>
      <c r="D3" s="6" t="s">
        <v>0</v>
      </c>
      <c r="E3" s="8"/>
      <c r="F3" s="8"/>
      <c r="G3" s="8"/>
      <c r="H3" s="8"/>
      <c r="J3" s="10" t="s">
        <v>27</v>
      </c>
      <c r="K3" s="11" t="s">
        <v>1</v>
      </c>
      <c r="L3" s="182">
        <v>300</v>
      </c>
      <c r="M3" s="10" t="s">
        <v>0</v>
      </c>
      <c r="N3" s="12"/>
      <c r="O3" s="12"/>
      <c r="P3" s="12"/>
      <c r="Q3" s="12"/>
    </row>
    <row r="4" spans="1:17" x14ac:dyDescent="0.25">
      <c r="A4" s="6" t="s">
        <v>28</v>
      </c>
      <c r="B4" s="7" t="s">
        <v>1</v>
      </c>
      <c r="C4" s="7">
        <v>50</v>
      </c>
      <c r="D4" s="6" t="s">
        <v>5</v>
      </c>
      <c r="E4" s="8"/>
      <c r="F4" s="8"/>
      <c r="G4" s="8"/>
      <c r="H4" s="8"/>
      <c r="J4" s="10" t="s">
        <v>28</v>
      </c>
      <c r="K4" s="11" t="s">
        <v>1</v>
      </c>
      <c r="L4" s="151">
        <v>50</v>
      </c>
      <c r="M4" s="10" t="s">
        <v>5</v>
      </c>
      <c r="N4" s="12"/>
      <c r="O4" s="12"/>
      <c r="P4" s="12"/>
      <c r="Q4" s="12"/>
    </row>
    <row r="5" spans="1:17" x14ac:dyDescent="0.25">
      <c r="A5" s="6" t="s">
        <v>113</v>
      </c>
      <c r="B5" s="7" t="s">
        <v>8</v>
      </c>
      <c r="C5" s="7">
        <v>80</v>
      </c>
      <c r="D5" s="6" t="s">
        <v>48</v>
      </c>
      <c r="E5" s="8"/>
      <c r="F5" s="8"/>
      <c r="G5" s="8"/>
      <c r="H5" s="8"/>
      <c r="J5" s="10" t="s">
        <v>113</v>
      </c>
      <c r="K5" s="11" t="s">
        <v>8</v>
      </c>
      <c r="L5" s="151">
        <v>80</v>
      </c>
      <c r="M5" s="10" t="s">
        <v>48</v>
      </c>
      <c r="N5" s="12"/>
      <c r="O5" s="12"/>
      <c r="P5" s="12"/>
      <c r="Q5" s="12"/>
    </row>
    <row r="6" spans="1:17" x14ac:dyDescent="0.25">
      <c r="A6" s="6" t="s">
        <v>286</v>
      </c>
      <c r="B6" s="7" t="s">
        <v>8</v>
      </c>
      <c r="C6" s="21">
        <v>15</v>
      </c>
      <c r="D6" s="6" t="s">
        <v>48</v>
      </c>
      <c r="E6" s="8"/>
      <c r="F6" s="8"/>
      <c r="G6" s="8"/>
      <c r="H6" s="8"/>
      <c r="J6" s="10" t="s">
        <v>286</v>
      </c>
      <c r="K6" s="11" t="s">
        <v>8</v>
      </c>
      <c r="L6" s="182">
        <v>15</v>
      </c>
      <c r="M6" s="10" t="s">
        <v>48</v>
      </c>
      <c r="N6" s="12"/>
      <c r="O6" s="12"/>
      <c r="P6" s="12"/>
      <c r="Q6" s="12"/>
    </row>
    <row r="7" spans="1:17" x14ac:dyDescent="0.25">
      <c r="A7" s="6" t="s">
        <v>114</v>
      </c>
      <c r="B7" s="7" t="s">
        <v>1</v>
      </c>
      <c r="C7" s="21">
        <v>5</v>
      </c>
      <c r="D7" s="6" t="s">
        <v>48</v>
      </c>
      <c r="E7" s="8"/>
      <c r="F7" s="8"/>
      <c r="G7" s="8"/>
      <c r="H7" s="8"/>
      <c r="J7" s="10" t="s">
        <v>114</v>
      </c>
      <c r="K7" s="11" t="s">
        <v>1</v>
      </c>
      <c r="L7" s="182">
        <v>5</v>
      </c>
      <c r="M7" s="10" t="s">
        <v>48</v>
      </c>
      <c r="N7" s="12"/>
      <c r="O7" s="12"/>
      <c r="P7" s="12"/>
      <c r="Q7" s="12"/>
    </row>
    <row r="8" spans="1:17" x14ac:dyDescent="0.25">
      <c r="A8" s="6"/>
      <c r="B8" s="7"/>
      <c r="C8" s="21"/>
      <c r="D8" s="6"/>
      <c r="E8" s="8"/>
      <c r="F8" s="8"/>
      <c r="G8" s="8"/>
      <c r="H8" s="8"/>
      <c r="J8" s="10"/>
      <c r="K8" s="11"/>
      <c r="L8" s="22"/>
      <c r="M8" s="10"/>
      <c r="N8" s="12"/>
      <c r="O8" s="12"/>
      <c r="P8" s="12"/>
      <c r="Q8" s="12"/>
    </row>
    <row r="9" spans="1:17" x14ac:dyDescent="0.25">
      <c r="A9" s="209" t="s">
        <v>290</v>
      </c>
      <c r="B9" s="209"/>
      <c r="C9" s="209"/>
      <c r="D9" s="209"/>
      <c r="E9" s="209"/>
      <c r="F9" s="209"/>
      <c r="G9" s="209"/>
      <c r="H9" s="209"/>
      <c r="J9" s="213" t="s">
        <v>290</v>
      </c>
      <c r="K9" s="213"/>
      <c r="L9" s="213"/>
      <c r="M9" s="213"/>
      <c r="N9" s="213"/>
      <c r="O9" s="213"/>
      <c r="P9" s="213"/>
      <c r="Q9" s="213"/>
    </row>
    <row r="10" spans="1:17" ht="31.5" x14ac:dyDescent="0.25">
      <c r="A10" s="49" t="s">
        <v>107</v>
      </c>
      <c r="B10" s="57" t="s">
        <v>293</v>
      </c>
      <c r="C10" s="130" t="s">
        <v>29</v>
      </c>
      <c r="D10" s="47" t="s">
        <v>292</v>
      </c>
      <c r="E10" s="47" t="s">
        <v>298</v>
      </c>
      <c r="F10" s="47" t="s">
        <v>299</v>
      </c>
      <c r="G10" s="47" t="s">
        <v>300</v>
      </c>
      <c r="H10" s="47" t="s">
        <v>301</v>
      </c>
      <c r="J10" s="52" t="s">
        <v>107</v>
      </c>
      <c r="K10" s="58" t="s">
        <v>293</v>
      </c>
      <c r="L10" s="131" t="s">
        <v>29</v>
      </c>
      <c r="M10" s="50" t="s">
        <v>292</v>
      </c>
      <c r="N10" s="50" t="s">
        <v>298</v>
      </c>
      <c r="O10" s="50" t="s">
        <v>299</v>
      </c>
      <c r="P10" s="50" t="s">
        <v>300</v>
      </c>
      <c r="Q10" s="50" t="s">
        <v>301</v>
      </c>
    </row>
    <row r="11" spans="1:17" x14ac:dyDescent="0.25">
      <c r="A11" s="6" t="s">
        <v>178</v>
      </c>
      <c r="B11" s="103">
        <v>0.8</v>
      </c>
      <c r="C11" s="36">
        <v>16.042999999999999</v>
      </c>
      <c r="D11" s="112">
        <v>667</v>
      </c>
      <c r="E11" s="101">
        <v>343</v>
      </c>
      <c r="F11" s="63">
        <v>9.8799999999999999E-2</v>
      </c>
      <c r="G11" s="103">
        <f>C11*F11*B11</f>
        <v>1.2680387199999998</v>
      </c>
      <c r="H11" s="63">
        <f>0.2882*B11</f>
        <v>0.23056000000000001</v>
      </c>
      <c r="J11" s="10" t="s">
        <v>178</v>
      </c>
      <c r="K11" s="178">
        <v>0.8</v>
      </c>
      <c r="L11" s="38">
        <v>16.042999999999999</v>
      </c>
      <c r="M11" s="132">
        <v>667</v>
      </c>
      <c r="N11" s="102">
        <v>343</v>
      </c>
      <c r="O11" s="64">
        <v>9.8799999999999999E-2</v>
      </c>
      <c r="P11" s="104">
        <f>L11*O11*K11</f>
        <v>1.2680387199999998</v>
      </c>
      <c r="Q11" s="64">
        <f>0.2882*K11</f>
        <v>0.23056000000000001</v>
      </c>
    </row>
    <row r="12" spans="1:17" x14ac:dyDescent="0.25">
      <c r="A12" s="6" t="s">
        <v>177</v>
      </c>
      <c r="B12" s="103">
        <v>0.15</v>
      </c>
      <c r="C12" s="36">
        <v>28.013000000000002</v>
      </c>
      <c r="D12" s="112">
        <v>492.5</v>
      </c>
      <c r="E12" s="101">
        <v>227.2</v>
      </c>
      <c r="F12" s="63">
        <v>5.0999999999999997E-2</v>
      </c>
      <c r="G12" s="103">
        <f t="shared" ref="G12:G13" si="0">C12*F12*B12</f>
        <v>0.21429945</v>
      </c>
      <c r="H12" s="63">
        <f>0.2891*B12</f>
        <v>4.3365000000000001E-2</v>
      </c>
      <c r="J12" s="10" t="s">
        <v>177</v>
      </c>
      <c r="K12" s="178">
        <v>0.15</v>
      </c>
      <c r="L12" s="38">
        <v>28.013000000000002</v>
      </c>
      <c r="M12" s="132">
        <v>492.5</v>
      </c>
      <c r="N12" s="102">
        <v>227.2</v>
      </c>
      <c r="O12" s="64">
        <v>5.0999999999999997E-2</v>
      </c>
      <c r="P12" s="104">
        <f t="shared" ref="P12:P13" si="1">L12*O12*K12</f>
        <v>0.21429945</v>
      </c>
      <c r="Q12" s="64">
        <f>0.2891*K12</f>
        <v>4.3365000000000001E-2</v>
      </c>
    </row>
    <row r="13" spans="1:17" x14ac:dyDescent="0.25">
      <c r="A13" s="6" t="s">
        <v>172</v>
      </c>
      <c r="B13" s="103">
        <v>0.05</v>
      </c>
      <c r="C13" s="36">
        <v>44.01</v>
      </c>
      <c r="D13" s="112">
        <v>1069.5</v>
      </c>
      <c r="E13" s="101">
        <v>547.4</v>
      </c>
      <c r="F13" s="63">
        <v>3.4200000000000001E-2</v>
      </c>
      <c r="G13" s="103">
        <f t="shared" si="0"/>
        <v>7.5257100000000007E-2</v>
      </c>
      <c r="H13" s="63">
        <f>0.2749*B13</f>
        <v>1.3745E-2</v>
      </c>
      <c r="J13" s="10" t="s">
        <v>172</v>
      </c>
      <c r="K13" s="178">
        <v>0.05</v>
      </c>
      <c r="L13" s="38">
        <v>44.01</v>
      </c>
      <c r="M13" s="132">
        <v>1069.5</v>
      </c>
      <c r="N13" s="102">
        <v>547.4</v>
      </c>
      <c r="O13" s="64">
        <v>3.4200000000000001E-2</v>
      </c>
      <c r="P13" s="104">
        <f t="shared" si="1"/>
        <v>7.5257100000000007E-2</v>
      </c>
      <c r="Q13" s="64">
        <f>0.2749*K13</f>
        <v>1.3745E-2</v>
      </c>
    </row>
    <row r="14" spans="1:17" x14ac:dyDescent="0.25">
      <c r="A14" s="6" t="s">
        <v>291</v>
      </c>
      <c r="B14" s="103">
        <f>SUM(B11:B13)</f>
        <v>1</v>
      </c>
      <c r="C14" s="36">
        <f>((B11*C11)+(B12*C12)+(B13*C13))</f>
        <v>19.236849999999997</v>
      </c>
      <c r="D14" s="7" t="s">
        <v>125</v>
      </c>
      <c r="E14" s="101">
        <f>((B11*E11)+(B12*E12)+(B13*E13))</f>
        <v>335.85</v>
      </c>
      <c r="F14" s="7"/>
      <c r="G14" s="13">
        <f>SUM(G11:G13)</f>
        <v>1.5575952699999998</v>
      </c>
      <c r="H14" s="63">
        <f>SUM(H11:H13)</f>
        <v>0.28767000000000004</v>
      </c>
      <c r="J14" s="10" t="s">
        <v>291</v>
      </c>
      <c r="K14" s="178">
        <f>SUM(K11:K13)</f>
        <v>1</v>
      </c>
      <c r="L14" s="38">
        <f>((K11*L11)+(K12*L12)+(K13*L13))</f>
        <v>19.236849999999997</v>
      </c>
      <c r="M14" s="11" t="s">
        <v>125</v>
      </c>
      <c r="N14" s="102">
        <f>((K11*N11)+(K12*N12)+(K13*N13))</f>
        <v>335.85</v>
      </c>
      <c r="O14" s="11"/>
      <c r="P14" s="14">
        <f>SUM(P11:P13)</f>
        <v>1.5575952699999998</v>
      </c>
      <c r="Q14" s="64">
        <f>SUM(Q11:Q13)</f>
        <v>0.28767000000000004</v>
      </c>
    </row>
    <row r="15" spans="1:17" ht="33" x14ac:dyDescent="0.3">
      <c r="A15" s="6"/>
      <c r="B15" s="133" t="s">
        <v>294</v>
      </c>
      <c r="C15" s="134" t="s">
        <v>295</v>
      </c>
      <c r="D15" s="7"/>
      <c r="E15" s="134" t="s">
        <v>296</v>
      </c>
      <c r="F15" s="7"/>
      <c r="G15" s="47" t="s">
        <v>302</v>
      </c>
      <c r="H15" s="47" t="s">
        <v>303</v>
      </c>
      <c r="J15" s="10"/>
      <c r="K15" s="135" t="s">
        <v>294</v>
      </c>
      <c r="L15" s="136" t="s">
        <v>295</v>
      </c>
      <c r="M15" s="11"/>
      <c r="N15" s="136" t="s">
        <v>296</v>
      </c>
      <c r="O15" s="11"/>
      <c r="P15" s="50" t="s">
        <v>302</v>
      </c>
      <c r="Q15" s="50" t="s">
        <v>303</v>
      </c>
    </row>
    <row r="16" spans="1:17" x14ac:dyDescent="0.25">
      <c r="A16" s="6"/>
      <c r="B16" s="7"/>
      <c r="C16" s="21"/>
      <c r="D16" s="6"/>
      <c r="E16" s="8"/>
      <c r="F16" s="8"/>
      <c r="G16" s="8"/>
      <c r="H16" s="8"/>
      <c r="J16" s="10"/>
      <c r="K16" s="11"/>
      <c r="L16" s="22"/>
      <c r="M16" s="10"/>
      <c r="N16" s="12"/>
      <c r="O16" s="12"/>
      <c r="P16" s="12"/>
      <c r="Q16" s="12"/>
    </row>
    <row r="17" spans="1:17" s="27" customFormat="1" ht="14.25" x14ac:dyDescent="0.2">
      <c r="A17" s="23" t="s">
        <v>31</v>
      </c>
      <c r="B17" s="24"/>
      <c r="C17" s="25"/>
      <c r="D17" s="23"/>
      <c r="E17" s="26"/>
      <c r="F17" s="26"/>
      <c r="G17" s="26"/>
      <c r="H17" s="26"/>
      <c r="J17" s="28" t="s">
        <v>31</v>
      </c>
      <c r="K17" s="29"/>
      <c r="L17" s="30"/>
      <c r="M17" s="28"/>
      <c r="N17" s="31"/>
      <c r="O17" s="31"/>
      <c r="P17" s="31"/>
      <c r="Q17" s="31"/>
    </row>
    <row r="18" spans="1:17" ht="16.5" x14ac:dyDescent="0.3">
      <c r="A18" s="6" t="s">
        <v>49</v>
      </c>
      <c r="B18" s="7"/>
      <c r="C18" s="21"/>
      <c r="D18" s="6"/>
      <c r="E18" s="8"/>
      <c r="F18" s="8"/>
      <c r="G18" s="8"/>
      <c r="H18" s="8"/>
      <c r="J18" s="10" t="s">
        <v>49</v>
      </c>
      <c r="K18" s="11"/>
      <c r="L18" s="22"/>
      <c r="M18" s="10"/>
      <c r="N18" s="12"/>
      <c r="O18" s="12"/>
      <c r="P18" s="12"/>
      <c r="Q18" s="12"/>
    </row>
    <row r="19" spans="1:17" ht="16.5" x14ac:dyDescent="0.3">
      <c r="A19" s="6" t="s">
        <v>50</v>
      </c>
      <c r="B19" s="7" t="s">
        <v>1</v>
      </c>
      <c r="C19" s="112">
        <f>E14</f>
        <v>335.85</v>
      </c>
      <c r="D19" s="6" t="s">
        <v>15</v>
      </c>
      <c r="E19" s="8"/>
      <c r="F19" s="8"/>
      <c r="G19" s="8"/>
      <c r="H19" s="8"/>
      <c r="J19" s="10" t="s">
        <v>50</v>
      </c>
      <c r="K19" s="11" t="s">
        <v>1</v>
      </c>
      <c r="L19" s="186">
        <f>N14</f>
        <v>335.85</v>
      </c>
      <c r="M19" s="10" t="s">
        <v>15</v>
      </c>
      <c r="N19" s="12"/>
      <c r="O19" s="12"/>
      <c r="P19" s="12"/>
      <c r="Q19" s="12"/>
    </row>
    <row r="20" spans="1:17" ht="18.75" x14ac:dyDescent="0.3">
      <c r="A20" s="6" t="s">
        <v>51</v>
      </c>
      <c r="B20" s="7" t="s">
        <v>1</v>
      </c>
      <c r="C20" s="36">
        <f>G14</f>
        <v>1.5575952699999998</v>
      </c>
      <c r="D20" s="6" t="s">
        <v>297</v>
      </c>
      <c r="E20" s="8"/>
      <c r="F20" s="8"/>
      <c r="G20" s="8"/>
      <c r="H20" s="8"/>
      <c r="J20" s="10" t="s">
        <v>51</v>
      </c>
      <c r="K20" s="11" t="s">
        <v>1</v>
      </c>
      <c r="L20" s="155">
        <f>P14</f>
        <v>1.5575952699999998</v>
      </c>
      <c r="M20" s="10" t="s">
        <v>297</v>
      </c>
      <c r="N20" s="12"/>
      <c r="O20" s="12"/>
      <c r="P20" s="12"/>
      <c r="Q20" s="12"/>
    </row>
    <row r="21" spans="1:17" ht="16.5" x14ac:dyDescent="0.3">
      <c r="A21" s="43" t="s">
        <v>52</v>
      </c>
      <c r="B21" s="67" t="s">
        <v>1</v>
      </c>
      <c r="C21" s="105">
        <f>H14</f>
        <v>0.28767000000000004</v>
      </c>
      <c r="D21" s="43" t="s">
        <v>18</v>
      </c>
      <c r="E21" s="43"/>
      <c r="F21" s="43"/>
      <c r="G21" s="43"/>
      <c r="H21" s="43"/>
      <c r="J21" s="46" t="s">
        <v>52</v>
      </c>
      <c r="K21" s="69" t="s">
        <v>1</v>
      </c>
      <c r="L21" s="179">
        <f>Q14</f>
        <v>0.28767000000000004</v>
      </c>
      <c r="M21" s="46" t="s">
        <v>18</v>
      </c>
      <c r="N21" s="46"/>
      <c r="O21" s="46"/>
      <c r="P21" s="46"/>
      <c r="Q21" s="46"/>
    </row>
    <row r="22" spans="1:17" x14ac:dyDescent="0.25">
      <c r="A22" s="6"/>
      <c r="B22" s="7"/>
      <c r="C22" s="21"/>
      <c r="D22" s="6"/>
      <c r="E22" s="8"/>
      <c r="F22" s="8"/>
      <c r="G22" s="8"/>
      <c r="H22" s="8"/>
      <c r="J22" s="10"/>
      <c r="K22" s="11"/>
      <c r="L22" s="182"/>
      <c r="M22" s="10"/>
      <c r="N22" s="12"/>
      <c r="O22" s="12"/>
      <c r="P22" s="12"/>
      <c r="Q22" s="12"/>
    </row>
    <row r="23" spans="1:17" ht="16.5" x14ac:dyDescent="0.3">
      <c r="A23" s="6" t="s">
        <v>53</v>
      </c>
      <c r="B23" s="7" t="s">
        <v>1</v>
      </c>
      <c r="C23" s="112">
        <f>C21*10.73*C19/C20</f>
        <v>665.55665178348966</v>
      </c>
      <c r="D23" s="6" t="s">
        <v>0</v>
      </c>
      <c r="E23" s="8"/>
      <c r="F23" s="8"/>
      <c r="G23" s="8"/>
      <c r="H23" s="8"/>
      <c r="J23" s="10" t="s">
        <v>53</v>
      </c>
      <c r="K23" s="11" t="s">
        <v>1</v>
      </c>
      <c r="L23" s="186">
        <f>L21*10.73*L19/L20</f>
        <v>665.55665178348966</v>
      </c>
      <c r="M23" s="10" t="s">
        <v>0</v>
      </c>
      <c r="N23" s="12"/>
      <c r="O23" s="12"/>
      <c r="P23" s="12"/>
      <c r="Q23" s="12"/>
    </row>
    <row r="24" spans="1:17" ht="15.75" x14ac:dyDescent="0.25">
      <c r="A24" s="137" t="s">
        <v>55</v>
      </c>
      <c r="B24" s="7"/>
      <c r="C24" s="21"/>
      <c r="D24" s="6"/>
      <c r="E24" s="8"/>
      <c r="F24" s="8"/>
      <c r="G24" s="8"/>
      <c r="H24" s="8"/>
      <c r="J24" s="138" t="s">
        <v>55</v>
      </c>
      <c r="K24" s="11"/>
      <c r="L24" s="22"/>
      <c r="M24" s="10"/>
      <c r="N24" s="12"/>
      <c r="O24" s="12"/>
      <c r="P24" s="12"/>
      <c r="Q24" s="12"/>
    </row>
    <row r="25" spans="1:17" ht="42.75" customHeight="1" x14ac:dyDescent="0.25">
      <c r="A25" s="49" t="s">
        <v>54</v>
      </c>
      <c r="B25" s="47" t="s">
        <v>1</v>
      </c>
      <c r="C25" s="48">
        <f>5.4402*((C19^0.1666)/(C23^0.6666)/(C14^0.5))</f>
        <v>4.2901113329114053E-2</v>
      </c>
      <c r="D25" s="49" t="s">
        <v>18</v>
      </c>
      <c r="E25" s="139"/>
      <c r="F25" s="210" t="s">
        <v>56</v>
      </c>
      <c r="G25" s="210"/>
      <c r="H25" s="210"/>
      <c r="J25" s="185" t="s">
        <v>54</v>
      </c>
      <c r="K25" s="50" t="s">
        <v>1</v>
      </c>
      <c r="L25" s="187">
        <f>5.4402*((L19^0.1666)/(L23^0.6666)/(L14^0.5))</f>
        <v>4.2901113329114053E-2</v>
      </c>
      <c r="M25" s="52" t="s">
        <v>18</v>
      </c>
      <c r="N25" s="140"/>
      <c r="O25" s="214" t="s">
        <v>56</v>
      </c>
      <c r="P25" s="214"/>
      <c r="Q25" s="214"/>
    </row>
    <row r="26" spans="1:17" ht="18.75" x14ac:dyDescent="0.35">
      <c r="A26" s="6" t="s">
        <v>288</v>
      </c>
      <c r="B26" s="7"/>
      <c r="C26" s="7"/>
      <c r="D26" s="6"/>
      <c r="E26" s="8"/>
      <c r="F26" s="8"/>
      <c r="G26" s="8"/>
      <c r="H26" s="8"/>
      <c r="J26" s="10" t="s">
        <v>288</v>
      </c>
      <c r="K26" s="11"/>
      <c r="L26" s="11"/>
      <c r="M26" s="10"/>
      <c r="N26" s="12"/>
      <c r="O26" s="12"/>
      <c r="P26" s="12"/>
      <c r="Q26" s="12"/>
    </row>
    <row r="27" spans="1:17" ht="18.75" x14ac:dyDescent="0.35">
      <c r="A27" s="127" t="s">
        <v>39</v>
      </c>
      <c r="B27" s="7" t="s">
        <v>1</v>
      </c>
      <c r="C27" s="13">
        <f>(C4+459.67)/C19</f>
        <v>1.517552478785172</v>
      </c>
      <c r="D27" s="6" t="s">
        <v>18</v>
      </c>
      <c r="E27" s="8"/>
      <c r="F27" s="8"/>
      <c r="G27" s="8"/>
      <c r="H27" s="8"/>
      <c r="J27" s="128" t="s">
        <v>39</v>
      </c>
      <c r="K27" s="11" t="s">
        <v>1</v>
      </c>
      <c r="L27" s="152">
        <f>(L4+459.67)/L19</f>
        <v>1.517552478785172</v>
      </c>
      <c r="M27" s="10" t="s">
        <v>18</v>
      </c>
      <c r="N27" s="12"/>
      <c r="O27" s="12"/>
      <c r="P27" s="12"/>
      <c r="Q27" s="12"/>
    </row>
    <row r="28" spans="1:17" ht="18.75" x14ac:dyDescent="0.35">
      <c r="A28" s="127" t="s">
        <v>59</v>
      </c>
      <c r="B28" s="7"/>
      <c r="C28" s="7"/>
      <c r="D28" s="6"/>
      <c r="E28" s="8"/>
      <c r="F28" s="8"/>
      <c r="G28" s="8"/>
      <c r="H28" s="8"/>
      <c r="J28" s="128" t="s">
        <v>59</v>
      </c>
      <c r="K28" s="11"/>
      <c r="L28" s="11"/>
      <c r="M28" s="10"/>
      <c r="N28" s="12"/>
      <c r="O28" s="12"/>
      <c r="P28" s="12"/>
      <c r="Q28" s="12"/>
    </row>
    <row r="29" spans="1:17" ht="18.75" x14ac:dyDescent="0.35">
      <c r="A29" s="127" t="s">
        <v>57</v>
      </c>
      <c r="B29" s="7" t="s">
        <v>8</v>
      </c>
      <c r="C29" s="141">
        <f>166.8*10^-5*(0.1338*C27-0.0932)^0.5555</f>
        <v>4.8905447096629672E-4</v>
      </c>
      <c r="D29" s="6" t="s">
        <v>18</v>
      </c>
      <c r="E29" s="8"/>
      <c r="F29" s="8"/>
      <c r="G29" s="8"/>
      <c r="H29" s="8"/>
      <c r="J29" s="128" t="s">
        <v>57</v>
      </c>
      <c r="K29" s="11" t="s">
        <v>8</v>
      </c>
      <c r="L29" s="188">
        <f>166.8*10^-5*(0.1338*L27-0.0932)^0.5555</f>
        <v>4.8905447096629672E-4</v>
      </c>
      <c r="M29" s="10" t="s">
        <v>18</v>
      </c>
      <c r="N29" s="12"/>
      <c r="O29" s="12"/>
      <c r="P29" s="12"/>
      <c r="Q29" s="12"/>
    </row>
    <row r="30" spans="1:17" x14ac:dyDescent="0.25">
      <c r="A30" s="6" t="s">
        <v>289</v>
      </c>
      <c r="B30" s="7"/>
      <c r="C30" s="83"/>
      <c r="D30" s="6"/>
      <c r="E30" s="8"/>
      <c r="F30" s="8"/>
      <c r="G30" s="8"/>
      <c r="H30" s="8"/>
      <c r="J30" s="10" t="s">
        <v>289</v>
      </c>
      <c r="K30" s="11"/>
      <c r="L30" s="85"/>
      <c r="M30" s="10"/>
      <c r="N30" s="12"/>
      <c r="O30" s="12"/>
      <c r="P30" s="12"/>
      <c r="Q30" s="12"/>
    </row>
    <row r="31" spans="1:17" ht="20.25" x14ac:dyDescent="0.35">
      <c r="A31" s="32" t="s">
        <v>58</v>
      </c>
      <c r="B31" s="7" t="s">
        <v>1</v>
      </c>
      <c r="C31" s="59">
        <f>C29/C25</f>
        <v>1.1399575279423084E-2</v>
      </c>
      <c r="D31" s="6" t="s">
        <v>36</v>
      </c>
      <c r="E31" s="8"/>
      <c r="F31" s="8"/>
      <c r="G31" s="8"/>
      <c r="H31" s="8"/>
      <c r="J31" s="142" t="s">
        <v>58</v>
      </c>
      <c r="K31" s="11" t="s">
        <v>1</v>
      </c>
      <c r="L31" s="158">
        <f>L29/L25</f>
        <v>1.1399575279423084E-2</v>
      </c>
      <c r="M31" s="10" t="s">
        <v>36</v>
      </c>
      <c r="N31" s="12"/>
      <c r="O31" s="12"/>
      <c r="P31" s="12"/>
      <c r="Q31" s="12"/>
    </row>
    <row r="32" spans="1:17" x14ac:dyDescent="0.25">
      <c r="A32" s="43" t="s">
        <v>287</v>
      </c>
      <c r="B32" s="67"/>
      <c r="C32" s="67"/>
      <c r="D32" s="43"/>
      <c r="E32" s="43"/>
      <c r="F32" s="43"/>
      <c r="G32" s="43"/>
      <c r="H32" s="43"/>
      <c r="J32" s="46" t="s">
        <v>287</v>
      </c>
      <c r="K32" s="69"/>
      <c r="L32" s="69"/>
      <c r="M32" s="46"/>
      <c r="N32" s="46"/>
      <c r="O32" s="46"/>
      <c r="P32" s="46"/>
      <c r="Q32" s="46"/>
    </row>
    <row r="35" spans="1:1" x14ac:dyDescent="0.25">
      <c r="A35" s="15" t="s">
        <v>305</v>
      </c>
    </row>
    <row r="36" spans="1:1" x14ac:dyDescent="0.25">
      <c r="A36" s="15" t="s">
        <v>306</v>
      </c>
    </row>
    <row r="37" spans="1:1" x14ac:dyDescent="0.25">
      <c r="A37" s="15" t="s">
        <v>307</v>
      </c>
    </row>
    <row r="38" spans="1:1" x14ac:dyDescent="0.25">
      <c r="A38" s="15" t="s">
        <v>308</v>
      </c>
    </row>
    <row r="39" spans="1:1" x14ac:dyDescent="0.25">
      <c r="A39" s="15" t="s">
        <v>309</v>
      </c>
    </row>
  </sheetData>
  <sheetProtection password="F030" sheet="1" objects="1" scenarios="1"/>
  <mergeCells count="6">
    <mergeCell ref="A9:H9"/>
    <mergeCell ref="F25:H25"/>
    <mergeCell ref="A1:H1"/>
    <mergeCell ref="J1:Q1"/>
    <mergeCell ref="J9:Q9"/>
    <mergeCell ref="O25:Q25"/>
  </mergeCells>
  <pageMargins left="0.75" right="0.75" top="1" bottom="1" header="0.5" footer="0.5"/>
  <pageSetup paperSize="199" scale="47" orientation="landscape" r:id="rId1"/>
  <headerFooter alignWithMargins="0">
    <oddHeader>&amp;CCALCULATION SPREADSHEET FOR GPSA ENGINEERING DATA BOOK, 13&amp;Xth&amp;X ED.
EXAMPLE 23-9</oddHeader>
  </headerFooter>
  <ignoredErrors>
    <ignoredError sqref="L19:L31 K14"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zoomScale="80" zoomScaleNormal="80" workbookViewId="0">
      <selection activeCell="J11" sqref="J11:J19"/>
    </sheetView>
  </sheetViews>
  <sheetFormatPr defaultRowHeight="15" x14ac:dyDescent="0.25"/>
  <cols>
    <col min="1" max="1" width="21.42578125" style="9" customWidth="1"/>
    <col min="2" max="2" width="9.140625" style="16"/>
    <col min="3" max="3" width="11.5703125" style="16" customWidth="1"/>
    <col min="4" max="4" width="10.5703125" style="9" customWidth="1"/>
    <col min="5" max="5" width="5.28515625" style="9" customWidth="1"/>
    <col min="6" max="6" width="17" style="9" customWidth="1"/>
    <col min="7" max="7" width="9.140625" style="9"/>
    <col min="8" max="8" width="22.140625" style="9" customWidth="1"/>
    <col min="9" max="9" width="9.140625" style="16"/>
    <col min="10" max="10" width="12.7109375" style="16" customWidth="1"/>
    <col min="11" max="11" width="10.7109375" style="9" bestFit="1" customWidth="1"/>
    <col min="12" max="12" width="9.140625" style="9"/>
    <col min="13" max="13" width="13.140625" style="9" customWidth="1"/>
    <col min="14" max="16384" width="9.140625" style="9"/>
  </cols>
  <sheetData>
    <row r="1" spans="1:13" ht="52.5" customHeight="1" x14ac:dyDescent="0.25">
      <c r="A1" s="202" t="s">
        <v>182</v>
      </c>
      <c r="B1" s="203"/>
      <c r="C1" s="203"/>
      <c r="D1" s="203"/>
      <c r="E1" s="203"/>
      <c r="F1" s="203"/>
      <c r="H1" s="204" t="s">
        <v>182</v>
      </c>
      <c r="I1" s="205"/>
      <c r="J1" s="205"/>
      <c r="K1" s="205"/>
      <c r="L1" s="205"/>
      <c r="M1" s="205"/>
    </row>
    <row r="2" spans="1:13" ht="7.5" customHeight="1" x14ac:dyDescent="0.25">
      <c r="A2" s="17"/>
      <c r="B2" s="18"/>
      <c r="C2" s="18"/>
      <c r="D2" s="18"/>
      <c r="E2" s="18"/>
      <c r="F2" s="18"/>
      <c r="H2" s="19"/>
      <c r="I2" s="20"/>
      <c r="J2" s="20"/>
      <c r="K2" s="20"/>
      <c r="L2" s="20"/>
      <c r="M2" s="20"/>
    </row>
    <row r="3" spans="1:13" x14ac:dyDescent="0.25">
      <c r="A3" s="6" t="s">
        <v>2</v>
      </c>
      <c r="B3" s="7"/>
      <c r="C3" s="7"/>
      <c r="D3" s="6"/>
      <c r="E3" s="8"/>
      <c r="F3" s="8"/>
      <c r="H3" s="10" t="s">
        <v>2</v>
      </c>
      <c r="I3" s="11"/>
      <c r="J3" s="11"/>
      <c r="K3" s="10"/>
      <c r="L3" s="12"/>
      <c r="M3" s="12"/>
    </row>
    <row r="4" spans="1:13" x14ac:dyDescent="0.25">
      <c r="A4" s="6" t="s">
        <v>69</v>
      </c>
      <c r="B4" s="7" t="s">
        <v>1</v>
      </c>
      <c r="C4" s="7">
        <v>100</v>
      </c>
      <c r="D4" s="6" t="s">
        <v>5</v>
      </c>
      <c r="E4" s="8"/>
      <c r="F4" s="8"/>
      <c r="H4" s="10" t="s">
        <v>69</v>
      </c>
      <c r="I4" s="11" t="s">
        <v>1</v>
      </c>
      <c r="J4" s="151">
        <v>100</v>
      </c>
      <c r="K4" s="10" t="s">
        <v>5</v>
      </c>
      <c r="L4" s="12"/>
      <c r="M4" s="12"/>
    </row>
    <row r="5" spans="1:13" x14ac:dyDescent="0.25">
      <c r="A5" s="6" t="s">
        <v>70</v>
      </c>
      <c r="B5" s="7" t="s">
        <v>8</v>
      </c>
      <c r="C5" s="7">
        <v>210</v>
      </c>
      <c r="D5" s="6" t="s">
        <v>5</v>
      </c>
      <c r="E5" s="8"/>
      <c r="F5" s="8"/>
      <c r="H5" s="10" t="s">
        <v>70</v>
      </c>
      <c r="I5" s="11" t="s">
        <v>8</v>
      </c>
      <c r="J5" s="151">
        <v>210</v>
      </c>
      <c r="K5" s="10" t="s">
        <v>5</v>
      </c>
      <c r="L5" s="12"/>
      <c r="M5" s="12"/>
    </row>
    <row r="6" spans="1:13" ht="16.5" x14ac:dyDescent="0.3">
      <c r="A6" s="6" t="s">
        <v>67</v>
      </c>
      <c r="B6" s="7" t="s">
        <v>1</v>
      </c>
      <c r="C6" s="21">
        <v>325</v>
      </c>
      <c r="D6" s="6" t="s">
        <v>5</v>
      </c>
      <c r="E6" s="6" t="s">
        <v>77</v>
      </c>
      <c r="F6" s="8"/>
      <c r="H6" s="10" t="s">
        <v>67</v>
      </c>
      <c r="I6" s="11" t="s">
        <v>1</v>
      </c>
      <c r="J6" s="182">
        <v>325</v>
      </c>
      <c r="K6" s="10" t="s">
        <v>5</v>
      </c>
      <c r="L6" s="10" t="s">
        <v>77</v>
      </c>
      <c r="M6" s="12"/>
    </row>
    <row r="7" spans="1:13" x14ac:dyDescent="0.25">
      <c r="A7" s="6" t="s">
        <v>61</v>
      </c>
      <c r="B7" s="7" t="s">
        <v>1</v>
      </c>
      <c r="C7" s="7">
        <v>0.76880000000000004</v>
      </c>
      <c r="D7" s="6" t="s">
        <v>18</v>
      </c>
      <c r="E7" s="8"/>
      <c r="F7" s="8"/>
      <c r="H7" s="10" t="s">
        <v>61</v>
      </c>
      <c r="I7" s="11" t="s">
        <v>1</v>
      </c>
      <c r="J7" s="151">
        <v>0.76880000000000004</v>
      </c>
      <c r="K7" s="10" t="s">
        <v>18</v>
      </c>
      <c r="L7" s="12"/>
      <c r="M7" s="12"/>
    </row>
    <row r="8" spans="1:13" x14ac:dyDescent="0.25">
      <c r="A8" s="6"/>
      <c r="B8" s="7"/>
      <c r="C8" s="21"/>
      <c r="D8" s="6"/>
      <c r="E8" s="8"/>
      <c r="F8" s="8"/>
      <c r="H8" s="10"/>
      <c r="I8" s="11"/>
      <c r="J8" s="22"/>
      <c r="K8" s="10"/>
      <c r="L8" s="12"/>
      <c r="M8" s="12"/>
    </row>
    <row r="9" spans="1:13" s="27" customFormat="1" ht="14.25" x14ac:dyDescent="0.2">
      <c r="A9" s="23" t="s">
        <v>31</v>
      </c>
      <c r="B9" s="24"/>
      <c r="C9" s="25"/>
      <c r="D9" s="23"/>
      <c r="E9" s="26"/>
      <c r="F9" s="26"/>
      <c r="H9" s="28" t="s">
        <v>31</v>
      </c>
      <c r="I9" s="29"/>
      <c r="J9" s="30"/>
      <c r="K9" s="28"/>
      <c r="L9" s="31"/>
      <c r="M9" s="31"/>
    </row>
    <row r="10" spans="1:13" ht="16.5" x14ac:dyDescent="0.3">
      <c r="A10" s="6" t="s">
        <v>75</v>
      </c>
      <c r="B10" s="7"/>
      <c r="C10" s="21"/>
      <c r="D10" s="6"/>
      <c r="E10" s="8"/>
      <c r="F10" s="8"/>
      <c r="H10" s="10" t="s">
        <v>75</v>
      </c>
      <c r="I10" s="11"/>
      <c r="J10" s="22"/>
      <c r="K10" s="10"/>
      <c r="L10" s="12"/>
      <c r="M10" s="12"/>
    </row>
    <row r="11" spans="1:13" ht="16.5" x14ac:dyDescent="0.3">
      <c r="A11" s="6" t="s">
        <v>76</v>
      </c>
      <c r="B11" s="7" t="s">
        <v>1</v>
      </c>
      <c r="C11" s="33">
        <f>(C6+459.67)^0.3333/C7</f>
        <v>11.9946013568374</v>
      </c>
      <c r="D11" s="6" t="s">
        <v>18</v>
      </c>
      <c r="E11" s="8"/>
      <c r="F11" s="8"/>
      <c r="H11" s="10" t="s">
        <v>76</v>
      </c>
      <c r="I11" s="11" t="s">
        <v>1</v>
      </c>
      <c r="J11" s="154">
        <f>(J6+459.67)^0.3333/J7</f>
        <v>11.9946013568374</v>
      </c>
      <c r="K11" s="10" t="s">
        <v>18</v>
      </c>
      <c r="L11" s="12"/>
      <c r="M11" s="12"/>
    </row>
    <row r="12" spans="1:13" x14ac:dyDescent="0.25">
      <c r="A12" s="6" t="s">
        <v>63</v>
      </c>
      <c r="B12" s="7"/>
      <c r="C12" s="36"/>
      <c r="D12" s="6"/>
      <c r="E12" s="8"/>
      <c r="F12" s="8"/>
      <c r="H12" s="10" t="s">
        <v>63</v>
      </c>
      <c r="I12" s="11"/>
      <c r="J12" s="38"/>
      <c r="K12" s="10"/>
      <c r="L12" s="12"/>
      <c r="M12" s="12"/>
    </row>
    <row r="13" spans="1:13" x14ac:dyDescent="0.25">
      <c r="A13" s="43" t="s">
        <v>62</v>
      </c>
      <c r="B13" s="67" t="s">
        <v>1</v>
      </c>
      <c r="C13" s="74">
        <f>4.717+(0.00292*(C6+459.67))</f>
        <v>7.0082363999999995</v>
      </c>
      <c r="D13" s="43" t="s">
        <v>18</v>
      </c>
      <c r="E13" s="43"/>
      <c r="F13" s="43"/>
      <c r="H13" s="46" t="s">
        <v>62</v>
      </c>
      <c r="I13" s="69" t="s">
        <v>1</v>
      </c>
      <c r="J13" s="163">
        <f>4.717+(0.00292*(J6+459.67))</f>
        <v>7.0082363999999995</v>
      </c>
      <c r="K13" s="46" t="s">
        <v>18</v>
      </c>
      <c r="L13" s="46"/>
      <c r="M13" s="46"/>
    </row>
    <row r="14" spans="1:13" ht="18" x14ac:dyDescent="0.25">
      <c r="A14" s="6" t="s">
        <v>64</v>
      </c>
      <c r="B14" s="7" t="s">
        <v>1</v>
      </c>
      <c r="C14" s="112">
        <f>2.7182818^C13</f>
        <v>1105.7026858358342</v>
      </c>
      <c r="D14" s="6" t="s">
        <v>74</v>
      </c>
      <c r="E14" s="8"/>
      <c r="F14" s="8"/>
      <c r="H14" s="10" t="s">
        <v>64</v>
      </c>
      <c r="I14" s="11" t="s">
        <v>1</v>
      </c>
      <c r="J14" s="186">
        <f>2.7182818^J13</f>
        <v>1105.7026858358342</v>
      </c>
      <c r="K14" s="10" t="s">
        <v>74</v>
      </c>
      <c r="L14" s="12"/>
      <c r="M14" s="12"/>
    </row>
    <row r="15" spans="1:13" x14ac:dyDescent="0.25">
      <c r="A15" s="6" t="s">
        <v>65</v>
      </c>
      <c r="B15" s="7"/>
      <c r="C15" s="112"/>
      <c r="D15" s="6"/>
      <c r="E15" s="8"/>
      <c r="F15" s="8"/>
      <c r="H15" s="10" t="s">
        <v>65</v>
      </c>
      <c r="I15" s="11"/>
      <c r="J15" s="132"/>
      <c r="K15" s="10"/>
      <c r="L15" s="12"/>
      <c r="M15" s="12"/>
    </row>
    <row r="16" spans="1:13" ht="15.75" x14ac:dyDescent="0.25">
      <c r="A16" s="137" t="s">
        <v>66</v>
      </c>
      <c r="B16" s="7" t="s">
        <v>1</v>
      </c>
      <c r="C16" s="143">
        <f>((101.78*(C6+459.67)^-0.175)-29.263)*C11/C14</f>
        <v>2.6462532563864605E-2</v>
      </c>
      <c r="D16" s="6" t="s">
        <v>18</v>
      </c>
      <c r="E16" s="8"/>
      <c r="F16" s="8"/>
      <c r="H16" s="138" t="s">
        <v>66</v>
      </c>
      <c r="I16" s="11" t="s">
        <v>1</v>
      </c>
      <c r="J16" s="189">
        <f>((101.78*(J6+459.67)^-0.175)-29.263)*J11/J14</f>
        <v>2.6462532563864605E-2</v>
      </c>
      <c r="K16" s="10" t="s">
        <v>18</v>
      </c>
      <c r="L16" s="12"/>
      <c r="M16" s="12"/>
    </row>
    <row r="17" spans="1:13" ht="15.75" x14ac:dyDescent="0.25">
      <c r="A17" s="137" t="s">
        <v>68</v>
      </c>
      <c r="B17" s="7"/>
      <c r="C17" s="143"/>
      <c r="D17" s="6"/>
      <c r="E17" s="8"/>
      <c r="F17" s="8"/>
      <c r="H17" s="138" t="s">
        <v>68</v>
      </c>
      <c r="I17" s="11"/>
      <c r="J17" s="144"/>
      <c r="K17" s="10"/>
      <c r="L17" s="12"/>
      <c r="M17" s="12"/>
    </row>
    <row r="18" spans="1:13" ht="27.75" customHeight="1" x14ac:dyDescent="0.25">
      <c r="A18" s="145" t="s">
        <v>71</v>
      </c>
      <c r="B18" s="47" t="s">
        <v>1</v>
      </c>
      <c r="C18" s="48">
        <f>C16*2.7182818285^((1.8*C14/(C4+459.67)))</f>
        <v>0.92692234966978582</v>
      </c>
      <c r="D18" s="49" t="s">
        <v>72</v>
      </c>
      <c r="E18" s="139"/>
      <c r="F18" s="146"/>
      <c r="H18" s="147" t="s">
        <v>71</v>
      </c>
      <c r="I18" s="50" t="s">
        <v>1</v>
      </c>
      <c r="J18" s="187">
        <f>J16*2.7182818285^((1.8*J14/(J4+459.67)))</f>
        <v>0.92692234966978582</v>
      </c>
      <c r="K18" s="52" t="s">
        <v>72</v>
      </c>
      <c r="L18" s="140"/>
      <c r="M18" s="148"/>
    </row>
    <row r="19" spans="1:13" ht="15.75" x14ac:dyDescent="0.25">
      <c r="A19" s="145" t="s">
        <v>73</v>
      </c>
      <c r="B19" s="7" t="s">
        <v>1</v>
      </c>
      <c r="C19" s="48">
        <f>C16*2.7182818285^((1.8*C14/(C5+459.67)))</f>
        <v>0.51684251822575478</v>
      </c>
      <c r="D19" s="6" t="s">
        <v>72</v>
      </c>
      <c r="E19" s="8"/>
      <c r="F19" s="8"/>
      <c r="H19" s="147" t="s">
        <v>73</v>
      </c>
      <c r="I19" s="11" t="s">
        <v>1</v>
      </c>
      <c r="J19" s="187">
        <f>J16*2.7182818285^((1.8*J14/(J5+459.67)))</f>
        <v>0.51684251822575478</v>
      </c>
      <c r="K19" s="10" t="s">
        <v>72</v>
      </c>
      <c r="L19" s="12"/>
      <c r="M19" s="12"/>
    </row>
    <row r="22" spans="1:13" x14ac:dyDescent="0.25">
      <c r="A22" s="15" t="s">
        <v>305</v>
      </c>
      <c r="J22" s="174"/>
    </row>
    <row r="23" spans="1:13" x14ac:dyDescent="0.25">
      <c r="A23" s="15" t="s">
        <v>306</v>
      </c>
    </row>
    <row r="24" spans="1:13" x14ac:dyDescent="0.25">
      <c r="A24" s="15" t="s">
        <v>307</v>
      </c>
    </row>
    <row r="25" spans="1:13" x14ac:dyDescent="0.25">
      <c r="A25" s="15" t="s">
        <v>308</v>
      </c>
    </row>
    <row r="26" spans="1:13" x14ac:dyDescent="0.25">
      <c r="A26" s="15" t="s">
        <v>309</v>
      </c>
    </row>
  </sheetData>
  <sheetProtection password="F030" sheet="1" objects="1" scenarios="1"/>
  <mergeCells count="2">
    <mergeCell ref="A1:F1"/>
    <mergeCell ref="H1:M1"/>
  </mergeCells>
  <printOptions horizontalCentered="1"/>
  <pageMargins left="0.75" right="0.75" top="1" bottom="1" header="0.5" footer="0.5"/>
  <pageSetup paperSize="199" scale="76" orientation="landscape" r:id="rId1"/>
  <headerFooter alignWithMargins="0">
    <oddHeader>&amp;CCALCULATION SPREADSHEET FOR GPSA ENGINEERING DATA BOOK, 13&amp;Xth&amp;X ED.
EXAMPLE 23-10</oddHeader>
  </headerFooter>
  <ignoredErrors>
    <ignoredError sqref="J11:J19"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zoomScale="80" zoomScaleNormal="80" workbookViewId="0">
      <selection activeCell="J14" sqref="J14:J20"/>
    </sheetView>
  </sheetViews>
  <sheetFormatPr defaultRowHeight="15" x14ac:dyDescent="0.25"/>
  <cols>
    <col min="1" max="1" width="21.42578125" style="9" customWidth="1"/>
    <col min="2" max="2" width="9.140625" style="16"/>
    <col min="3" max="3" width="11.5703125" style="16" customWidth="1"/>
    <col min="4" max="4" width="10.5703125" style="9" customWidth="1"/>
    <col min="5" max="5" width="5.28515625" style="9" customWidth="1"/>
    <col min="6" max="6" width="17" style="9" customWidth="1"/>
    <col min="7" max="7" width="9.140625" style="9"/>
    <col min="8" max="8" width="22.140625" style="9" customWidth="1"/>
    <col min="9" max="9" width="9.140625" style="16"/>
    <col min="10" max="10" width="12.7109375" style="16" customWidth="1"/>
    <col min="11" max="11" width="10.7109375" style="9" bestFit="1" customWidth="1"/>
    <col min="12" max="12" width="9.140625" style="9"/>
    <col min="13" max="13" width="13.140625" style="9" customWidth="1"/>
    <col min="14" max="16384" width="9.140625" style="9"/>
  </cols>
  <sheetData>
    <row r="1" spans="1:13" ht="18.75" customHeight="1" x14ac:dyDescent="0.25">
      <c r="A1" s="202" t="s">
        <v>78</v>
      </c>
      <c r="B1" s="203"/>
      <c r="C1" s="203"/>
      <c r="D1" s="203"/>
      <c r="E1" s="203"/>
      <c r="F1" s="203"/>
      <c r="H1" s="204" t="s">
        <v>78</v>
      </c>
      <c r="I1" s="205"/>
      <c r="J1" s="205"/>
      <c r="K1" s="205"/>
      <c r="L1" s="205"/>
      <c r="M1" s="205"/>
    </row>
    <row r="2" spans="1:13" ht="9.75" customHeight="1" x14ac:dyDescent="0.25">
      <c r="A2" s="17"/>
      <c r="B2" s="18"/>
      <c r="C2" s="18"/>
      <c r="D2" s="18"/>
      <c r="E2" s="18"/>
      <c r="F2" s="18"/>
      <c r="H2" s="19"/>
      <c r="I2" s="20"/>
      <c r="J2" s="20"/>
      <c r="K2" s="20"/>
      <c r="L2" s="20"/>
      <c r="M2" s="20"/>
    </row>
    <row r="3" spans="1:13" x14ac:dyDescent="0.25">
      <c r="A3" s="6" t="s">
        <v>2</v>
      </c>
      <c r="B3" s="7"/>
      <c r="C3" s="7"/>
      <c r="D3" s="6"/>
      <c r="E3" s="8"/>
      <c r="F3" s="8"/>
      <c r="H3" s="10" t="s">
        <v>2</v>
      </c>
      <c r="I3" s="11"/>
      <c r="J3" s="11"/>
      <c r="K3" s="10"/>
      <c r="L3" s="12"/>
      <c r="M3" s="12"/>
    </row>
    <row r="4" spans="1:13" x14ac:dyDescent="0.25">
      <c r="A4" s="6" t="s">
        <v>27</v>
      </c>
      <c r="B4" s="7" t="s">
        <v>1</v>
      </c>
      <c r="C4" s="7">
        <v>700</v>
      </c>
      <c r="D4" s="6" t="s">
        <v>0</v>
      </c>
      <c r="E4" s="8"/>
      <c r="F4" s="8"/>
      <c r="H4" s="10" t="s">
        <v>27</v>
      </c>
      <c r="I4" s="11" t="s">
        <v>1</v>
      </c>
      <c r="J4" s="151">
        <v>700</v>
      </c>
      <c r="K4" s="10" t="s">
        <v>0</v>
      </c>
      <c r="L4" s="12"/>
      <c r="M4" s="12"/>
    </row>
    <row r="5" spans="1:13" x14ac:dyDescent="0.25">
      <c r="A5" s="6" t="s">
        <v>28</v>
      </c>
      <c r="B5" s="7" t="s">
        <v>8</v>
      </c>
      <c r="C5" s="7">
        <v>300</v>
      </c>
      <c r="D5" s="6" t="s">
        <v>5</v>
      </c>
      <c r="E5" s="8"/>
      <c r="F5" s="8"/>
      <c r="H5" s="10" t="s">
        <v>28</v>
      </c>
      <c r="I5" s="11" t="s">
        <v>8</v>
      </c>
      <c r="J5" s="151">
        <v>300</v>
      </c>
      <c r="K5" s="10" t="s">
        <v>5</v>
      </c>
      <c r="L5" s="12"/>
      <c r="M5" s="12"/>
    </row>
    <row r="6" spans="1:13" x14ac:dyDescent="0.25">
      <c r="A6" s="6" t="s">
        <v>29</v>
      </c>
      <c r="B6" s="7" t="s">
        <v>1</v>
      </c>
      <c r="C6" s="21">
        <v>25</v>
      </c>
      <c r="D6" s="6" t="s">
        <v>30</v>
      </c>
      <c r="E6" s="6"/>
      <c r="F6" s="8"/>
      <c r="H6" s="10" t="s">
        <v>29</v>
      </c>
      <c r="I6" s="11" t="s">
        <v>1</v>
      </c>
      <c r="J6" s="182">
        <v>25</v>
      </c>
      <c r="K6" s="10" t="s">
        <v>30</v>
      </c>
      <c r="L6" s="10"/>
      <c r="M6" s="12"/>
    </row>
    <row r="7" spans="1:13" ht="16.5" x14ac:dyDescent="0.3">
      <c r="A7" s="6" t="s">
        <v>32</v>
      </c>
      <c r="B7" s="7" t="s">
        <v>1</v>
      </c>
      <c r="C7" s="7">
        <v>440</v>
      </c>
      <c r="D7" s="6" t="s">
        <v>15</v>
      </c>
      <c r="E7" s="8"/>
      <c r="F7" s="8"/>
      <c r="H7" s="10" t="s">
        <v>32</v>
      </c>
      <c r="I7" s="11" t="s">
        <v>1</v>
      </c>
      <c r="J7" s="151">
        <v>440</v>
      </c>
      <c r="K7" s="10" t="s">
        <v>15</v>
      </c>
      <c r="L7" s="12"/>
      <c r="M7" s="12"/>
    </row>
    <row r="8" spans="1:13" ht="16.5" x14ac:dyDescent="0.3">
      <c r="A8" s="6" t="s">
        <v>33</v>
      </c>
      <c r="B8" s="7" t="s">
        <v>1</v>
      </c>
      <c r="C8" s="7">
        <v>660</v>
      </c>
      <c r="D8" s="6" t="s">
        <v>0</v>
      </c>
      <c r="E8" s="8"/>
      <c r="F8" s="8"/>
      <c r="H8" s="10" t="s">
        <v>33</v>
      </c>
      <c r="I8" s="11" t="s">
        <v>1</v>
      </c>
      <c r="J8" s="151">
        <v>660</v>
      </c>
      <c r="K8" s="10" t="s">
        <v>0</v>
      </c>
      <c r="L8" s="12"/>
      <c r="M8" s="12"/>
    </row>
    <row r="9" spans="1:13" x14ac:dyDescent="0.25">
      <c r="A9" s="6"/>
      <c r="B9" s="7"/>
      <c r="C9" s="21"/>
      <c r="D9" s="6"/>
      <c r="E9" s="8"/>
      <c r="F9" s="8"/>
      <c r="H9" s="10"/>
      <c r="I9" s="11"/>
      <c r="J9" s="22"/>
      <c r="K9" s="10"/>
      <c r="L9" s="12"/>
      <c r="M9" s="12"/>
    </row>
    <row r="10" spans="1:13" s="27" customFormat="1" ht="14.25" x14ac:dyDescent="0.2">
      <c r="A10" s="23" t="s">
        <v>31</v>
      </c>
      <c r="B10" s="24"/>
      <c r="C10" s="25"/>
      <c r="D10" s="23"/>
      <c r="E10" s="26"/>
      <c r="F10" s="26"/>
      <c r="H10" s="28" t="s">
        <v>31</v>
      </c>
      <c r="I10" s="29"/>
      <c r="J10" s="30"/>
      <c r="K10" s="28"/>
      <c r="L10" s="31"/>
      <c r="M10" s="31"/>
    </row>
    <row r="11" spans="1:13" ht="16.5" x14ac:dyDescent="0.3">
      <c r="A11" s="6" t="s">
        <v>79</v>
      </c>
      <c r="B11" s="7"/>
      <c r="C11" s="21"/>
      <c r="D11" s="6"/>
      <c r="E11" s="8"/>
      <c r="F11" s="8"/>
      <c r="H11" s="10" t="s">
        <v>79</v>
      </c>
      <c r="I11" s="11"/>
      <c r="J11" s="22"/>
      <c r="K11" s="10"/>
      <c r="L11" s="12"/>
      <c r="M11" s="12"/>
    </row>
    <row r="12" spans="1:13" ht="16.5" x14ac:dyDescent="0.3">
      <c r="A12" s="6" t="s">
        <v>80</v>
      </c>
      <c r="B12" s="7" t="s">
        <v>1</v>
      </c>
      <c r="C12" s="125">
        <v>2.4799999999999999E-2</v>
      </c>
      <c r="D12" s="6" t="s">
        <v>81</v>
      </c>
      <c r="E12" s="8"/>
      <c r="F12" s="8"/>
      <c r="H12" s="10" t="s">
        <v>80</v>
      </c>
      <c r="I12" s="11" t="s">
        <v>1</v>
      </c>
      <c r="J12" s="183">
        <v>2.4799999999999999E-2</v>
      </c>
      <c r="K12" s="10" t="s">
        <v>81</v>
      </c>
      <c r="L12" s="12"/>
      <c r="M12" s="12"/>
    </row>
    <row r="13" spans="1:13" ht="16.5" x14ac:dyDescent="0.3">
      <c r="A13" s="6" t="s">
        <v>82</v>
      </c>
      <c r="B13" s="7"/>
      <c r="C13" s="36"/>
      <c r="D13" s="6" t="s">
        <v>88</v>
      </c>
      <c r="E13" s="8"/>
      <c r="F13" s="8"/>
      <c r="H13" s="10" t="s">
        <v>82</v>
      </c>
      <c r="I13" s="11"/>
      <c r="J13" s="38"/>
      <c r="K13" s="10" t="s">
        <v>88</v>
      </c>
      <c r="L13" s="12"/>
      <c r="M13" s="12"/>
    </row>
    <row r="14" spans="1:13" ht="16.5" x14ac:dyDescent="0.3">
      <c r="A14" s="43" t="s">
        <v>83</v>
      </c>
      <c r="B14" s="67" t="s">
        <v>1</v>
      </c>
      <c r="C14" s="74">
        <f>(C5+459.67)/C7</f>
        <v>1.7265227272727275</v>
      </c>
      <c r="D14" s="43" t="s">
        <v>18</v>
      </c>
      <c r="E14" s="43"/>
      <c r="F14" s="43"/>
      <c r="H14" s="46" t="s">
        <v>83</v>
      </c>
      <c r="I14" s="69" t="s">
        <v>1</v>
      </c>
      <c r="J14" s="163">
        <f>(J5+459.67)/J7</f>
        <v>1.7265227272727275</v>
      </c>
      <c r="K14" s="46" t="s">
        <v>18</v>
      </c>
      <c r="L14" s="46"/>
      <c r="M14" s="46"/>
    </row>
    <row r="15" spans="1:13" ht="16.5" x14ac:dyDescent="0.3">
      <c r="A15" s="6" t="s">
        <v>84</v>
      </c>
      <c r="B15" s="7"/>
      <c r="C15" s="33"/>
      <c r="D15" s="6" t="s">
        <v>89</v>
      </c>
      <c r="E15" s="8"/>
      <c r="F15" s="8"/>
      <c r="H15" s="10" t="s">
        <v>84</v>
      </c>
      <c r="I15" s="11"/>
      <c r="J15" s="34"/>
      <c r="K15" s="10" t="s">
        <v>89</v>
      </c>
      <c r="L15" s="12"/>
      <c r="M15" s="12"/>
    </row>
    <row r="16" spans="1:13" ht="16.5" x14ac:dyDescent="0.3">
      <c r="A16" s="6" t="s">
        <v>85</v>
      </c>
      <c r="B16" s="7" t="s">
        <v>1</v>
      </c>
      <c r="C16" s="33">
        <f>C4/C8</f>
        <v>1.0606060606060606</v>
      </c>
      <c r="D16" s="6" t="s">
        <v>18</v>
      </c>
      <c r="E16" s="8"/>
      <c r="F16" s="8"/>
      <c r="H16" s="10" t="s">
        <v>85</v>
      </c>
      <c r="I16" s="11" t="s">
        <v>1</v>
      </c>
      <c r="J16" s="154">
        <f>J4/J8</f>
        <v>1.0606060606060606</v>
      </c>
      <c r="K16" s="10" t="s">
        <v>18</v>
      </c>
      <c r="L16" s="12"/>
      <c r="M16" s="12"/>
    </row>
    <row r="17" spans="1:13" ht="18.75" x14ac:dyDescent="0.35">
      <c r="A17" s="137" t="s">
        <v>90</v>
      </c>
      <c r="B17" s="7"/>
      <c r="C17" s="143"/>
      <c r="D17" s="6"/>
      <c r="E17" s="8"/>
      <c r="F17" s="8"/>
      <c r="H17" s="138" t="s">
        <v>90</v>
      </c>
      <c r="I17" s="11"/>
      <c r="J17" s="144"/>
      <c r="K17" s="10"/>
      <c r="L17" s="12"/>
      <c r="M17" s="12"/>
    </row>
    <row r="18" spans="1:13" ht="18.75" x14ac:dyDescent="0.35">
      <c r="A18" s="137" t="s">
        <v>86</v>
      </c>
      <c r="B18" s="7" t="s">
        <v>1</v>
      </c>
      <c r="C18" s="33">
        <v>1.1499999999999999</v>
      </c>
      <c r="D18" s="6" t="s">
        <v>18</v>
      </c>
      <c r="E18" s="8"/>
      <c r="F18" s="8"/>
      <c r="H18" s="138" t="s">
        <v>86</v>
      </c>
      <c r="I18" s="11" t="s">
        <v>1</v>
      </c>
      <c r="J18" s="154">
        <v>1.1499999999999999</v>
      </c>
      <c r="K18" s="10" t="s">
        <v>18</v>
      </c>
      <c r="L18" s="12"/>
      <c r="M18" s="12"/>
    </row>
    <row r="19" spans="1:13" ht="27.75" customHeight="1" x14ac:dyDescent="0.25">
      <c r="A19" s="145" t="s">
        <v>91</v>
      </c>
      <c r="B19" s="47"/>
      <c r="C19" s="149"/>
      <c r="D19" s="49"/>
      <c r="E19" s="139"/>
      <c r="F19" s="146"/>
      <c r="H19" s="147" t="s">
        <v>91</v>
      </c>
      <c r="I19" s="50"/>
      <c r="J19" s="150"/>
      <c r="K19" s="52"/>
      <c r="L19" s="140"/>
      <c r="M19" s="148"/>
    </row>
    <row r="20" spans="1:13" ht="15.75" x14ac:dyDescent="0.25">
      <c r="A20" s="145" t="s">
        <v>87</v>
      </c>
      <c r="B20" s="7" t="s">
        <v>1</v>
      </c>
      <c r="C20" s="149">
        <f>C18*C12</f>
        <v>2.8519999999999997E-2</v>
      </c>
      <c r="D20" s="6" t="s">
        <v>81</v>
      </c>
      <c r="E20" s="8"/>
      <c r="F20" s="8"/>
      <c r="H20" s="147" t="s">
        <v>87</v>
      </c>
      <c r="I20" s="11" t="s">
        <v>1</v>
      </c>
      <c r="J20" s="190">
        <f>J18*J12</f>
        <v>2.8519999999999997E-2</v>
      </c>
      <c r="K20" s="10" t="s">
        <v>81</v>
      </c>
      <c r="L20" s="12"/>
      <c r="M20" s="12"/>
    </row>
    <row r="23" spans="1:13" x14ac:dyDescent="0.25">
      <c r="A23" s="15" t="s">
        <v>305</v>
      </c>
    </row>
    <row r="24" spans="1:13" x14ac:dyDescent="0.25">
      <c r="A24" s="15" t="s">
        <v>306</v>
      </c>
    </row>
    <row r="25" spans="1:13" x14ac:dyDescent="0.25">
      <c r="A25" s="15" t="s">
        <v>307</v>
      </c>
    </row>
    <row r="26" spans="1:13" x14ac:dyDescent="0.25">
      <c r="A26" s="15" t="s">
        <v>308</v>
      </c>
    </row>
    <row r="27" spans="1:13" x14ac:dyDescent="0.25">
      <c r="A27" s="15" t="s">
        <v>309</v>
      </c>
    </row>
  </sheetData>
  <sheetProtection password="F030" sheet="1" objects="1" scenarios="1"/>
  <mergeCells count="2">
    <mergeCell ref="A1:F1"/>
    <mergeCell ref="H1:M1"/>
  </mergeCells>
  <printOptions horizontalCentered="1"/>
  <pageMargins left="0.75" right="0.75" top="1" bottom="1" header="0.5" footer="0.5"/>
  <pageSetup paperSize="199" scale="76" orientation="landscape" r:id="rId1"/>
  <headerFooter alignWithMargins="0">
    <oddHeader>&amp;CCALCULATION SPREADSHEET FOR GPSA ENGINEERING DATA BOOK, 13&amp;Xth&amp;X ED.
EXAMPLE 23-11</oddHeader>
  </headerFooter>
  <ignoredErrors>
    <ignoredError sqref="J14:J20"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zoomScale="80" zoomScaleNormal="80" workbookViewId="0">
      <selection activeCell="B42" sqref="B42"/>
    </sheetView>
  </sheetViews>
  <sheetFormatPr defaultRowHeight="15" x14ac:dyDescent="0.25"/>
  <cols>
    <col min="1" max="1" width="21.42578125" style="9" customWidth="1"/>
    <col min="2" max="2" width="9.140625" style="16"/>
    <col min="3" max="3" width="22.28515625" style="16" customWidth="1"/>
    <col min="4" max="4" width="10.140625" style="9" customWidth="1"/>
    <col min="5" max="5" width="6.5703125" style="9" customWidth="1"/>
    <col min="6" max="6" width="9.5703125" style="9" customWidth="1"/>
    <col min="7" max="7" width="17" style="9" customWidth="1"/>
    <col min="8" max="8" width="9.140625" style="9"/>
    <col min="9" max="9" width="21.28515625" style="9" customWidth="1"/>
    <col min="10" max="10" width="9.140625" style="16"/>
    <col min="11" max="11" width="20" style="16" customWidth="1"/>
    <col min="12" max="12" width="10.7109375" style="9" bestFit="1" customWidth="1"/>
    <col min="13" max="13" width="9.140625" style="9"/>
    <col min="14" max="14" width="13.140625" style="9" customWidth="1"/>
    <col min="15" max="15" width="11.28515625" style="9" customWidth="1"/>
    <col min="16" max="16384" width="9.140625" style="9"/>
  </cols>
  <sheetData>
    <row r="1" spans="1:15" ht="41.25" customHeight="1" x14ac:dyDescent="0.25">
      <c r="A1" s="194" t="s">
        <v>168</v>
      </c>
      <c r="B1" s="195"/>
      <c r="C1" s="195"/>
      <c r="D1" s="195"/>
      <c r="E1" s="195"/>
      <c r="F1" s="195"/>
      <c r="G1" s="195"/>
      <c r="I1" s="196" t="s">
        <v>168</v>
      </c>
      <c r="J1" s="197"/>
      <c r="K1" s="197"/>
      <c r="L1" s="197"/>
      <c r="M1" s="197"/>
      <c r="N1" s="197"/>
      <c r="O1" s="197"/>
    </row>
    <row r="2" spans="1:15" ht="21" customHeight="1" x14ac:dyDescent="0.25">
      <c r="A2" s="6" t="s">
        <v>2</v>
      </c>
      <c r="B2" s="18"/>
      <c r="C2" s="18"/>
      <c r="D2" s="18"/>
      <c r="E2" s="18"/>
      <c r="F2" s="18"/>
      <c r="G2" s="18"/>
      <c r="I2" s="193" t="s">
        <v>304</v>
      </c>
      <c r="J2" s="193"/>
      <c r="K2" s="193"/>
      <c r="L2" s="193"/>
      <c r="M2" s="193"/>
      <c r="N2" s="193"/>
      <c r="O2" s="193"/>
    </row>
    <row r="3" spans="1:15" ht="30" x14ac:dyDescent="0.25">
      <c r="A3" s="42" t="s">
        <v>107</v>
      </c>
      <c r="B3" s="57" t="s">
        <v>169</v>
      </c>
      <c r="C3" s="57" t="s">
        <v>170</v>
      </c>
      <c r="D3" s="57" t="s">
        <v>171</v>
      </c>
      <c r="E3" s="47" t="s">
        <v>173</v>
      </c>
      <c r="F3" s="47" t="s">
        <v>174</v>
      </c>
      <c r="G3" s="47" t="s">
        <v>175</v>
      </c>
      <c r="I3" s="45" t="s">
        <v>107</v>
      </c>
      <c r="J3" s="58" t="s">
        <v>169</v>
      </c>
      <c r="K3" s="58" t="s">
        <v>170</v>
      </c>
      <c r="L3" s="58" t="s">
        <v>171</v>
      </c>
      <c r="M3" s="50" t="s">
        <v>310</v>
      </c>
      <c r="N3" s="50" t="s">
        <v>311</v>
      </c>
      <c r="O3" s="50" t="s">
        <v>175</v>
      </c>
    </row>
    <row r="4" spans="1:15" x14ac:dyDescent="0.25">
      <c r="A4" s="6" t="s">
        <v>172</v>
      </c>
      <c r="B4" s="103">
        <v>0.1</v>
      </c>
      <c r="C4" s="7">
        <v>1.2699999999999999E-2</v>
      </c>
      <c r="D4" s="7">
        <v>44.01</v>
      </c>
      <c r="E4" s="13">
        <f>D4^0.3333</f>
        <v>3.530170416392274</v>
      </c>
      <c r="F4" s="63">
        <f>B4*E4</f>
        <v>0.35301704163922742</v>
      </c>
      <c r="G4" s="59">
        <f>F4*C4</f>
        <v>4.4833164288181878E-3</v>
      </c>
      <c r="I4" s="10" t="s">
        <v>172</v>
      </c>
      <c r="J4" s="178">
        <v>0.1</v>
      </c>
      <c r="K4" s="11">
        <v>1.2699999999999999E-2</v>
      </c>
      <c r="L4" s="11">
        <v>44.01</v>
      </c>
      <c r="M4" s="14">
        <f>L4^0.3333</f>
        <v>3.530170416392274</v>
      </c>
      <c r="N4" s="64">
        <f>J4*M4</f>
        <v>0.35301704163922742</v>
      </c>
      <c r="O4" s="61">
        <f>N4*K4</f>
        <v>4.4833164288181878E-3</v>
      </c>
    </row>
    <row r="5" spans="1:15" x14ac:dyDescent="0.25">
      <c r="A5" s="6" t="s">
        <v>176</v>
      </c>
      <c r="B5" s="103">
        <v>0.2</v>
      </c>
      <c r="C5" s="7">
        <v>1.3599999999999999E-2</v>
      </c>
      <c r="D5" s="7">
        <v>34.076000000000001</v>
      </c>
      <c r="E5" s="13">
        <f t="shared" ref="E5:E8" si="0">D5^0.3333</f>
        <v>3.2416425296728089</v>
      </c>
      <c r="F5" s="63">
        <f t="shared" ref="F5:F8" si="1">B5*E5</f>
        <v>0.64832850593456182</v>
      </c>
      <c r="G5" s="59">
        <f t="shared" ref="G5:G8" si="2">F5*C5</f>
        <v>8.8172676807100406E-3</v>
      </c>
      <c r="I5" s="10" t="s">
        <v>176</v>
      </c>
      <c r="J5" s="178">
        <v>0.2</v>
      </c>
      <c r="K5" s="11">
        <v>1.3599999999999999E-2</v>
      </c>
      <c r="L5" s="11">
        <v>34.076000000000001</v>
      </c>
      <c r="M5" s="14">
        <f t="shared" ref="M5:M8" si="3">L5^0.3333</f>
        <v>3.2416425296728089</v>
      </c>
      <c r="N5" s="64">
        <f t="shared" ref="N5:N8" si="4">J5*M5</f>
        <v>0.64832850593456182</v>
      </c>
      <c r="O5" s="61">
        <f t="shared" ref="O5:O8" si="5">N5*K5</f>
        <v>8.8172676807100406E-3</v>
      </c>
    </row>
    <row r="6" spans="1:15" x14ac:dyDescent="0.25">
      <c r="A6" s="6" t="s">
        <v>177</v>
      </c>
      <c r="B6" s="103">
        <v>0.05</v>
      </c>
      <c r="C6" s="125">
        <v>1.7500000000000002E-2</v>
      </c>
      <c r="D6" s="7">
        <v>28.013000000000002</v>
      </c>
      <c r="E6" s="13">
        <f t="shared" si="0"/>
        <v>3.0367214824991988</v>
      </c>
      <c r="F6" s="63">
        <f t="shared" si="1"/>
        <v>0.15183607412495995</v>
      </c>
      <c r="G6" s="59">
        <f t="shared" si="2"/>
        <v>2.6571312971867991E-3</v>
      </c>
      <c r="I6" s="10" t="s">
        <v>177</v>
      </c>
      <c r="J6" s="178">
        <v>0.05</v>
      </c>
      <c r="K6" s="126">
        <v>1.7500000000000002E-2</v>
      </c>
      <c r="L6" s="11">
        <v>28.013000000000002</v>
      </c>
      <c r="M6" s="14">
        <f t="shared" si="3"/>
        <v>3.0367214824991988</v>
      </c>
      <c r="N6" s="64">
        <f t="shared" si="4"/>
        <v>0.15183607412495995</v>
      </c>
      <c r="O6" s="61">
        <f t="shared" si="5"/>
        <v>2.6571312971867991E-3</v>
      </c>
    </row>
    <row r="7" spans="1:15" x14ac:dyDescent="0.25">
      <c r="A7" s="6" t="s">
        <v>178</v>
      </c>
      <c r="B7" s="103">
        <v>0.6</v>
      </c>
      <c r="C7" s="7">
        <v>2.58E-2</v>
      </c>
      <c r="D7" s="7">
        <v>16.042999999999999</v>
      </c>
      <c r="E7" s="13">
        <f t="shared" si="0"/>
        <v>2.5218641329939224</v>
      </c>
      <c r="F7" s="63">
        <f t="shared" si="1"/>
        <v>1.5131184797963535</v>
      </c>
      <c r="G7" s="59">
        <f t="shared" si="2"/>
        <v>3.9038456778745921E-2</v>
      </c>
      <c r="I7" s="10" t="s">
        <v>178</v>
      </c>
      <c r="J7" s="178">
        <v>0.6</v>
      </c>
      <c r="K7" s="11">
        <v>2.58E-2</v>
      </c>
      <c r="L7" s="11">
        <v>16.042999999999999</v>
      </c>
      <c r="M7" s="14">
        <f t="shared" si="3"/>
        <v>2.5218641329939224</v>
      </c>
      <c r="N7" s="64">
        <f t="shared" si="4"/>
        <v>1.5131184797963535</v>
      </c>
      <c r="O7" s="61">
        <f t="shared" si="5"/>
        <v>3.9038456778745921E-2</v>
      </c>
    </row>
    <row r="8" spans="1:15" x14ac:dyDescent="0.25">
      <c r="A8" s="6" t="s">
        <v>179</v>
      </c>
      <c r="B8" s="103">
        <v>0.05</v>
      </c>
      <c r="C8" s="7">
        <v>1.7600000000000001E-2</v>
      </c>
      <c r="D8" s="7">
        <v>30.07</v>
      </c>
      <c r="E8" s="13">
        <f t="shared" si="0"/>
        <v>3.1092945927123203</v>
      </c>
      <c r="F8" s="63">
        <f t="shared" si="1"/>
        <v>0.15546472963561603</v>
      </c>
      <c r="G8" s="59">
        <f t="shared" si="2"/>
        <v>2.7361792415868422E-3</v>
      </c>
      <c r="I8" s="10" t="s">
        <v>179</v>
      </c>
      <c r="J8" s="178">
        <v>0.05</v>
      </c>
      <c r="K8" s="11">
        <v>1.7600000000000001E-2</v>
      </c>
      <c r="L8" s="11">
        <v>30.07</v>
      </c>
      <c r="M8" s="14">
        <f t="shared" si="3"/>
        <v>3.1092945927123203</v>
      </c>
      <c r="N8" s="64">
        <f t="shared" si="4"/>
        <v>0.15546472963561603</v>
      </c>
      <c r="O8" s="61">
        <f t="shared" si="5"/>
        <v>2.7361792415868422E-3</v>
      </c>
    </row>
    <row r="9" spans="1:15" x14ac:dyDescent="0.25">
      <c r="A9" s="6" t="s">
        <v>123</v>
      </c>
      <c r="B9" s="103">
        <f>SUM(B4:B8)</f>
        <v>1</v>
      </c>
      <c r="C9" s="21"/>
      <c r="D9" s="6"/>
      <c r="E9" s="8"/>
      <c r="F9" s="63">
        <f>SUM(F4:F8)</f>
        <v>2.8217648311307189</v>
      </c>
      <c r="G9" s="59">
        <f>SUM(G4:G8)</f>
        <v>5.7732351427047787E-2</v>
      </c>
      <c r="I9" s="10" t="s">
        <v>123</v>
      </c>
      <c r="J9" s="104">
        <f>SUM(J4:J8)</f>
        <v>1</v>
      </c>
      <c r="K9" s="22"/>
      <c r="L9" s="10"/>
      <c r="M9" s="12"/>
      <c r="N9" s="64">
        <f>SUM(N4:N8)</f>
        <v>2.8217648311307189</v>
      </c>
      <c r="O9" s="61">
        <f>SUM(O4:O8)</f>
        <v>5.7732351427047787E-2</v>
      </c>
    </row>
    <row r="10" spans="1:15" ht="6" customHeight="1" x14ac:dyDescent="0.25">
      <c r="A10" s="6"/>
      <c r="B10" s="103"/>
      <c r="C10" s="21"/>
      <c r="D10" s="6"/>
      <c r="E10" s="8"/>
      <c r="F10" s="7"/>
      <c r="G10" s="7"/>
      <c r="I10" s="10"/>
      <c r="J10" s="104"/>
      <c r="K10" s="22"/>
      <c r="L10" s="10"/>
      <c r="M10" s="12"/>
      <c r="N10" s="11"/>
      <c r="O10" s="11"/>
    </row>
    <row r="11" spans="1:15" s="27" customFormat="1" ht="14.25" x14ac:dyDescent="0.2">
      <c r="A11" s="23" t="s">
        <v>181</v>
      </c>
      <c r="B11" s="24"/>
      <c r="C11" s="25"/>
      <c r="D11" s="23"/>
      <c r="E11" s="26"/>
      <c r="F11" s="26"/>
      <c r="G11" s="26"/>
      <c r="I11" s="28" t="s">
        <v>181</v>
      </c>
      <c r="J11" s="29"/>
      <c r="K11" s="30"/>
      <c r="L11" s="28"/>
      <c r="M11" s="31"/>
      <c r="N11" s="31"/>
      <c r="O11" s="31"/>
    </row>
    <row r="12" spans="1:15" ht="31.5" x14ac:dyDescent="0.25">
      <c r="A12" s="35" t="s">
        <v>180</v>
      </c>
      <c r="B12" s="47" t="s">
        <v>1</v>
      </c>
      <c r="C12" s="149">
        <f>G9/F9</f>
        <v>2.0459660844207795E-2</v>
      </c>
      <c r="D12" s="49" t="s">
        <v>81</v>
      </c>
      <c r="E12" s="139"/>
      <c r="F12" s="139"/>
      <c r="G12" s="139"/>
      <c r="I12" s="37" t="s">
        <v>180</v>
      </c>
      <c r="J12" s="50" t="s">
        <v>1</v>
      </c>
      <c r="K12" s="190">
        <f>O9/N9</f>
        <v>2.0459660844207795E-2</v>
      </c>
      <c r="L12" s="52" t="s">
        <v>81</v>
      </c>
      <c r="M12" s="140"/>
      <c r="N12" s="140"/>
      <c r="O12" s="140"/>
    </row>
    <row r="15" spans="1:15" x14ac:dyDescent="0.25">
      <c r="A15" s="15" t="s">
        <v>305</v>
      </c>
    </row>
    <row r="16" spans="1:15" x14ac:dyDescent="0.25">
      <c r="A16" s="15" t="s">
        <v>306</v>
      </c>
    </row>
    <row r="17" spans="1:1" x14ac:dyDescent="0.25">
      <c r="A17" s="15" t="s">
        <v>307</v>
      </c>
    </row>
    <row r="18" spans="1:1" x14ac:dyDescent="0.25">
      <c r="A18" s="15" t="s">
        <v>308</v>
      </c>
    </row>
    <row r="19" spans="1:1" x14ac:dyDescent="0.25">
      <c r="A19" s="15" t="s">
        <v>309</v>
      </c>
    </row>
    <row r="40" spans="9:9" x14ac:dyDescent="0.25">
      <c r="I40" s="176"/>
    </row>
  </sheetData>
  <sheetProtection password="F030" sheet="1" objects="1" scenarios="1"/>
  <mergeCells count="3">
    <mergeCell ref="A1:G1"/>
    <mergeCell ref="I1:O1"/>
    <mergeCell ref="I2:O2"/>
  </mergeCells>
  <printOptions horizontalCentered="1"/>
  <pageMargins left="0.75" right="0.75" top="1" bottom="1" header="0.5" footer="0.5"/>
  <pageSetup paperSize="199" scale="61" orientation="landscape" r:id="rId1"/>
  <headerFooter alignWithMargins="0">
    <oddHeader>&amp;CCALCULATION SPREADSHEET FOR GPSA ENGINEERING DATA BOOK, 13&amp;Xth&amp;X ED.
EXAMPLE 23-12</oddHeader>
  </headerFooter>
  <ignoredErrors>
    <ignoredError sqref="K12"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
  <sheetViews>
    <sheetView zoomScaleNormal="100" workbookViewId="0">
      <selection activeCell="H18" sqref="H18:H19"/>
    </sheetView>
  </sheetViews>
  <sheetFormatPr defaultRowHeight="15" x14ac:dyDescent="0.25"/>
  <cols>
    <col min="1" max="11" width="9.140625" style="1"/>
  </cols>
  <sheetData>
    <row r="1" spans="1:15" x14ac:dyDescent="0.25">
      <c r="A1" s="1" t="s">
        <v>136</v>
      </c>
      <c r="L1" s="1"/>
      <c r="M1" s="1"/>
      <c r="N1" s="1"/>
      <c r="O1" s="1"/>
    </row>
    <row r="2" spans="1:15" s="3" customFormat="1" ht="39" customHeight="1" x14ac:dyDescent="0.2">
      <c r="A2" s="215" t="s">
        <v>284</v>
      </c>
      <c r="B2" s="215"/>
      <c r="C2" s="215"/>
      <c r="D2" s="215"/>
      <c r="E2" s="215"/>
      <c r="F2" s="215"/>
      <c r="G2" s="215"/>
      <c r="H2" s="215"/>
      <c r="I2" s="4"/>
      <c r="J2" s="2"/>
      <c r="K2" s="2"/>
      <c r="L2" s="2"/>
      <c r="M2" s="2"/>
      <c r="N2" s="2"/>
      <c r="O2" s="2"/>
    </row>
    <row r="3" spans="1:15" x14ac:dyDescent="0.25">
      <c r="L3" s="1"/>
      <c r="M3" s="1"/>
      <c r="N3" s="1"/>
      <c r="O3" s="1"/>
    </row>
    <row r="4" spans="1:15" x14ac:dyDescent="0.25">
      <c r="L4" s="1"/>
      <c r="M4" s="1"/>
      <c r="N4" s="1"/>
      <c r="O4" s="1"/>
    </row>
    <row r="5" spans="1:15" x14ac:dyDescent="0.25">
      <c r="L5" s="1"/>
      <c r="M5" s="1"/>
      <c r="N5" s="1"/>
      <c r="O5" s="1"/>
    </row>
    <row r="6" spans="1:15" x14ac:dyDescent="0.25">
      <c r="L6" s="1"/>
      <c r="M6" s="1"/>
      <c r="N6" s="1"/>
      <c r="O6" s="1"/>
    </row>
  </sheetData>
  <mergeCells count="1">
    <mergeCell ref="A2:H2"/>
  </mergeCells>
  <printOptions horizontalCentered="1"/>
  <pageMargins left="0.7" right="0.7" top="0.75" bottom="0.75" header="0.3" footer="0.3"/>
  <pageSetup orientation="portrait" horizontalDpi="4294967293" verticalDpi="4294967293" r:id="rId1"/>
  <headerFooter>
    <oddHeader>&amp;CCALCULATION SPREADSHEET FOR GPSA ENGINEERING DATA BOOK, 13th EDITION
LIMITS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
  <sheetViews>
    <sheetView tabSelected="1" zoomScale="80" zoomScaleNormal="80" workbookViewId="0">
      <selection activeCell="D36" sqref="D36"/>
    </sheetView>
  </sheetViews>
  <sheetFormatPr defaultRowHeight="15" x14ac:dyDescent="0.25"/>
  <cols>
    <col min="1" max="1" width="21.42578125" style="9" customWidth="1"/>
    <col min="2" max="2" width="9.140625" style="16"/>
    <col min="3" max="3" width="15" style="16" customWidth="1"/>
    <col min="4" max="5" width="10.5703125" style="9" customWidth="1"/>
    <col min="6" max="6" width="9.140625" style="9"/>
    <col min="7" max="7" width="14.7109375" style="9" customWidth="1"/>
    <col min="8" max="8" width="9.140625" style="9"/>
    <col min="9" max="9" width="22.140625" style="9" customWidth="1"/>
    <col min="10" max="10" width="9.140625" style="16"/>
    <col min="11" max="11" width="17" style="16" customWidth="1"/>
    <col min="12" max="12" width="10.7109375" style="9" bestFit="1" customWidth="1"/>
    <col min="13" max="14" width="9.140625" style="9"/>
    <col min="15" max="15" width="18" style="9" customWidth="1"/>
    <col min="16" max="16384" width="9.140625" style="9"/>
  </cols>
  <sheetData>
    <row r="1" spans="1:15" s="5" customFormat="1" ht="36.75" customHeight="1" x14ac:dyDescent="0.2">
      <c r="A1" s="194" t="s">
        <v>96</v>
      </c>
      <c r="B1" s="195"/>
      <c r="C1" s="195"/>
      <c r="D1" s="195"/>
      <c r="E1" s="195"/>
      <c r="F1" s="195"/>
      <c r="G1" s="195"/>
      <c r="I1" s="196" t="s">
        <v>96</v>
      </c>
      <c r="J1" s="197"/>
      <c r="K1" s="197"/>
      <c r="L1" s="197"/>
      <c r="M1" s="197"/>
      <c r="N1" s="197"/>
      <c r="O1" s="197"/>
    </row>
    <row r="2" spans="1:15" ht="15" customHeight="1" x14ac:dyDescent="0.25">
      <c r="A2" s="6"/>
      <c r="B2" s="7"/>
      <c r="C2" s="7"/>
      <c r="D2" s="6"/>
      <c r="E2" s="8"/>
      <c r="F2" s="8"/>
      <c r="G2" s="8"/>
      <c r="I2" s="10"/>
      <c r="J2" s="11"/>
      <c r="K2" s="11"/>
      <c r="L2" s="10"/>
      <c r="M2" s="12"/>
      <c r="N2" s="12"/>
      <c r="O2" s="12"/>
    </row>
    <row r="3" spans="1:15" ht="15" customHeight="1" x14ac:dyDescent="0.25">
      <c r="A3" s="192" t="s">
        <v>271</v>
      </c>
      <c r="B3" s="192"/>
      <c r="C3" s="192"/>
      <c r="D3" s="192"/>
      <c r="E3" s="192"/>
      <c r="F3" s="192"/>
      <c r="G3" s="192"/>
      <c r="I3" s="193" t="s">
        <v>97</v>
      </c>
      <c r="J3" s="193"/>
      <c r="K3" s="193"/>
      <c r="L3" s="193"/>
      <c r="M3" s="193"/>
      <c r="N3" s="193"/>
      <c r="O3" s="193"/>
    </row>
    <row r="4" spans="1:15" ht="15" customHeight="1" x14ac:dyDescent="0.25">
      <c r="A4" s="6" t="s">
        <v>98</v>
      </c>
      <c r="B4" s="7" t="s">
        <v>1</v>
      </c>
      <c r="C4" s="7">
        <v>1.5</v>
      </c>
      <c r="D4" s="6" t="s">
        <v>99</v>
      </c>
      <c r="E4" s="8"/>
      <c r="F4" s="8"/>
      <c r="G4" s="8"/>
      <c r="I4" s="10" t="s">
        <v>98</v>
      </c>
      <c r="J4" s="11" t="s">
        <v>1</v>
      </c>
      <c r="K4" s="151">
        <v>1.5</v>
      </c>
      <c r="L4" s="10" t="s">
        <v>99</v>
      </c>
      <c r="M4" s="12"/>
      <c r="N4" s="12"/>
      <c r="O4" s="12"/>
    </row>
    <row r="5" spans="1:15" ht="15" customHeight="1" x14ac:dyDescent="0.25">
      <c r="A5" s="6" t="s">
        <v>100</v>
      </c>
      <c r="B5" s="7" t="s">
        <v>8</v>
      </c>
      <c r="C5" s="13">
        <f>1/C4</f>
        <v>0.66666666666666663</v>
      </c>
      <c r="D5" s="6" t="s">
        <v>101</v>
      </c>
      <c r="E5" s="8"/>
      <c r="F5" s="8"/>
      <c r="G5" s="8"/>
      <c r="I5" s="10" t="s">
        <v>100</v>
      </c>
      <c r="J5" s="11" t="s">
        <v>8</v>
      </c>
      <c r="K5" s="152">
        <f>1/K4</f>
        <v>0.66666666666666663</v>
      </c>
      <c r="L5" s="10" t="s">
        <v>101</v>
      </c>
      <c r="M5" s="12"/>
      <c r="N5" s="12"/>
      <c r="O5" s="12"/>
    </row>
    <row r="6" spans="1:15" x14ac:dyDescent="0.25">
      <c r="A6" s="192" t="s">
        <v>102</v>
      </c>
      <c r="B6" s="192"/>
      <c r="C6" s="192"/>
      <c r="D6" s="192"/>
      <c r="E6" s="192"/>
      <c r="F6" s="192"/>
      <c r="G6" s="192"/>
      <c r="I6" s="193" t="s">
        <v>102</v>
      </c>
      <c r="J6" s="193"/>
      <c r="K6" s="193"/>
      <c r="L6" s="193"/>
      <c r="M6" s="193"/>
      <c r="N6" s="193"/>
      <c r="O6" s="193"/>
    </row>
    <row r="9" spans="1:15" x14ac:dyDescent="0.25">
      <c r="A9" s="15" t="s">
        <v>305</v>
      </c>
    </row>
    <row r="10" spans="1:15" x14ac:dyDescent="0.25">
      <c r="A10" s="15" t="s">
        <v>306</v>
      </c>
    </row>
    <row r="11" spans="1:15" x14ac:dyDescent="0.25">
      <c r="A11" s="15" t="s">
        <v>307</v>
      </c>
    </row>
    <row r="12" spans="1:15" x14ac:dyDescent="0.25">
      <c r="A12" s="15" t="s">
        <v>308</v>
      </c>
    </row>
    <row r="13" spans="1:15" x14ac:dyDescent="0.25">
      <c r="A13" s="15" t="s">
        <v>309</v>
      </c>
    </row>
  </sheetData>
  <sheetProtection password="F030" sheet="1" objects="1" scenarios="1"/>
  <mergeCells count="6">
    <mergeCell ref="A6:G6"/>
    <mergeCell ref="I6:O6"/>
    <mergeCell ref="A1:G1"/>
    <mergeCell ref="I1:O1"/>
    <mergeCell ref="A3:G3"/>
    <mergeCell ref="I3:O3"/>
  </mergeCells>
  <pageMargins left="0.75" right="0.75" top="1" bottom="1" header="0.5" footer="0.5"/>
  <pageSetup paperSize="199" scale="55" orientation="landscape" r:id="rId1"/>
  <headerFooter alignWithMargins="0">
    <oddHeader>&amp;CCALCULATION SPREADSHEET FOR GPSA ENGINEERING DATA BOOK, 13&amp;Xth&amp;X ED.
EXAMPLE 23-1</oddHeader>
  </headerFooter>
  <ignoredErrors>
    <ignoredError sqref="K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zoomScale="80" zoomScaleNormal="80" workbookViewId="0">
      <selection activeCell="H19" sqref="H19"/>
    </sheetView>
  </sheetViews>
  <sheetFormatPr defaultRowHeight="15" x14ac:dyDescent="0.25"/>
  <cols>
    <col min="1" max="1" width="35.7109375" style="9" customWidth="1"/>
    <col min="2" max="2" width="9.140625" style="16"/>
    <col min="3" max="3" width="11.5703125" style="16" customWidth="1"/>
    <col min="4" max="4" width="10.5703125" style="9" customWidth="1"/>
    <col min="5" max="5" width="5.28515625" style="9" customWidth="1"/>
    <col min="6" max="6" width="17" style="9" customWidth="1"/>
    <col min="7" max="7" width="9.140625" style="9"/>
    <col min="8" max="8" width="35.85546875" style="9" customWidth="1"/>
    <col min="9" max="9" width="9.140625" style="16"/>
    <col min="10" max="10" width="12.7109375" style="16" customWidth="1"/>
    <col min="11" max="11" width="10.7109375" style="9" bestFit="1" customWidth="1"/>
    <col min="12" max="12" width="9.140625" style="9"/>
    <col min="13" max="13" width="13.140625" style="9" customWidth="1"/>
    <col min="14" max="16384" width="9.140625" style="9"/>
  </cols>
  <sheetData>
    <row r="1" spans="1:13" s="5" customFormat="1" ht="59.25" customHeight="1" x14ac:dyDescent="0.2">
      <c r="A1" s="194" t="s">
        <v>278</v>
      </c>
      <c r="B1" s="195"/>
      <c r="C1" s="195"/>
      <c r="D1" s="195"/>
      <c r="E1" s="195"/>
      <c r="F1" s="195"/>
      <c r="H1" s="196" t="s">
        <v>278</v>
      </c>
      <c r="I1" s="197"/>
      <c r="J1" s="197"/>
      <c r="K1" s="197"/>
      <c r="L1" s="197"/>
      <c r="M1" s="197"/>
    </row>
    <row r="2" spans="1:13" ht="21" customHeight="1" x14ac:dyDescent="0.25">
      <c r="A2" s="17"/>
      <c r="B2" s="18"/>
      <c r="C2" s="18"/>
      <c r="D2" s="18"/>
      <c r="E2" s="18"/>
      <c r="F2" s="18"/>
      <c r="H2" s="19"/>
      <c r="I2" s="20"/>
      <c r="J2" s="20"/>
      <c r="K2" s="20"/>
      <c r="L2" s="20"/>
      <c r="M2" s="20"/>
    </row>
    <row r="3" spans="1:13" x14ac:dyDescent="0.25">
      <c r="A3" s="6" t="s">
        <v>2</v>
      </c>
      <c r="B3" s="7"/>
      <c r="C3" s="7"/>
      <c r="D3" s="6"/>
      <c r="E3" s="8"/>
      <c r="F3" s="8"/>
      <c r="H3" s="10" t="s">
        <v>2</v>
      </c>
      <c r="I3" s="11"/>
      <c r="J3" s="11"/>
      <c r="K3" s="10"/>
      <c r="L3" s="12"/>
      <c r="M3" s="12"/>
    </row>
    <row r="4" spans="1:13" x14ac:dyDescent="0.25">
      <c r="A4" s="6" t="s">
        <v>27</v>
      </c>
      <c r="B4" s="7" t="s">
        <v>1</v>
      </c>
      <c r="C4" s="7">
        <v>1000</v>
      </c>
      <c r="D4" s="6" t="s">
        <v>0</v>
      </c>
      <c r="E4" s="8"/>
      <c r="F4" s="8"/>
      <c r="H4" s="10" t="s">
        <v>27</v>
      </c>
      <c r="I4" s="11" t="s">
        <v>1</v>
      </c>
      <c r="J4" s="151">
        <v>1000</v>
      </c>
      <c r="K4" s="10" t="s">
        <v>0</v>
      </c>
      <c r="L4" s="12"/>
      <c r="M4" s="12"/>
    </row>
    <row r="5" spans="1:13" x14ac:dyDescent="0.25">
      <c r="A5" s="6" t="s">
        <v>28</v>
      </c>
      <c r="B5" s="7" t="s">
        <v>8</v>
      </c>
      <c r="C5" s="7">
        <v>100</v>
      </c>
      <c r="D5" s="6" t="s">
        <v>5</v>
      </c>
      <c r="E5" s="8"/>
      <c r="F5" s="8"/>
      <c r="H5" s="10" t="s">
        <v>28</v>
      </c>
      <c r="I5" s="11" t="s">
        <v>8</v>
      </c>
      <c r="J5" s="151">
        <v>100</v>
      </c>
      <c r="K5" s="10" t="s">
        <v>5</v>
      </c>
      <c r="L5" s="12"/>
      <c r="M5" s="12"/>
    </row>
    <row r="6" spans="1:13" ht="16.5" x14ac:dyDescent="0.3">
      <c r="A6" s="6" t="s">
        <v>92</v>
      </c>
      <c r="B6" s="7" t="s">
        <v>1</v>
      </c>
      <c r="C6" s="7">
        <v>433.9</v>
      </c>
      <c r="D6" s="6" t="s">
        <v>15</v>
      </c>
      <c r="E6" s="8"/>
      <c r="F6" s="8"/>
      <c r="H6" s="153" t="s">
        <v>92</v>
      </c>
      <c r="I6" s="11" t="s">
        <v>1</v>
      </c>
      <c r="J6" s="151">
        <v>433.9</v>
      </c>
      <c r="K6" s="10" t="s">
        <v>15</v>
      </c>
      <c r="L6" s="12"/>
      <c r="M6" s="12"/>
    </row>
    <row r="7" spans="1:13" ht="16.5" x14ac:dyDescent="0.3">
      <c r="A7" s="6" t="s">
        <v>93</v>
      </c>
      <c r="B7" s="7" t="s">
        <v>1</v>
      </c>
      <c r="C7" s="7">
        <v>826.9</v>
      </c>
      <c r="D7" s="6" t="s">
        <v>0</v>
      </c>
      <c r="E7" s="8"/>
      <c r="F7" s="8"/>
      <c r="H7" s="10" t="s">
        <v>93</v>
      </c>
      <c r="I7" s="11" t="s">
        <v>1</v>
      </c>
      <c r="J7" s="151">
        <v>826.9</v>
      </c>
      <c r="K7" s="10" t="s">
        <v>0</v>
      </c>
      <c r="L7" s="12"/>
      <c r="M7" s="12"/>
    </row>
    <row r="8" spans="1:13" ht="16.5" x14ac:dyDescent="0.3">
      <c r="A8" s="6" t="s">
        <v>103</v>
      </c>
      <c r="B8" s="7" t="s">
        <v>1</v>
      </c>
      <c r="C8" s="7">
        <v>0.2</v>
      </c>
      <c r="D8" s="6"/>
      <c r="E8" s="8"/>
      <c r="F8" s="8"/>
      <c r="H8" s="10" t="s">
        <v>273</v>
      </c>
      <c r="I8" s="11" t="s">
        <v>1</v>
      </c>
      <c r="J8" s="151">
        <v>0.2</v>
      </c>
      <c r="K8" s="10"/>
      <c r="L8" s="12"/>
      <c r="M8" s="12"/>
    </row>
    <row r="9" spans="1:13" x14ac:dyDescent="0.25">
      <c r="A9" s="6"/>
      <c r="B9" s="7"/>
      <c r="C9" s="21"/>
      <c r="D9" s="6"/>
      <c r="E9" s="8"/>
      <c r="F9" s="8"/>
      <c r="H9" s="10"/>
      <c r="I9" s="11"/>
      <c r="J9" s="22"/>
      <c r="K9" s="10"/>
      <c r="L9" s="12"/>
      <c r="M9" s="12"/>
    </row>
    <row r="10" spans="1:13" s="27" customFormat="1" ht="14.25" x14ac:dyDescent="0.2">
      <c r="A10" s="23" t="s">
        <v>31</v>
      </c>
      <c r="B10" s="24"/>
      <c r="C10" s="25"/>
      <c r="D10" s="23"/>
      <c r="E10" s="26"/>
      <c r="F10" s="26"/>
      <c r="H10" s="28" t="s">
        <v>31</v>
      </c>
      <c r="I10" s="29"/>
      <c r="J10" s="30"/>
      <c r="K10" s="28"/>
      <c r="L10" s="31"/>
      <c r="M10" s="31"/>
    </row>
    <row r="11" spans="1:13" ht="18.75" x14ac:dyDescent="0.3">
      <c r="A11" s="6" t="s">
        <v>95</v>
      </c>
      <c r="B11" s="7"/>
      <c r="C11" s="21"/>
      <c r="D11" s="6"/>
      <c r="E11" s="8"/>
      <c r="F11" s="8"/>
      <c r="H11" s="10" t="s">
        <v>104</v>
      </c>
      <c r="I11" s="11"/>
      <c r="J11" s="22"/>
      <c r="K11" s="10"/>
      <c r="L11" s="12"/>
      <c r="M11" s="12"/>
    </row>
    <row r="12" spans="1:13" ht="18.75" x14ac:dyDescent="0.3">
      <c r="A12" s="32" t="s">
        <v>94</v>
      </c>
      <c r="B12" s="7" t="s">
        <v>1</v>
      </c>
      <c r="C12" s="33">
        <v>29.8</v>
      </c>
      <c r="D12" s="6" t="s">
        <v>5</v>
      </c>
      <c r="E12" s="8"/>
      <c r="F12" s="8"/>
      <c r="H12" s="10" t="s">
        <v>94</v>
      </c>
      <c r="I12" s="11" t="s">
        <v>1</v>
      </c>
      <c r="J12" s="154">
        <v>29.8</v>
      </c>
      <c r="K12" s="10" t="s">
        <v>5</v>
      </c>
      <c r="L12" s="12"/>
      <c r="M12" s="12"/>
    </row>
    <row r="13" spans="1:13" ht="31.5" x14ac:dyDescent="0.3">
      <c r="A13" s="35" t="s">
        <v>272</v>
      </c>
      <c r="B13" s="7" t="s">
        <v>1</v>
      </c>
      <c r="C13" s="36">
        <f>C6-C12</f>
        <v>404.09999999999997</v>
      </c>
      <c r="D13" s="6" t="s">
        <v>15</v>
      </c>
      <c r="E13" s="8"/>
      <c r="F13" s="8"/>
      <c r="H13" s="37" t="s">
        <v>272</v>
      </c>
      <c r="I13" s="11" t="s">
        <v>1</v>
      </c>
      <c r="J13" s="155">
        <f>J6-J12</f>
        <v>404.09999999999997</v>
      </c>
      <c r="K13" s="10" t="s">
        <v>15</v>
      </c>
      <c r="L13" s="12"/>
      <c r="M13" s="12"/>
    </row>
    <row r="14" spans="1:13" ht="31.5" x14ac:dyDescent="0.3">
      <c r="A14" s="39" t="s">
        <v>274</v>
      </c>
      <c r="B14" s="40" t="s">
        <v>1</v>
      </c>
      <c r="C14" s="41">
        <f>C7*C13/(C6+(C8*(1-C8)*C12))</f>
        <v>761.73846736028156</v>
      </c>
      <c r="D14" s="42" t="s">
        <v>0</v>
      </c>
      <c r="E14" s="43"/>
      <c r="F14" s="43"/>
      <c r="H14" s="20" t="s">
        <v>274</v>
      </c>
      <c r="I14" s="44" t="s">
        <v>1</v>
      </c>
      <c r="J14" s="156">
        <f>J7*J13/(J6+(J8*(1-J8)*J12))</f>
        <v>761.73846736028156</v>
      </c>
      <c r="K14" s="45" t="s">
        <v>0</v>
      </c>
      <c r="L14" s="46"/>
      <c r="M14" s="46"/>
    </row>
    <row r="15" spans="1:13" ht="31.5" x14ac:dyDescent="0.3">
      <c r="A15" s="35" t="s">
        <v>275</v>
      </c>
      <c r="B15" s="47" t="s">
        <v>1</v>
      </c>
      <c r="C15" s="48">
        <f>(C5+459.67)/C13</f>
        <v>1.3849789656025739</v>
      </c>
      <c r="D15" s="49" t="s">
        <v>18</v>
      </c>
      <c r="E15" s="8"/>
      <c r="F15" s="8"/>
      <c r="H15" s="37" t="s">
        <v>275</v>
      </c>
      <c r="I15" s="50" t="s">
        <v>1</v>
      </c>
      <c r="J15" s="157">
        <f>(J5+459.67)/J13</f>
        <v>1.3849789656025739</v>
      </c>
      <c r="K15" s="52" t="s">
        <v>18</v>
      </c>
      <c r="L15" s="12"/>
      <c r="M15" s="12"/>
    </row>
    <row r="16" spans="1:13" ht="16.5" x14ac:dyDescent="0.3">
      <c r="A16" s="6" t="s">
        <v>276</v>
      </c>
      <c r="B16" s="7" t="s">
        <v>1</v>
      </c>
      <c r="C16" s="36">
        <f>C4/C14</f>
        <v>1.3127865308750741</v>
      </c>
      <c r="D16" s="6" t="s">
        <v>18</v>
      </c>
      <c r="E16" s="8"/>
      <c r="F16" s="8"/>
      <c r="H16" s="10" t="s">
        <v>276</v>
      </c>
      <c r="I16" s="50" t="s">
        <v>1</v>
      </c>
      <c r="J16" s="157">
        <f>J4/J14</f>
        <v>1.3127865308750741</v>
      </c>
      <c r="K16" s="52" t="s">
        <v>18</v>
      </c>
      <c r="L16" s="12"/>
      <c r="M16" s="12"/>
    </row>
    <row r="17" spans="1:13" ht="37.5" x14ac:dyDescent="0.35">
      <c r="A17" s="53" t="s">
        <v>277</v>
      </c>
      <c r="B17" s="47" t="s">
        <v>1</v>
      </c>
      <c r="C17" s="48">
        <v>0.83099999999999996</v>
      </c>
      <c r="D17" s="49" t="s">
        <v>18</v>
      </c>
      <c r="E17" s="8"/>
      <c r="F17" s="8"/>
      <c r="H17" s="54" t="s">
        <v>277</v>
      </c>
      <c r="I17" s="50" t="s">
        <v>1</v>
      </c>
      <c r="J17" s="157">
        <v>0.83099999999999996</v>
      </c>
      <c r="K17" s="52" t="s">
        <v>18</v>
      </c>
      <c r="L17" s="12"/>
      <c r="M17" s="12"/>
    </row>
    <row r="20" spans="1:13" x14ac:dyDescent="0.25">
      <c r="A20" s="15" t="s">
        <v>305</v>
      </c>
    </row>
    <row r="21" spans="1:13" x14ac:dyDescent="0.25">
      <c r="A21" s="15" t="s">
        <v>306</v>
      </c>
    </row>
    <row r="22" spans="1:13" x14ac:dyDescent="0.25">
      <c r="A22" s="15" t="s">
        <v>307</v>
      </c>
    </row>
    <row r="23" spans="1:13" x14ac:dyDescent="0.25">
      <c r="A23" s="15" t="s">
        <v>308</v>
      </c>
    </row>
    <row r="24" spans="1:13" x14ac:dyDescent="0.25">
      <c r="A24" s="15" t="s">
        <v>309</v>
      </c>
    </row>
  </sheetData>
  <sheetProtection password="F030" sheet="1" objects="1" scenarios="1"/>
  <mergeCells count="2">
    <mergeCell ref="A1:F1"/>
    <mergeCell ref="H1:M1"/>
  </mergeCells>
  <pageMargins left="0.7" right="0.7" top="0.75" bottom="0.75" header="0.3" footer="0.3"/>
  <pageSetup paperSize="201" scale="48" orientation="portrait" r:id="rId1"/>
  <headerFooter>
    <oddHeader>&amp;CCALCULATION SPREADSHEET FOR GPSA ENGINEERING DATA BOOK 13th EDITION
EXAMPLE 23-2</oddHeader>
  </headerFooter>
  <ignoredErrors>
    <ignoredError sqref="J13:J1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topLeftCell="A2" zoomScale="80" zoomScaleNormal="80" workbookViewId="0">
      <selection activeCell="M10" sqref="M10"/>
    </sheetView>
  </sheetViews>
  <sheetFormatPr defaultRowHeight="15" x14ac:dyDescent="0.25"/>
  <cols>
    <col min="1" max="1" width="35.7109375" style="9" customWidth="1"/>
    <col min="2" max="2" width="9.140625" style="16"/>
    <col min="3" max="3" width="11.5703125" style="16" customWidth="1"/>
    <col min="4" max="4" width="10.5703125" style="9" customWidth="1"/>
    <col min="5" max="5" width="13.42578125" style="9" customWidth="1"/>
    <col min="6" max="6" width="17" style="9" customWidth="1"/>
    <col min="7" max="7" width="9.140625" style="9"/>
    <col min="8" max="8" width="35.85546875" style="9" customWidth="1"/>
    <col min="9" max="9" width="9.140625" style="16"/>
    <col min="10" max="10" width="12.7109375" style="16" customWidth="1"/>
    <col min="11" max="11" width="10.7109375" style="9" bestFit="1" customWidth="1"/>
    <col min="12" max="12" width="9.140625" style="9"/>
    <col min="13" max="13" width="13.140625" style="9" customWidth="1"/>
    <col min="14" max="16384" width="9.140625" style="9"/>
  </cols>
  <sheetData>
    <row r="1" spans="1:13" s="5" customFormat="1" ht="59.25" customHeight="1" x14ac:dyDescent="0.2">
      <c r="A1" s="194" t="s">
        <v>105</v>
      </c>
      <c r="B1" s="195"/>
      <c r="C1" s="195"/>
      <c r="D1" s="195"/>
      <c r="E1" s="195"/>
      <c r="F1" s="195"/>
      <c r="H1" s="196" t="s">
        <v>105</v>
      </c>
      <c r="I1" s="197"/>
      <c r="J1" s="197"/>
      <c r="K1" s="197"/>
      <c r="L1" s="197"/>
      <c r="M1" s="197"/>
    </row>
    <row r="2" spans="1:13" ht="21" customHeight="1" x14ac:dyDescent="0.25">
      <c r="A2" s="17" t="s">
        <v>106</v>
      </c>
      <c r="B2" s="18"/>
      <c r="C2" s="18"/>
      <c r="D2" s="18"/>
      <c r="E2" s="55"/>
      <c r="F2" s="55"/>
      <c r="H2" s="19" t="s">
        <v>106</v>
      </c>
      <c r="I2" s="20"/>
      <c r="J2" s="20"/>
      <c r="K2" s="20"/>
      <c r="L2" s="20"/>
      <c r="M2" s="20"/>
    </row>
    <row r="3" spans="1:13" x14ac:dyDescent="0.25">
      <c r="A3" s="56">
        <v>1</v>
      </c>
      <c r="B3" s="7">
        <v>2</v>
      </c>
      <c r="C3" s="7">
        <v>3</v>
      </c>
      <c r="D3" s="7" t="s">
        <v>126</v>
      </c>
      <c r="E3" s="7">
        <v>5</v>
      </c>
      <c r="F3" s="7" t="s">
        <v>127</v>
      </c>
      <c r="H3" s="11">
        <v>1</v>
      </c>
      <c r="I3" s="11">
        <v>2</v>
      </c>
      <c r="J3" s="11">
        <v>3</v>
      </c>
      <c r="K3" s="11" t="s">
        <v>126</v>
      </c>
      <c r="L3" s="11">
        <v>5</v>
      </c>
      <c r="M3" s="11" t="s">
        <v>127</v>
      </c>
    </row>
    <row r="4" spans="1:13" s="5" customFormat="1" ht="45" x14ac:dyDescent="0.2">
      <c r="A4" s="49" t="s">
        <v>107</v>
      </c>
      <c r="B4" s="57" t="s">
        <v>108</v>
      </c>
      <c r="C4" s="47" t="s">
        <v>109</v>
      </c>
      <c r="D4" s="49" t="s">
        <v>110</v>
      </c>
      <c r="E4" s="57" t="s">
        <v>111</v>
      </c>
      <c r="F4" s="57" t="s">
        <v>112</v>
      </c>
      <c r="H4" s="52" t="s">
        <v>107</v>
      </c>
      <c r="I4" s="58" t="s">
        <v>108</v>
      </c>
      <c r="J4" s="50" t="s">
        <v>109</v>
      </c>
      <c r="K4" s="52" t="s">
        <v>110</v>
      </c>
      <c r="L4" s="58" t="s">
        <v>111</v>
      </c>
      <c r="M4" s="58" t="s">
        <v>112</v>
      </c>
    </row>
    <row r="5" spans="1:13" x14ac:dyDescent="0.25">
      <c r="A5" s="6" t="s">
        <v>113</v>
      </c>
      <c r="B5" s="59">
        <v>0.20896000000000001</v>
      </c>
      <c r="C5" s="13">
        <v>16.042999999999999</v>
      </c>
      <c r="D5" s="60">
        <f>B5*C5</f>
        <v>3.3523452799999998</v>
      </c>
      <c r="E5" s="7" t="s">
        <v>125</v>
      </c>
      <c r="F5" s="7" t="s">
        <v>125</v>
      </c>
      <c r="H5" s="10" t="s">
        <v>113</v>
      </c>
      <c r="I5" s="158">
        <v>0.20896000000000001</v>
      </c>
      <c r="J5" s="14">
        <v>16.042999999999999</v>
      </c>
      <c r="K5" s="62">
        <f>I5*J5</f>
        <v>3.3523452799999998</v>
      </c>
      <c r="L5" s="11" t="s">
        <v>125</v>
      </c>
      <c r="M5" s="11" t="s">
        <v>125</v>
      </c>
    </row>
    <row r="6" spans="1:13" x14ac:dyDescent="0.25">
      <c r="A6" s="6" t="s">
        <v>114</v>
      </c>
      <c r="B6" s="59">
        <v>0.39729999999999999</v>
      </c>
      <c r="C6" s="13">
        <v>44.01</v>
      </c>
      <c r="D6" s="60">
        <f t="shared" ref="D6:D15" si="0">B6*C6</f>
        <v>17.485173</v>
      </c>
      <c r="E6" s="7">
        <v>51.015999999999998</v>
      </c>
      <c r="F6" s="63">
        <f>D6/E6</f>
        <v>0.34273900344989805</v>
      </c>
      <c r="H6" s="10" t="s">
        <v>114</v>
      </c>
      <c r="I6" s="158">
        <v>0.39729999999999999</v>
      </c>
      <c r="J6" s="14">
        <v>44.01</v>
      </c>
      <c r="K6" s="62">
        <f t="shared" ref="K6:K15" si="1">I6*J6</f>
        <v>17.485173</v>
      </c>
      <c r="L6" s="11">
        <v>51.015999999999998</v>
      </c>
      <c r="M6" s="64">
        <f>K6/L6</f>
        <v>0.34273900344989805</v>
      </c>
    </row>
    <row r="7" spans="1:13" x14ac:dyDescent="0.25">
      <c r="A7" s="6" t="s">
        <v>115</v>
      </c>
      <c r="B7" s="59">
        <v>1.8859999999999998E-2</v>
      </c>
      <c r="C7" s="13">
        <v>30.07</v>
      </c>
      <c r="D7" s="60">
        <f t="shared" si="0"/>
        <v>0.56712019999999996</v>
      </c>
      <c r="E7" s="7" t="s">
        <v>125</v>
      </c>
      <c r="F7" s="63" t="s">
        <v>125</v>
      </c>
      <c r="H7" s="10" t="s">
        <v>115</v>
      </c>
      <c r="I7" s="158">
        <v>1.8859999999999998E-2</v>
      </c>
      <c r="J7" s="14">
        <v>30.07</v>
      </c>
      <c r="K7" s="62">
        <f t="shared" si="1"/>
        <v>0.56712019999999996</v>
      </c>
      <c r="L7" s="11" t="s">
        <v>125</v>
      </c>
      <c r="M7" s="64" t="s">
        <v>125</v>
      </c>
    </row>
    <row r="8" spans="1:13" x14ac:dyDescent="0.25">
      <c r="A8" s="6" t="s">
        <v>116</v>
      </c>
      <c r="B8" s="59">
        <v>2.3869999999999999E-2</v>
      </c>
      <c r="C8" s="13">
        <v>44.097000000000001</v>
      </c>
      <c r="D8" s="60">
        <f t="shared" si="0"/>
        <v>1.05259539</v>
      </c>
      <c r="E8" s="7">
        <v>31.619</v>
      </c>
      <c r="F8" s="63">
        <f t="shared" ref="F8:F15" si="2">D8/E8</f>
        <v>3.328996457825991E-2</v>
      </c>
      <c r="H8" s="10" t="s">
        <v>116</v>
      </c>
      <c r="I8" s="158">
        <v>2.3869999999999999E-2</v>
      </c>
      <c r="J8" s="14">
        <v>44.097000000000001</v>
      </c>
      <c r="K8" s="62">
        <f t="shared" si="1"/>
        <v>1.05259539</v>
      </c>
      <c r="L8" s="11">
        <v>31.619</v>
      </c>
      <c r="M8" s="64">
        <f t="shared" ref="M8:M15" si="3">K8/L8</f>
        <v>3.328996457825991E-2</v>
      </c>
    </row>
    <row r="9" spans="1:13" x14ac:dyDescent="0.25">
      <c r="A9" s="6" t="s">
        <v>117</v>
      </c>
      <c r="B9" s="59">
        <v>3.5860000000000003E-2</v>
      </c>
      <c r="C9" s="13">
        <v>58.122999999999998</v>
      </c>
      <c r="D9" s="60">
        <f t="shared" si="0"/>
        <v>2.0842907799999999</v>
      </c>
      <c r="E9" s="7">
        <v>36.423000000000002</v>
      </c>
      <c r="F9" s="63">
        <f t="shared" si="2"/>
        <v>5.7224577327512828E-2</v>
      </c>
      <c r="H9" s="10" t="s">
        <v>117</v>
      </c>
      <c r="I9" s="158">
        <v>3.5860000000000003E-2</v>
      </c>
      <c r="J9" s="14">
        <v>58.122999999999998</v>
      </c>
      <c r="K9" s="62">
        <f t="shared" si="1"/>
        <v>2.0842907799999999</v>
      </c>
      <c r="L9" s="11">
        <v>36.423000000000002</v>
      </c>
      <c r="M9" s="64">
        <f t="shared" si="3"/>
        <v>5.7224577327512828E-2</v>
      </c>
    </row>
    <row r="10" spans="1:13" s="27" customFormat="1" x14ac:dyDescent="0.25">
      <c r="A10" s="6" t="s">
        <v>118</v>
      </c>
      <c r="B10" s="59">
        <v>2.4469999999999999E-2</v>
      </c>
      <c r="C10" s="13">
        <v>72.150000000000006</v>
      </c>
      <c r="D10" s="60">
        <f t="shared" si="0"/>
        <v>1.7655105</v>
      </c>
      <c r="E10" s="7">
        <v>39.36</v>
      </c>
      <c r="F10" s="63">
        <f t="shared" si="2"/>
        <v>4.4855449695121952E-2</v>
      </c>
      <c r="H10" s="10" t="s">
        <v>118</v>
      </c>
      <c r="I10" s="158">
        <v>2.4469999999999999E-2</v>
      </c>
      <c r="J10" s="14">
        <v>72.150000000000006</v>
      </c>
      <c r="K10" s="62">
        <f t="shared" si="1"/>
        <v>1.7655105</v>
      </c>
      <c r="L10" s="11">
        <v>39.36</v>
      </c>
      <c r="M10" s="161">
        <f t="shared" si="3"/>
        <v>4.4855449695121952E-2</v>
      </c>
    </row>
    <row r="11" spans="1:13" x14ac:dyDescent="0.25">
      <c r="A11" s="6" t="s">
        <v>119</v>
      </c>
      <c r="B11" s="59">
        <v>1.8440000000000002E-2</v>
      </c>
      <c r="C11" s="13">
        <v>86.177000000000007</v>
      </c>
      <c r="D11" s="60">
        <f t="shared" si="0"/>
        <v>1.5891038800000004</v>
      </c>
      <c r="E11" s="7">
        <v>41.4</v>
      </c>
      <c r="F11" s="63">
        <f t="shared" si="2"/>
        <v>3.8384151690821267E-2</v>
      </c>
      <c r="H11" s="10" t="s">
        <v>119</v>
      </c>
      <c r="I11" s="158">
        <v>1.8440000000000002E-2</v>
      </c>
      <c r="J11" s="14">
        <v>86.177000000000007</v>
      </c>
      <c r="K11" s="62">
        <f t="shared" si="1"/>
        <v>1.5891038800000004</v>
      </c>
      <c r="L11" s="11">
        <v>41.4</v>
      </c>
      <c r="M11" s="64">
        <f t="shared" si="3"/>
        <v>3.8384151690821267E-2</v>
      </c>
    </row>
    <row r="12" spans="1:13" x14ac:dyDescent="0.25">
      <c r="A12" s="6" t="s">
        <v>124</v>
      </c>
      <c r="B12" s="59">
        <v>2.9829999999999999E-2</v>
      </c>
      <c r="C12" s="13">
        <v>100.20399999999999</v>
      </c>
      <c r="D12" s="60">
        <f t="shared" si="0"/>
        <v>2.9890853199999996</v>
      </c>
      <c r="E12" s="7">
        <v>42.92</v>
      </c>
      <c r="F12" s="63">
        <f t="shared" si="2"/>
        <v>6.9643180801491136E-2</v>
      </c>
      <c r="H12" s="10" t="s">
        <v>124</v>
      </c>
      <c r="I12" s="158">
        <v>2.9829999999999999E-2</v>
      </c>
      <c r="J12" s="14">
        <v>100.20399999999999</v>
      </c>
      <c r="K12" s="62">
        <f t="shared" si="1"/>
        <v>2.9890853199999996</v>
      </c>
      <c r="L12" s="11">
        <v>42.92</v>
      </c>
      <c r="M12" s="64">
        <f t="shared" si="3"/>
        <v>6.9643180801491136E-2</v>
      </c>
    </row>
    <row r="13" spans="1:13" x14ac:dyDescent="0.25">
      <c r="A13" s="6" t="s">
        <v>120</v>
      </c>
      <c r="B13" s="59">
        <v>2.9950000000000001E-2</v>
      </c>
      <c r="C13" s="13">
        <v>114.23099999999999</v>
      </c>
      <c r="D13" s="60">
        <f t="shared" si="0"/>
        <v>3.42121845</v>
      </c>
      <c r="E13" s="7">
        <v>44.09</v>
      </c>
      <c r="F13" s="63">
        <f t="shared" si="2"/>
        <v>7.7596245180312995E-2</v>
      </c>
      <c r="H13" s="10" t="s">
        <v>120</v>
      </c>
      <c r="I13" s="158">
        <v>2.9950000000000001E-2</v>
      </c>
      <c r="J13" s="14">
        <v>114.23099999999999</v>
      </c>
      <c r="K13" s="62">
        <f t="shared" si="1"/>
        <v>3.42121845</v>
      </c>
      <c r="L13" s="11">
        <v>44.09</v>
      </c>
      <c r="M13" s="64">
        <f t="shared" si="3"/>
        <v>7.7596245180312995E-2</v>
      </c>
    </row>
    <row r="14" spans="1:13" ht="18.75" customHeight="1" x14ac:dyDescent="0.25">
      <c r="A14" s="39" t="s">
        <v>121</v>
      </c>
      <c r="B14" s="65">
        <v>0.18207999999999999</v>
      </c>
      <c r="C14" s="66">
        <v>142.285</v>
      </c>
      <c r="D14" s="60">
        <f t="shared" si="0"/>
        <v>25.907252799999998</v>
      </c>
      <c r="E14" s="67">
        <v>45.79</v>
      </c>
      <c r="F14" s="63">
        <f t="shared" si="2"/>
        <v>0.56578407512557327</v>
      </c>
      <c r="H14" s="20" t="s">
        <v>121</v>
      </c>
      <c r="I14" s="159">
        <v>0.18207999999999999</v>
      </c>
      <c r="J14" s="68">
        <v>142.285</v>
      </c>
      <c r="K14" s="62">
        <f t="shared" si="1"/>
        <v>25.907252799999998</v>
      </c>
      <c r="L14" s="69">
        <v>45.79</v>
      </c>
      <c r="M14" s="64">
        <f t="shared" si="3"/>
        <v>0.56578407512557327</v>
      </c>
    </row>
    <row r="15" spans="1:13" ht="16.5" customHeight="1" x14ac:dyDescent="0.25">
      <c r="A15" s="35" t="s">
        <v>122</v>
      </c>
      <c r="B15" s="70">
        <v>3.0380000000000001E-2</v>
      </c>
      <c r="C15" s="71">
        <v>198.39400000000001</v>
      </c>
      <c r="D15" s="60">
        <f t="shared" si="0"/>
        <v>6.0272097200000001</v>
      </c>
      <c r="E15" s="7">
        <v>47.85</v>
      </c>
      <c r="F15" s="63">
        <f t="shared" si="2"/>
        <v>0.12596049571577847</v>
      </c>
      <c r="H15" s="37" t="s">
        <v>122</v>
      </c>
      <c r="I15" s="160">
        <v>3.0380000000000001E-2</v>
      </c>
      <c r="J15" s="51">
        <v>198.39400000000001</v>
      </c>
      <c r="K15" s="62">
        <f t="shared" si="1"/>
        <v>6.0272097200000001</v>
      </c>
      <c r="L15" s="11">
        <v>47.85</v>
      </c>
      <c r="M15" s="64">
        <f t="shared" si="3"/>
        <v>0.12596049571577847</v>
      </c>
    </row>
    <row r="16" spans="1:13" x14ac:dyDescent="0.25">
      <c r="A16" s="6" t="s">
        <v>123</v>
      </c>
      <c r="B16" s="59">
        <f>SUM(B5:B15)</f>
        <v>1</v>
      </c>
      <c r="C16" s="13"/>
      <c r="D16" s="60">
        <f>SUM(D5:D15)</f>
        <v>66.240905319999996</v>
      </c>
      <c r="E16" s="6"/>
      <c r="F16" s="6"/>
      <c r="H16" s="10" t="s">
        <v>123</v>
      </c>
      <c r="I16" s="61">
        <f>SUM(I5:I15)</f>
        <v>1</v>
      </c>
      <c r="J16" s="14"/>
      <c r="K16" s="62">
        <f>SUM(K5:K15)</f>
        <v>66.240905319999996</v>
      </c>
      <c r="L16" s="10"/>
      <c r="M16" s="10"/>
    </row>
    <row r="17" spans="1:13" ht="13.5" customHeight="1" x14ac:dyDescent="0.25">
      <c r="A17" s="53"/>
      <c r="B17" s="47"/>
      <c r="C17" s="48"/>
      <c r="D17" s="49"/>
      <c r="E17" s="6"/>
      <c r="F17" s="6"/>
      <c r="H17" s="54"/>
      <c r="I17" s="50"/>
      <c r="J17" s="72"/>
      <c r="K17" s="52"/>
      <c r="L17" s="10"/>
      <c r="M17" s="10"/>
    </row>
    <row r="18" spans="1:13" ht="18" x14ac:dyDescent="0.25">
      <c r="A18" s="43" t="s">
        <v>279</v>
      </c>
      <c r="B18" s="67" t="s">
        <v>1</v>
      </c>
      <c r="C18" s="73">
        <f>(D8+D9+D10+D11+D12+D13+D14+D15)/(F8+F9+F10+F11+F12+F13+F14+F15)</f>
        <v>44.27231982683535</v>
      </c>
      <c r="D18" s="43" t="s">
        <v>280</v>
      </c>
      <c r="E18" s="43"/>
      <c r="F18" s="43"/>
      <c r="H18" s="46" t="s">
        <v>279</v>
      </c>
      <c r="I18" s="69" t="s">
        <v>1</v>
      </c>
      <c r="J18" s="162">
        <f>(K8+K9+K10+K11+K12+K13+K14+K15)/(M8+M9+M10+M11+M12+M13+M14+M15)</f>
        <v>44.27231982683535</v>
      </c>
      <c r="K18" s="46" t="s">
        <v>280</v>
      </c>
      <c r="L18" s="46"/>
      <c r="M18" s="46"/>
    </row>
    <row r="19" spans="1:13" x14ac:dyDescent="0.25">
      <c r="A19" s="43" t="s">
        <v>128</v>
      </c>
      <c r="B19" s="67" t="s">
        <v>1</v>
      </c>
      <c r="C19" s="74">
        <f>(100*D7)/((D7+(D8+D9+D10+D11+D12+D13+D14+D15)))</f>
        <v>1.2490702499801873</v>
      </c>
      <c r="D19" s="43" t="s">
        <v>129</v>
      </c>
      <c r="E19" s="43"/>
      <c r="F19" s="43"/>
      <c r="H19" s="46" t="s">
        <v>128</v>
      </c>
      <c r="I19" s="69" t="s">
        <v>1</v>
      </c>
      <c r="J19" s="163">
        <f>(100*K7)/((K7+(K8+K9+K10+K11+K12+K13+K14+K15)))</f>
        <v>1.2490702499801873</v>
      </c>
      <c r="K19" s="46" t="s">
        <v>129</v>
      </c>
      <c r="L19" s="46"/>
      <c r="M19" s="46"/>
    </row>
    <row r="20" spans="1:13" ht="18" x14ac:dyDescent="0.25">
      <c r="A20" s="43" t="s">
        <v>130</v>
      </c>
      <c r="B20" s="67" t="s">
        <v>8</v>
      </c>
      <c r="C20" s="73">
        <f>((D7+D8+D9+D10+D11+D12+D13+D14+D15)+D6)/(((D7+D8+D9+D10+D11+D12+D13+D14+D15)/C6)+F6)</f>
        <v>45.757111460160985</v>
      </c>
      <c r="D20" s="43" t="s">
        <v>280</v>
      </c>
      <c r="E20" s="43"/>
      <c r="F20" s="43"/>
      <c r="H20" s="46" t="s">
        <v>130</v>
      </c>
      <c r="I20" s="69" t="s">
        <v>8</v>
      </c>
      <c r="J20" s="162">
        <f>((K7+K8+K9+K10+K11+K12+K13+K14+K15)+K6)/(((K7+K8+K9+K10+K11+K12+K13+K14+K15)/J6)+M6)</f>
        <v>45.757111460160985</v>
      </c>
      <c r="K20" s="46" t="s">
        <v>280</v>
      </c>
      <c r="L20" s="46"/>
      <c r="M20" s="46"/>
    </row>
    <row r="21" spans="1:13" x14ac:dyDescent="0.25">
      <c r="A21" s="43" t="s">
        <v>131</v>
      </c>
      <c r="B21" s="67" t="s">
        <v>1</v>
      </c>
      <c r="C21" s="75">
        <f>100*D5/D16</f>
        <v>5.0608385616188611</v>
      </c>
      <c r="D21" s="43" t="s">
        <v>129</v>
      </c>
      <c r="E21" s="76"/>
      <c r="F21" s="43"/>
      <c r="H21" s="46" t="s">
        <v>131</v>
      </c>
      <c r="I21" s="69" t="s">
        <v>1</v>
      </c>
      <c r="J21" s="164">
        <f>100*K5/K16</f>
        <v>5.0608385616188611</v>
      </c>
      <c r="K21" s="46" t="s">
        <v>129</v>
      </c>
      <c r="L21" s="77"/>
      <c r="M21" s="46"/>
    </row>
    <row r="22" spans="1:13" ht="60" x14ac:dyDescent="0.25">
      <c r="A22" s="78" t="s">
        <v>132</v>
      </c>
      <c r="B22" s="40" t="s">
        <v>1</v>
      </c>
      <c r="C22" s="40">
        <v>42.9</v>
      </c>
      <c r="D22" s="42" t="s">
        <v>280</v>
      </c>
      <c r="E22" s="43"/>
      <c r="F22" s="43"/>
      <c r="H22" s="79" t="s">
        <v>281</v>
      </c>
      <c r="I22" s="44" t="s">
        <v>1</v>
      </c>
      <c r="J22" s="165">
        <v>42.9</v>
      </c>
      <c r="K22" s="45" t="s">
        <v>280</v>
      </c>
      <c r="L22" s="46"/>
      <c r="M22" s="46"/>
    </row>
    <row r="23" spans="1:13" ht="30" x14ac:dyDescent="0.25">
      <c r="A23" s="39" t="s">
        <v>133</v>
      </c>
      <c r="B23" s="67" t="s">
        <v>1</v>
      </c>
      <c r="C23" s="40">
        <v>0.7</v>
      </c>
      <c r="D23" s="42" t="s">
        <v>280</v>
      </c>
      <c r="E23" s="43"/>
      <c r="F23" s="43"/>
      <c r="H23" s="20" t="s">
        <v>133</v>
      </c>
      <c r="I23" s="69" t="s">
        <v>1</v>
      </c>
      <c r="J23" s="165">
        <v>0.7</v>
      </c>
      <c r="K23" s="45" t="s">
        <v>280</v>
      </c>
      <c r="L23" s="46"/>
      <c r="M23" s="46"/>
    </row>
    <row r="24" spans="1:13" ht="18" x14ac:dyDescent="0.25">
      <c r="A24" s="43" t="s">
        <v>134</v>
      </c>
      <c r="B24" s="67" t="s">
        <v>1</v>
      </c>
      <c r="C24" s="67">
        <f>C22+C23</f>
        <v>43.6</v>
      </c>
      <c r="D24" s="42" t="s">
        <v>280</v>
      </c>
      <c r="E24" s="43"/>
      <c r="F24" s="43"/>
      <c r="H24" s="46" t="s">
        <v>134</v>
      </c>
      <c r="I24" s="69" t="s">
        <v>1</v>
      </c>
      <c r="J24" s="166">
        <f>J22+J23</f>
        <v>43.6</v>
      </c>
      <c r="K24" s="45" t="s">
        <v>280</v>
      </c>
      <c r="L24" s="46"/>
      <c r="M24" s="46"/>
    </row>
    <row r="25" spans="1:13" ht="18" x14ac:dyDescent="0.25">
      <c r="A25" s="43" t="s">
        <v>135</v>
      </c>
      <c r="B25" s="67" t="s">
        <v>1</v>
      </c>
      <c r="C25" s="67">
        <v>-1.8</v>
      </c>
      <c r="D25" s="42" t="s">
        <v>280</v>
      </c>
      <c r="E25" s="43"/>
      <c r="F25" s="43"/>
      <c r="H25" s="46" t="s">
        <v>135</v>
      </c>
      <c r="I25" s="69" t="s">
        <v>1</v>
      </c>
      <c r="J25" s="166">
        <v>-1.8</v>
      </c>
      <c r="K25" s="45" t="s">
        <v>280</v>
      </c>
      <c r="L25" s="46"/>
      <c r="M25" s="46"/>
    </row>
    <row r="26" spans="1:13" ht="18" x14ac:dyDescent="0.25">
      <c r="A26" s="43" t="s">
        <v>134</v>
      </c>
      <c r="B26" s="67" t="s">
        <v>1</v>
      </c>
      <c r="C26" s="67">
        <f>C24+C25</f>
        <v>41.800000000000004</v>
      </c>
      <c r="D26" s="42" t="s">
        <v>280</v>
      </c>
      <c r="E26" s="43"/>
      <c r="F26" s="43"/>
      <c r="H26" s="46" t="s">
        <v>134</v>
      </c>
      <c r="I26" s="69" t="s">
        <v>1</v>
      </c>
      <c r="J26" s="166">
        <f>J24+J25</f>
        <v>41.800000000000004</v>
      </c>
      <c r="K26" s="45" t="s">
        <v>280</v>
      </c>
      <c r="L26" s="46"/>
      <c r="M26" s="46"/>
    </row>
    <row r="27" spans="1:13" x14ac:dyDescent="0.25">
      <c r="A27" s="43"/>
      <c r="B27" s="67"/>
      <c r="C27" s="67"/>
      <c r="D27" s="43"/>
      <c r="E27" s="43"/>
      <c r="F27" s="43"/>
      <c r="H27" s="46"/>
      <c r="I27" s="69"/>
      <c r="J27" s="69"/>
      <c r="K27" s="46"/>
      <c r="L27" s="46"/>
      <c r="M27" s="46"/>
    </row>
    <row r="28" spans="1:13" x14ac:dyDescent="0.25">
      <c r="A28" s="43" t="s">
        <v>136</v>
      </c>
      <c r="B28" s="67"/>
      <c r="C28" s="67"/>
      <c r="D28" s="43"/>
      <c r="E28" s="43"/>
      <c r="F28" s="43"/>
      <c r="H28" s="46" t="s">
        <v>136</v>
      </c>
      <c r="I28" s="69"/>
      <c r="J28" s="69"/>
      <c r="K28" s="46"/>
      <c r="L28" s="46"/>
      <c r="M28" s="46"/>
    </row>
    <row r="29" spans="1:13" ht="35.25" customHeight="1" x14ac:dyDescent="0.25">
      <c r="A29" s="198" t="s">
        <v>282</v>
      </c>
      <c r="B29" s="198"/>
      <c r="C29" s="198"/>
      <c r="D29" s="198"/>
      <c r="E29" s="198"/>
      <c r="F29" s="198"/>
      <c r="H29" s="199" t="s">
        <v>282</v>
      </c>
      <c r="I29" s="199"/>
      <c r="J29" s="199"/>
      <c r="K29" s="199"/>
      <c r="L29" s="199"/>
      <c r="M29" s="199"/>
    </row>
    <row r="30" spans="1:13" ht="26.25" customHeight="1" x14ac:dyDescent="0.25">
      <c r="A30" s="42" t="s">
        <v>137</v>
      </c>
      <c r="B30" s="67"/>
      <c r="C30" s="67"/>
      <c r="D30" s="43"/>
      <c r="E30" s="43"/>
      <c r="F30" s="43"/>
      <c r="H30" s="45" t="s">
        <v>137</v>
      </c>
      <c r="I30" s="69"/>
      <c r="J30" s="69"/>
      <c r="K30" s="46"/>
      <c r="L30" s="46"/>
      <c r="M30" s="46"/>
    </row>
    <row r="31" spans="1:13" ht="19.5" customHeight="1" x14ac:dyDescent="0.25">
      <c r="A31" s="42" t="s">
        <v>138</v>
      </c>
      <c r="B31" s="67"/>
      <c r="C31" s="67"/>
      <c r="D31" s="43"/>
      <c r="E31" s="43"/>
      <c r="F31" s="43"/>
      <c r="H31" s="45" t="s">
        <v>138</v>
      </c>
      <c r="I31" s="69"/>
      <c r="J31" s="69"/>
      <c r="K31" s="46"/>
      <c r="L31" s="46"/>
      <c r="M31" s="46"/>
    </row>
    <row r="32" spans="1:13" ht="35.25" customHeight="1" x14ac:dyDescent="0.25">
      <c r="A32" s="198" t="s">
        <v>283</v>
      </c>
      <c r="B32" s="198"/>
      <c r="C32" s="198"/>
      <c r="D32" s="198"/>
      <c r="E32" s="198"/>
      <c r="F32" s="198"/>
      <c r="H32" s="199" t="s">
        <v>283</v>
      </c>
      <c r="I32" s="199"/>
      <c r="J32" s="199"/>
      <c r="K32" s="199"/>
      <c r="L32" s="199"/>
      <c r="M32" s="199"/>
    </row>
    <row r="35" spans="1:1" x14ac:dyDescent="0.25">
      <c r="A35" s="15" t="s">
        <v>305</v>
      </c>
    </row>
    <row r="36" spans="1:1" x14ac:dyDescent="0.25">
      <c r="A36" s="15" t="s">
        <v>306</v>
      </c>
    </row>
    <row r="37" spans="1:1" x14ac:dyDescent="0.25">
      <c r="A37" s="15" t="s">
        <v>307</v>
      </c>
    </row>
    <row r="38" spans="1:1" x14ac:dyDescent="0.25">
      <c r="A38" s="15" t="s">
        <v>308</v>
      </c>
    </row>
    <row r="39" spans="1:1" x14ac:dyDescent="0.25">
      <c r="A39" s="15" t="s">
        <v>309</v>
      </c>
    </row>
  </sheetData>
  <sheetProtection password="F030" sheet="1" objects="1" scenarios="1"/>
  <mergeCells count="6">
    <mergeCell ref="A1:F1"/>
    <mergeCell ref="H1:M1"/>
    <mergeCell ref="A29:F29"/>
    <mergeCell ref="A32:F32"/>
    <mergeCell ref="H29:M29"/>
    <mergeCell ref="H32:M32"/>
  </mergeCells>
  <pageMargins left="0.7" right="0.7" top="0.75" bottom="0.75" header="0.3" footer="0.3"/>
  <pageSetup paperSize="201" scale="46" orientation="portrait" r:id="rId1"/>
  <headerFooter>
    <oddHeader>&amp;CCALCULATION SPREADSHEET FOR GPSA ENGINEERING DATA BOOK 13th EDITION
EXAMPLE 23-3</oddHeader>
  </headerFooter>
  <ignoredErrors>
    <ignoredError sqref="J18:J26 M1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zoomScale="80" zoomScaleNormal="80" workbookViewId="0">
      <selection activeCell="H25" sqref="H25"/>
    </sheetView>
  </sheetViews>
  <sheetFormatPr defaultRowHeight="15" x14ac:dyDescent="0.25"/>
  <cols>
    <col min="1" max="1" width="35.7109375" style="9" customWidth="1"/>
    <col min="2" max="3" width="11.5703125" style="16" customWidth="1"/>
    <col min="4" max="4" width="10.5703125" style="9" customWidth="1"/>
    <col min="5" max="5" width="13.42578125" style="9" customWidth="1"/>
    <col min="6" max="6" width="17" style="9" customWidth="1"/>
    <col min="7" max="7" width="9.140625" style="9"/>
    <col min="8" max="8" width="35.85546875" style="9" customWidth="1"/>
    <col min="9" max="9" width="9.140625" style="16"/>
    <col min="10" max="10" width="12.7109375" style="16" customWidth="1"/>
    <col min="11" max="11" width="10.7109375" style="9" bestFit="1" customWidth="1"/>
    <col min="12" max="12" width="9.140625" style="9"/>
    <col min="13" max="13" width="13.140625" style="9" customWidth="1"/>
    <col min="14" max="16384" width="9.140625" style="9"/>
  </cols>
  <sheetData>
    <row r="1" spans="1:13" s="5" customFormat="1" ht="26.25" customHeight="1" x14ac:dyDescent="0.2">
      <c r="A1" s="194" t="s">
        <v>139</v>
      </c>
      <c r="B1" s="195"/>
      <c r="C1" s="195"/>
      <c r="D1" s="195"/>
      <c r="E1" s="195"/>
      <c r="F1" s="195"/>
      <c r="G1" s="80"/>
      <c r="H1" s="196" t="s">
        <v>139</v>
      </c>
      <c r="I1" s="197"/>
      <c r="J1" s="197"/>
      <c r="K1" s="197"/>
      <c r="L1" s="197"/>
      <c r="M1" s="197"/>
    </row>
    <row r="2" spans="1:13" ht="21" customHeight="1" x14ac:dyDescent="0.25">
      <c r="A2" s="17" t="s">
        <v>140</v>
      </c>
      <c r="B2" s="18"/>
      <c r="C2" s="18"/>
      <c r="D2" s="18"/>
      <c r="E2" s="55"/>
      <c r="F2" s="55"/>
      <c r="H2" s="19" t="s">
        <v>140</v>
      </c>
      <c r="I2" s="20"/>
      <c r="J2" s="20"/>
      <c r="K2" s="20"/>
      <c r="L2" s="20"/>
      <c r="M2" s="20"/>
    </row>
    <row r="3" spans="1:13" x14ac:dyDescent="0.25">
      <c r="A3" s="7" t="s">
        <v>141</v>
      </c>
      <c r="B3" s="7" t="s">
        <v>142</v>
      </c>
      <c r="C3" s="7"/>
      <c r="D3" s="7"/>
      <c r="E3" s="7"/>
      <c r="F3" s="7"/>
      <c r="H3" s="11" t="s">
        <v>141</v>
      </c>
      <c r="I3" s="11" t="s">
        <v>142</v>
      </c>
      <c r="J3" s="11"/>
      <c r="K3" s="11"/>
      <c r="L3" s="11"/>
      <c r="M3" s="11"/>
    </row>
    <row r="4" spans="1:13" s="5" customFormat="1" ht="15.75" customHeight="1" x14ac:dyDescent="0.2">
      <c r="A4" s="47" t="s">
        <v>143</v>
      </c>
      <c r="B4" s="81">
        <v>100</v>
      </c>
      <c r="C4" s="47"/>
      <c r="D4" s="49"/>
      <c r="E4" s="57"/>
      <c r="F4" s="57"/>
      <c r="H4" s="50" t="s">
        <v>143</v>
      </c>
      <c r="I4" s="168">
        <v>100</v>
      </c>
      <c r="J4" s="50"/>
      <c r="K4" s="52"/>
      <c r="L4" s="58"/>
      <c r="M4" s="58"/>
    </row>
    <row r="5" spans="1:13" x14ac:dyDescent="0.25">
      <c r="A5" s="7">
        <v>5</v>
      </c>
      <c r="B5" s="83">
        <v>130</v>
      </c>
      <c r="C5" s="13"/>
      <c r="D5" s="84"/>
      <c r="E5" s="7"/>
      <c r="F5" s="7"/>
      <c r="H5" s="11">
        <v>5</v>
      </c>
      <c r="I5" s="169">
        <v>130</v>
      </c>
      <c r="J5" s="14"/>
      <c r="K5" s="86"/>
      <c r="L5" s="11"/>
      <c r="M5" s="11"/>
    </row>
    <row r="6" spans="1:13" x14ac:dyDescent="0.25">
      <c r="A6" s="7">
        <v>10</v>
      </c>
      <c r="B6" s="83">
        <v>153</v>
      </c>
      <c r="C6" s="13"/>
      <c r="D6" s="84"/>
      <c r="E6" s="7"/>
      <c r="F6" s="63"/>
      <c r="H6" s="11">
        <v>10</v>
      </c>
      <c r="I6" s="169">
        <v>153</v>
      </c>
      <c r="J6" s="14"/>
      <c r="K6" s="86"/>
      <c r="L6" s="11"/>
      <c r="M6" s="64"/>
    </row>
    <row r="7" spans="1:13" x14ac:dyDescent="0.25">
      <c r="A7" s="7">
        <v>20</v>
      </c>
      <c r="B7" s="83">
        <v>191</v>
      </c>
      <c r="C7" s="13"/>
      <c r="D7" s="84"/>
      <c r="E7" s="7"/>
      <c r="F7" s="63"/>
      <c r="H7" s="11">
        <v>20</v>
      </c>
      <c r="I7" s="169">
        <v>191</v>
      </c>
      <c r="J7" s="14"/>
      <c r="K7" s="86"/>
      <c r="L7" s="11"/>
      <c r="M7" s="64"/>
    </row>
    <row r="8" spans="1:13" x14ac:dyDescent="0.25">
      <c r="A8" s="7">
        <v>30</v>
      </c>
      <c r="B8" s="83">
        <v>217</v>
      </c>
      <c r="C8" s="13"/>
      <c r="D8" s="84"/>
      <c r="E8" s="7"/>
      <c r="F8" s="63"/>
      <c r="H8" s="11">
        <v>30</v>
      </c>
      <c r="I8" s="169">
        <v>217</v>
      </c>
      <c r="J8" s="14"/>
      <c r="K8" s="86"/>
      <c r="L8" s="11"/>
      <c r="M8" s="64"/>
    </row>
    <row r="9" spans="1:13" x14ac:dyDescent="0.25">
      <c r="A9" s="7">
        <v>40</v>
      </c>
      <c r="B9" s="83">
        <v>244</v>
      </c>
      <c r="C9" s="13"/>
      <c r="D9" s="84"/>
      <c r="E9" s="7"/>
      <c r="F9" s="63"/>
      <c r="H9" s="11">
        <v>40</v>
      </c>
      <c r="I9" s="169">
        <v>244</v>
      </c>
      <c r="J9" s="14"/>
      <c r="K9" s="86"/>
      <c r="L9" s="11"/>
      <c r="M9" s="64"/>
    </row>
    <row r="10" spans="1:13" s="27" customFormat="1" x14ac:dyDescent="0.25">
      <c r="A10" s="7">
        <v>50</v>
      </c>
      <c r="B10" s="83">
        <v>280</v>
      </c>
      <c r="C10" s="13"/>
      <c r="D10" s="84"/>
      <c r="E10" s="7"/>
      <c r="F10" s="63"/>
      <c r="H10" s="11">
        <v>50</v>
      </c>
      <c r="I10" s="169">
        <v>280</v>
      </c>
      <c r="J10" s="14"/>
      <c r="K10" s="86"/>
      <c r="L10" s="11"/>
      <c r="M10" s="64"/>
    </row>
    <row r="11" spans="1:13" x14ac:dyDescent="0.25">
      <c r="A11" s="7">
        <v>60</v>
      </c>
      <c r="B11" s="83">
        <v>319</v>
      </c>
      <c r="C11" s="13"/>
      <c r="D11" s="84"/>
      <c r="E11" s="7"/>
      <c r="F11" s="63"/>
      <c r="H11" s="11">
        <v>60</v>
      </c>
      <c r="I11" s="169">
        <v>319</v>
      </c>
      <c r="J11" s="14"/>
      <c r="K11" s="86"/>
      <c r="L11" s="11"/>
      <c r="M11" s="64"/>
    </row>
    <row r="12" spans="1:13" x14ac:dyDescent="0.25">
      <c r="A12" s="7">
        <v>70</v>
      </c>
      <c r="B12" s="83">
        <v>384</v>
      </c>
      <c r="C12" s="13"/>
      <c r="D12" s="84"/>
      <c r="E12" s="7"/>
      <c r="F12" s="63"/>
      <c r="H12" s="11">
        <v>70</v>
      </c>
      <c r="I12" s="169">
        <v>384</v>
      </c>
      <c r="J12" s="14"/>
      <c r="K12" s="86"/>
      <c r="L12" s="11"/>
      <c r="M12" s="64"/>
    </row>
    <row r="13" spans="1:13" x14ac:dyDescent="0.25">
      <c r="A13" s="7">
        <v>80</v>
      </c>
      <c r="B13" s="83">
        <v>464</v>
      </c>
      <c r="C13" s="13"/>
      <c r="D13" s="84"/>
      <c r="E13" s="7"/>
      <c r="F13" s="63"/>
      <c r="H13" s="11">
        <v>80</v>
      </c>
      <c r="I13" s="169">
        <v>464</v>
      </c>
      <c r="J13" s="14"/>
      <c r="K13" s="86"/>
      <c r="L13" s="11"/>
      <c r="M13" s="64"/>
    </row>
    <row r="14" spans="1:13" ht="18.75" customHeight="1" x14ac:dyDescent="0.25">
      <c r="A14" s="87">
        <v>90</v>
      </c>
      <c r="B14" s="88">
        <v>592</v>
      </c>
      <c r="C14" s="66"/>
      <c r="D14" s="84"/>
      <c r="E14" s="67"/>
      <c r="F14" s="63"/>
      <c r="H14" s="89">
        <v>90</v>
      </c>
      <c r="I14" s="170">
        <v>592</v>
      </c>
      <c r="J14" s="68"/>
      <c r="K14" s="86"/>
      <c r="L14" s="69"/>
      <c r="M14" s="64"/>
    </row>
    <row r="15" spans="1:13" ht="16.5" customHeight="1" x14ac:dyDescent="0.25">
      <c r="A15" s="90" t="s">
        <v>144</v>
      </c>
      <c r="B15" s="91">
        <v>640</v>
      </c>
      <c r="C15" s="71"/>
      <c r="D15" s="84"/>
      <c r="E15" s="7"/>
      <c r="F15" s="63"/>
      <c r="H15" s="92" t="s">
        <v>144</v>
      </c>
      <c r="I15" s="171">
        <v>640</v>
      </c>
      <c r="J15" s="51"/>
      <c r="K15" s="86"/>
      <c r="L15" s="11"/>
      <c r="M15" s="64"/>
    </row>
    <row r="16" spans="1:13" x14ac:dyDescent="0.25">
      <c r="A16" s="6"/>
      <c r="B16" s="59"/>
      <c r="C16" s="13"/>
      <c r="D16" s="84"/>
      <c r="E16" s="6"/>
      <c r="F16" s="6"/>
      <c r="H16" s="10"/>
      <c r="I16" s="61"/>
      <c r="J16" s="14"/>
      <c r="K16" s="86"/>
      <c r="L16" s="10"/>
      <c r="M16" s="10"/>
    </row>
    <row r="17" spans="1:13" ht="13.5" customHeight="1" x14ac:dyDescent="0.25">
      <c r="A17" s="53" t="s">
        <v>145</v>
      </c>
      <c r="B17" s="47" t="s">
        <v>1</v>
      </c>
      <c r="C17" s="93">
        <f>(B14-B6)/(A14-A6)</f>
        <v>5.4874999999999998</v>
      </c>
      <c r="D17" s="49"/>
      <c r="E17" s="6"/>
      <c r="F17" s="6"/>
      <c r="H17" s="54" t="s">
        <v>145</v>
      </c>
      <c r="I17" s="50" t="s">
        <v>1</v>
      </c>
      <c r="J17" s="172">
        <f>(I14-I6)/(H14-H6)</f>
        <v>5.4874999999999998</v>
      </c>
      <c r="K17" s="52"/>
      <c r="L17" s="10"/>
      <c r="M17" s="10"/>
    </row>
    <row r="18" spans="1:13" x14ac:dyDescent="0.25">
      <c r="A18" s="43" t="s">
        <v>146</v>
      </c>
      <c r="B18" s="67" t="s">
        <v>1</v>
      </c>
      <c r="C18" s="94">
        <f>(B6+B8+B10+B12+B14)/5</f>
        <v>325.2</v>
      </c>
      <c r="D18" s="43" t="s">
        <v>5</v>
      </c>
      <c r="E18" s="43"/>
      <c r="F18" s="43"/>
      <c r="H18" s="46" t="s">
        <v>146</v>
      </c>
      <c r="I18" s="69" t="s">
        <v>1</v>
      </c>
      <c r="J18" s="173">
        <f>(I6+I8+I10+I12+I14)/5</f>
        <v>325.2</v>
      </c>
      <c r="K18" s="46" t="s">
        <v>5</v>
      </c>
      <c r="L18" s="46"/>
      <c r="M18" s="46"/>
    </row>
    <row r="19" spans="1:13" ht="45" x14ac:dyDescent="0.25">
      <c r="A19" s="39" t="s">
        <v>147</v>
      </c>
      <c r="B19" s="40" t="s">
        <v>1</v>
      </c>
      <c r="C19" s="41">
        <v>-54</v>
      </c>
      <c r="D19" s="42" t="s">
        <v>5</v>
      </c>
      <c r="E19" s="43"/>
      <c r="F19" s="43"/>
      <c r="H19" s="167" t="s">
        <v>147</v>
      </c>
      <c r="I19" s="44" t="s">
        <v>1</v>
      </c>
      <c r="J19" s="156">
        <v>-54</v>
      </c>
      <c r="K19" s="45" t="s">
        <v>5</v>
      </c>
      <c r="L19" s="46"/>
      <c r="M19" s="46"/>
    </row>
    <row r="20" spans="1:13" x14ac:dyDescent="0.25">
      <c r="A20" s="43" t="s">
        <v>13</v>
      </c>
      <c r="B20" s="67" t="s">
        <v>8</v>
      </c>
      <c r="C20" s="94">
        <f>C18+C19</f>
        <v>271.2</v>
      </c>
      <c r="D20" s="43" t="s">
        <v>5</v>
      </c>
      <c r="E20" s="43"/>
      <c r="F20" s="43"/>
      <c r="H20" s="46" t="s">
        <v>13</v>
      </c>
      <c r="I20" s="69" t="s">
        <v>8</v>
      </c>
      <c r="J20" s="173">
        <f>J18+J19</f>
        <v>271.2</v>
      </c>
      <c r="K20" s="46" t="s">
        <v>5</v>
      </c>
      <c r="L20" s="46"/>
      <c r="M20" s="46"/>
    </row>
    <row r="23" spans="1:13" x14ac:dyDescent="0.25">
      <c r="A23" s="15" t="s">
        <v>305</v>
      </c>
    </row>
    <row r="24" spans="1:13" x14ac:dyDescent="0.25">
      <c r="A24" s="15" t="s">
        <v>306</v>
      </c>
    </row>
    <row r="25" spans="1:13" x14ac:dyDescent="0.25">
      <c r="A25" s="15" t="s">
        <v>307</v>
      </c>
    </row>
    <row r="26" spans="1:13" x14ac:dyDescent="0.25">
      <c r="A26" s="15" t="s">
        <v>308</v>
      </c>
    </row>
    <row r="27" spans="1:13" x14ac:dyDescent="0.25">
      <c r="A27" s="15" t="s">
        <v>309</v>
      </c>
    </row>
  </sheetData>
  <sheetProtection password="F030" sheet="1" objects="1" scenarios="1"/>
  <mergeCells count="2">
    <mergeCell ref="A1:F1"/>
    <mergeCell ref="H1:M1"/>
  </mergeCells>
  <pageMargins left="0.7" right="0.7" top="0.75" bottom="0.75" header="0.3" footer="0.3"/>
  <pageSetup paperSize="201" scale="46" orientation="portrait" r:id="rId1"/>
  <headerFooter>
    <oddHeader>&amp;CCALCULATION SPREADSHEET FOR GPSA ENGINEERING DATA BOOK 13 th EDITION
EXAMPLE 23-4</oddHeader>
  </headerFooter>
  <ignoredErrors>
    <ignoredError sqref="J17:J2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zoomScale="80" zoomScaleNormal="80" workbookViewId="0">
      <selection activeCell="I6" sqref="I6:I8"/>
    </sheetView>
  </sheetViews>
  <sheetFormatPr defaultRowHeight="15" x14ac:dyDescent="0.25"/>
  <cols>
    <col min="1" max="1" width="31.140625" style="9" customWidth="1"/>
    <col min="2" max="2" width="7" style="16" customWidth="1"/>
    <col min="3" max="3" width="8.5703125" style="16" customWidth="1"/>
    <col min="4" max="4" width="10.5703125" style="9" customWidth="1"/>
    <col min="5" max="5" width="13.42578125" style="9" customWidth="1"/>
    <col min="6" max="6" width="9.140625" style="9"/>
    <col min="7" max="7" width="35.85546875" style="9" customWidth="1"/>
    <col min="8" max="8" width="5.7109375" style="16" customWidth="1"/>
    <col min="9" max="9" width="8.85546875" style="16" customWidth="1"/>
    <col min="10" max="10" width="10.7109375" style="9" bestFit="1" customWidth="1"/>
    <col min="11" max="16384" width="9.140625" style="9"/>
  </cols>
  <sheetData>
    <row r="1" spans="1:11" s="5" customFormat="1" ht="30" customHeight="1" x14ac:dyDescent="0.2">
      <c r="A1" s="200" t="s">
        <v>156</v>
      </c>
      <c r="B1" s="200"/>
      <c r="C1" s="200"/>
      <c r="D1" s="200"/>
      <c r="E1" s="200"/>
      <c r="G1" s="201" t="s">
        <v>156</v>
      </c>
      <c r="H1" s="201"/>
      <c r="I1" s="201"/>
      <c r="J1" s="201"/>
      <c r="K1" s="201"/>
    </row>
    <row r="2" spans="1:11" ht="21" customHeight="1" x14ac:dyDescent="0.25">
      <c r="A2" s="17" t="s">
        <v>2</v>
      </c>
      <c r="B2" s="18"/>
      <c r="C2" s="18"/>
      <c r="D2" s="18"/>
      <c r="E2" s="55"/>
      <c r="G2" s="19" t="s">
        <v>2</v>
      </c>
      <c r="H2" s="95"/>
      <c r="I2" s="20"/>
      <c r="J2" s="20"/>
      <c r="K2" s="20"/>
    </row>
    <row r="3" spans="1:11" x14ac:dyDescent="0.25">
      <c r="A3" s="96" t="s">
        <v>150</v>
      </c>
      <c r="B3" s="7" t="s">
        <v>8</v>
      </c>
      <c r="C3" s="7">
        <v>56.8</v>
      </c>
      <c r="D3" s="96" t="s">
        <v>151</v>
      </c>
      <c r="E3" s="7"/>
      <c r="G3" s="97" t="s">
        <v>150</v>
      </c>
      <c r="H3" s="11" t="s">
        <v>8</v>
      </c>
      <c r="I3" s="151">
        <v>56.8</v>
      </c>
      <c r="J3" s="97" t="s">
        <v>151</v>
      </c>
      <c r="K3" s="11"/>
    </row>
    <row r="4" spans="1:11" s="5" customFormat="1" ht="15.75" customHeight="1" x14ac:dyDescent="0.2">
      <c r="A4" s="98" t="s">
        <v>13</v>
      </c>
      <c r="B4" s="81" t="s">
        <v>1</v>
      </c>
      <c r="C4" s="47">
        <v>271</v>
      </c>
      <c r="D4" s="49" t="s">
        <v>5</v>
      </c>
      <c r="E4" s="57"/>
      <c r="G4" s="99" t="s">
        <v>13</v>
      </c>
      <c r="H4" s="82" t="s">
        <v>1</v>
      </c>
      <c r="I4" s="175">
        <v>271</v>
      </c>
      <c r="J4" s="52" t="s">
        <v>5</v>
      </c>
      <c r="K4" s="58"/>
    </row>
    <row r="5" spans="1:11" x14ac:dyDescent="0.25">
      <c r="A5" s="7"/>
      <c r="B5" s="83"/>
      <c r="C5" s="13"/>
      <c r="D5" s="84"/>
      <c r="E5" s="7"/>
      <c r="G5" s="11"/>
      <c r="H5" s="85"/>
      <c r="I5" s="152"/>
      <c r="J5" s="86"/>
      <c r="K5" s="11"/>
    </row>
    <row r="6" spans="1:11" x14ac:dyDescent="0.25">
      <c r="A6" s="96" t="s">
        <v>153</v>
      </c>
      <c r="B6" s="83" t="s">
        <v>1</v>
      </c>
      <c r="C6" s="63">
        <f>141.5/(131.5+C3)</f>
        <v>0.75146043547530528</v>
      </c>
      <c r="D6" s="84"/>
      <c r="E6" s="7"/>
      <c r="G6" s="97" t="s">
        <v>153</v>
      </c>
      <c r="H6" s="85" t="s">
        <v>1</v>
      </c>
      <c r="I6" s="161">
        <f>141.5/(131.5+I3)</f>
        <v>0.75146043547530528</v>
      </c>
      <c r="J6" s="86"/>
      <c r="K6" s="11"/>
    </row>
    <row r="7" spans="1:11" x14ac:dyDescent="0.25">
      <c r="A7" s="96" t="s">
        <v>154</v>
      </c>
      <c r="B7" s="83" t="s">
        <v>1</v>
      </c>
      <c r="C7" s="83">
        <f>C4+460</f>
        <v>731</v>
      </c>
      <c r="D7" s="84" t="s">
        <v>15</v>
      </c>
      <c r="E7" s="7"/>
      <c r="G7" s="97" t="s">
        <v>154</v>
      </c>
      <c r="H7" s="85" t="s">
        <v>1</v>
      </c>
      <c r="I7" s="169">
        <f>I4+460</f>
        <v>731</v>
      </c>
      <c r="J7" s="86" t="s">
        <v>15</v>
      </c>
      <c r="K7" s="11"/>
    </row>
    <row r="8" spans="1:11" x14ac:dyDescent="0.25">
      <c r="A8" s="96" t="s">
        <v>152</v>
      </c>
      <c r="B8" s="83" t="s">
        <v>1</v>
      </c>
      <c r="C8" s="83">
        <f>204.38*(C7^0.118*C6^1.88*2.71828^((0.00218*C7-(3.075*C6))))</f>
        <v>126.94785439396105</v>
      </c>
      <c r="D8" s="84" t="s">
        <v>155</v>
      </c>
      <c r="E8" s="7"/>
      <c r="G8" s="97" t="s">
        <v>152</v>
      </c>
      <c r="H8" s="85" t="s">
        <v>1</v>
      </c>
      <c r="I8" s="169">
        <f>204.38*(I7^0.118*I6^1.88*2.71828^((0.00218*I7-(3.075*I6))))</f>
        <v>126.94785439396105</v>
      </c>
      <c r="J8" s="86" t="s">
        <v>155</v>
      </c>
      <c r="K8" s="11"/>
    </row>
    <row r="9" spans="1:11" ht="42" customHeight="1" x14ac:dyDescent="0.25">
      <c r="A9" s="198" t="s">
        <v>149</v>
      </c>
      <c r="B9" s="198"/>
      <c r="C9" s="198"/>
      <c r="D9" s="198"/>
      <c r="E9" s="198"/>
      <c r="F9" s="100"/>
      <c r="G9" s="199" t="s">
        <v>149</v>
      </c>
      <c r="H9" s="199"/>
      <c r="I9" s="199"/>
      <c r="J9" s="199"/>
      <c r="K9" s="199"/>
    </row>
    <row r="12" spans="1:11" x14ac:dyDescent="0.25">
      <c r="A12" s="15" t="s">
        <v>305</v>
      </c>
    </row>
    <row r="13" spans="1:11" x14ac:dyDescent="0.25">
      <c r="A13" s="15" t="s">
        <v>306</v>
      </c>
    </row>
    <row r="14" spans="1:11" x14ac:dyDescent="0.25">
      <c r="A14" s="15" t="s">
        <v>307</v>
      </c>
    </row>
    <row r="15" spans="1:11" x14ac:dyDescent="0.25">
      <c r="A15" s="15" t="s">
        <v>308</v>
      </c>
    </row>
    <row r="16" spans="1:11" x14ac:dyDescent="0.25">
      <c r="A16" s="15" t="s">
        <v>309</v>
      </c>
    </row>
    <row r="29" spans="8:9" x14ac:dyDescent="0.25">
      <c r="H29" s="174"/>
      <c r="I29" s="174"/>
    </row>
  </sheetData>
  <sheetProtection password="F030" sheet="1" objects="1" scenarios="1"/>
  <mergeCells count="4">
    <mergeCell ref="A1:E1"/>
    <mergeCell ref="G1:K1"/>
    <mergeCell ref="A9:E9"/>
    <mergeCell ref="G9:K9"/>
  </mergeCells>
  <pageMargins left="0.7" right="0.7" top="0.75" bottom="0.75" header="0.3" footer="0.3"/>
  <pageSetup paperSize="201" scale="61" orientation="portrait" r:id="rId1"/>
  <headerFooter>
    <oddHeader>&amp;CCALCULATION SPREADSHEET FOR GPSA ENGINEERING DATA BOOK 13th EDITION
EXAMPLE 23-5</oddHeader>
  </headerFooter>
  <ignoredErrors>
    <ignoredError sqref="I6:I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zoomScale="80" zoomScaleNormal="80" workbookViewId="0">
      <selection activeCell="G29" sqref="G29"/>
    </sheetView>
  </sheetViews>
  <sheetFormatPr defaultRowHeight="15" x14ac:dyDescent="0.25"/>
  <cols>
    <col min="1" max="1" width="34.5703125" style="9" customWidth="1"/>
    <col min="2" max="2" width="7" style="16" customWidth="1"/>
    <col min="3" max="3" width="8.5703125" style="16" customWidth="1"/>
    <col min="4" max="4" width="10.5703125" style="9" customWidth="1"/>
    <col min="5" max="5" width="13.42578125" style="9" customWidth="1"/>
    <col min="6" max="6" width="9.140625" style="9"/>
    <col min="7" max="7" width="35.85546875" style="9" customWidth="1"/>
    <col min="8" max="8" width="5.7109375" style="16" customWidth="1"/>
    <col min="9" max="9" width="8.85546875" style="16" customWidth="1"/>
    <col min="10" max="10" width="10.7109375" style="9" bestFit="1" customWidth="1"/>
    <col min="11" max="16384" width="9.140625" style="9"/>
  </cols>
  <sheetData>
    <row r="1" spans="1:11" s="5" customFormat="1" ht="30" customHeight="1" x14ac:dyDescent="0.2">
      <c r="A1" s="200" t="s">
        <v>157</v>
      </c>
      <c r="B1" s="200"/>
      <c r="C1" s="200"/>
      <c r="D1" s="200"/>
      <c r="E1" s="200"/>
      <c r="G1" s="201" t="s">
        <v>157</v>
      </c>
      <c r="H1" s="201"/>
      <c r="I1" s="201"/>
      <c r="J1" s="201"/>
      <c r="K1" s="201"/>
    </row>
    <row r="2" spans="1:11" ht="21" customHeight="1" x14ac:dyDescent="0.25">
      <c r="A2" s="17" t="s">
        <v>2</v>
      </c>
      <c r="B2" s="18"/>
      <c r="C2" s="18"/>
      <c r="D2" s="18"/>
      <c r="E2" s="55"/>
      <c r="G2" s="19" t="s">
        <v>2</v>
      </c>
      <c r="H2" s="95"/>
      <c r="I2" s="20"/>
      <c r="J2" s="20"/>
      <c r="K2" s="20"/>
    </row>
    <row r="3" spans="1:11" x14ac:dyDescent="0.25">
      <c r="A3" s="96" t="s">
        <v>146</v>
      </c>
      <c r="B3" s="7" t="s">
        <v>8</v>
      </c>
      <c r="C3" s="7">
        <v>325</v>
      </c>
      <c r="D3" s="96" t="s">
        <v>5</v>
      </c>
      <c r="E3" s="7"/>
      <c r="G3" s="97" t="s">
        <v>146</v>
      </c>
      <c r="H3" s="11" t="s">
        <v>8</v>
      </c>
      <c r="I3" s="151">
        <v>325</v>
      </c>
      <c r="J3" s="97" t="s">
        <v>5</v>
      </c>
      <c r="K3" s="11"/>
    </row>
    <row r="4" spans="1:11" s="5" customFormat="1" ht="15.75" customHeight="1" x14ac:dyDescent="0.2">
      <c r="A4" s="98" t="s">
        <v>13</v>
      </c>
      <c r="B4" s="81" t="s">
        <v>1</v>
      </c>
      <c r="C4" s="47">
        <v>271</v>
      </c>
      <c r="D4" s="49" t="s">
        <v>5</v>
      </c>
      <c r="E4" s="57"/>
      <c r="G4" s="99" t="s">
        <v>13</v>
      </c>
      <c r="H4" s="82" t="s">
        <v>1</v>
      </c>
      <c r="I4" s="175">
        <v>271</v>
      </c>
      <c r="J4" s="52" t="s">
        <v>5</v>
      </c>
      <c r="K4" s="58"/>
    </row>
    <row r="5" spans="1:11" x14ac:dyDescent="0.25">
      <c r="A5" s="96" t="s">
        <v>158</v>
      </c>
      <c r="B5" s="83" t="s">
        <v>1</v>
      </c>
      <c r="C5" s="101">
        <v>56.8</v>
      </c>
      <c r="D5" s="84" t="s">
        <v>151</v>
      </c>
      <c r="E5" s="7"/>
      <c r="G5" s="97" t="s">
        <v>158</v>
      </c>
      <c r="H5" s="85" t="s">
        <v>1</v>
      </c>
      <c r="I5" s="177">
        <v>56.8</v>
      </c>
      <c r="J5" s="86" t="s">
        <v>151</v>
      </c>
      <c r="K5" s="11"/>
    </row>
    <row r="6" spans="1:11" x14ac:dyDescent="0.25">
      <c r="A6" s="96" t="s">
        <v>29</v>
      </c>
      <c r="B6" s="83" t="s">
        <v>1</v>
      </c>
      <c r="C6" s="83">
        <v>127</v>
      </c>
      <c r="D6" s="84" t="s">
        <v>155</v>
      </c>
      <c r="E6" s="7"/>
      <c r="G6" s="97" t="s">
        <v>29</v>
      </c>
      <c r="H6" s="85" t="s">
        <v>1</v>
      </c>
      <c r="I6" s="169">
        <v>127</v>
      </c>
      <c r="J6" s="86" t="s">
        <v>155</v>
      </c>
      <c r="K6" s="11"/>
    </row>
    <row r="7" spans="1:11" x14ac:dyDescent="0.25">
      <c r="A7" s="96" t="s">
        <v>159</v>
      </c>
      <c r="B7" s="83" t="s">
        <v>1</v>
      </c>
      <c r="C7" s="103">
        <v>5.49</v>
      </c>
      <c r="D7" s="84" t="s">
        <v>18</v>
      </c>
      <c r="E7" s="7"/>
      <c r="G7" s="97" t="s">
        <v>159</v>
      </c>
      <c r="H7" s="85" t="s">
        <v>1</v>
      </c>
      <c r="I7" s="178">
        <v>5.49</v>
      </c>
      <c r="J7" s="86" t="s">
        <v>18</v>
      </c>
      <c r="K7" s="11"/>
    </row>
    <row r="8" spans="1:11" x14ac:dyDescent="0.25">
      <c r="A8" s="96"/>
      <c r="B8" s="83"/>
      <c r="C8" s="83"/>
      <c r="D8" s="84"/>
      <c r="E8" s="7"/>
      <c r="G8" s="97"/>
      <c r="H8" s="85"/>
      <c r="I8" s="169"/>
      <c r="J8" s="86"/>
      <c r="K8" s="11"/>
    </row>
    <row r="9" spans="1:11" ht="30" x14ac:dyDescent="0.25">
      <c r="A9" s="39" t="s">
        <v>160</v>
      </c>
      <c r="B9" s="67" t="s">
        <v>1</v>
      </c>
      <c r="C9" s="67">
        <v>-85</v>
      </c>
      <c r="D9" s="43" t="s">
        <v>5</v>
      </c>
      <c r="E9" s="43"/>
      <c r="G9" s="20" t="s">
        <v>160</v>
      </c>
      <c r="H9" s="69" t="s">
        <v>1</v>
      </c>
      <c r="I9" s="166">
        <v>-85</v>
      </c>
      <c r="J9" s="46" t="s">
        <v>5</v>
      </c>
      <c r="K9" s="46"/>
    </row>
    <row r="10" spans="1:11" x14ac:dyDescent="0.25">
      <c r="A10" s="43" t="s">
        <v>161</v>
      </c>
      <c r="B10" s="67" t="s">
        <v>1</v>
      </c>
      <c r="C10" s="67">
        <f>C3-C9</f>
        <v>410</v>
      </c>
      <c r="D10" s="43" t="s">
        <v>5</v>
      </c>
      <c r="E10" s="43"/>
      <c r="G10" s="46" t="s">
        <v>161</v>
      </c>
      <c r="H10" s="69" t="s">
        <v>1</v>
      </c>
      <c r="I10" s="166">
        <f>I3-I9</f>
        <v>410</v>
      </c>
      <c r="J10" s="46" t="s">
        <v>5</v>
      </c>
      <c r="K10" s="46"/>
    </row>
    <row r="11" spans="1:11" x14ac:dyDescent="0.25">
      <c r="A11" s="43" t="s">
        <v>163</v>
      </c>
      <c r="B11" s="67" t="s">
        <v>1</v>
      </c>
      <c r="C11" s="105">
        <f>141.5/(131.5+C5)</f>
        <v>0.75146043547530528</v>
      </c>
      <c r="D11" s="43" t="s">
        <v>18</v>
      </c>
      <c r="E11" s="43"/>
      <c r="G11" s="46" t="s">
        <v>163</v>
      </c>
      <c r="H11" s="69" t="s">
        <v>1</v>
      </c>
      <c r="I11" s="179">
        <f>141.5/(131.5+I5)</f>
        <v>0.75146043547530528</v>
      </c>
      <c r="J11" s="46" t="s">
        <v>18</v>
      </c>
      <c r="K11" s="46"/>
    </row>
    <row r="12" spans="1:11" ht="30" x14ac:dyDescent="0.25">
      <c r="A12" s="39" t="s">
        <v>162</v>
      </c>
      <c r="B12" s="40" t="s">
        <v>1</v>
      </c>
      <c r="C12" s="106">
        <f>24.2787*(C4+460)^0.58848*C11^0.3596</f>
        <v>1061.5962297579033</v>
      </c>
      <c r="D12" s="43" t="s">
        <v>15</v>
      </c>
      <c r="E12" s="43"/>
      <c r="G12" s="20" t="s">
        <v>162</v>
      </c>
      <c r="H12" s="44" t="s">
        <v>1</v>
      </c>
      <c r="I12" s="180">
        <f>24.2787*(I4+460)^0.58848*I11^0.3596</f>
        <v>1061.5962297579033</v>
      </c>
      <c r="J12" s="46" t="s">
        <v>15</v>
      </c>
      <c r="K12" s="46"/>
    </row>
    <row r="13" spans="1:11" x14ac:dyDescent="0.25">
      <c r="A13" s="43" t="s">
        <v>164</v>
      </c>
      <c r="B13" s="67" t="s">
        <v>1</v>
      </c>
      <c r="C13" s="106">
        <f>C12-460</f>
        <v>601.5962297579033</v>
      </c>
      <c r="D13" s="43" t="s">
        <v>5</v>
      </c>
      <c r="E13" s="43"/>
      <c r="G13" s="46" t="s">
        <v>164</v>
      </c>
      <c r="H13" s="69" t="s">
        <v>1</v>
      </c>
      <c r="I13" s="180">
        <f>I12-460</f>
        <v>601.5962297579033</v>
      </c>
      <c r="J13" s="46" t="s">
        <v>5</v>
      </c>
      <c r="K13" s="46"/>
    </row>
    <row r="14" spans="1:11" s="5" customFormat="1" ht="42.75" customHeight="1" x14ac:dyDescent="0.2">
      <c r="A14" s="78" t="s">
        <v>165</v>
      </c>
      <c r="B14" s="40" t="s">
        <v>1</v>
      </c>
      <c r="C14" s="107">
        <f>3122810000*(C4+460)^-2.3125*(C11^2.3021)</f>
        <v>385.53171096995902</v>
      </c>
      <c r="D14" s="42" t="s">
        <v>0</v>
      </c>
      <c r="E14" s="42"/>
      <c r="G14" s="79" t="s">
        <v>165</v>
      </c>
      <c r="H14" s="44" t="s">
        <v>1</v>
      </c>
      <c r="I14" s="181">
        <f>3122810000*(I4+460)^-2.3125*(I11^2.3021)</f>
        <v>385.53171096995902</v>
      </c>
      <c r="J14" s="45" t="s">
        <v>0</v>
      </c>
      <c r="K14" s="45"/>
    </row>
    <row r="15" spans="1:11" ht="6" customHeight="1" x14ac:dyDescent="0.25">
      <c r="A15" s="43"/>
      <c r="B15" s="67"/>
      <c r="C15" s="67"/>
      <c r="D15" s="43"/>
      <c r="E15" s="43"/>
      <c r="G15" s="46"/>
      <c r="H15" s="69"/>
      <c r="I15" s="69"/>
      <c r="J15" s="46"/>
      <c r="K15" s="46"/>
    </row>
    <row r="16" spans="1:11" x14ac:dyDescent="0.25">
      <c r="A16" s="43" t="s">
        <v>148</v>
      </c>
      <c r="B16" s="67"/>
      <c r="C16" s="67"/>
      <c r="D16" s="43"/>
      <c r="E16" s="43"/>
      <c r="G16" s="46" t="s">
        <v>148</v>
      </c>
      <c r="H16" s="69"/>
      <c r="I16" s="69"/>
      <c r="J16" s="46"/>
      <c r="K16" s="46"/>
    </row>
    <row r="17" spans="1:11" ht="36" customHeight="1" x14ac:dyDescent="0.25">
      <c r="A17" s="198" t="s">
        <v>167</v>
      </c>
      <c r="B17" s="198"/>
      <c r="C17" s="198"/>
      <c r="D17" s="198"/>
      <c r="E17" s="198"/>
      <c r="G17" s="199" t="s">
        <v>166</v>
      </c>
      <c r="H17" s="199"/>
      <c r="I17" s="199"/>
      <c r="J17" s="199"/>
      <c r="K17" s="199"/>
    </row>
    <row r="20" spans="1:11" x14ac:dyDescent="0.25">
      <c r="A20" s="15" t="s">
        <v>305</v>
      </c>
    </row>
    <row r="21" spans="1:11" x14ac:dyDescent="0.25">
      <c r="A21" s="15" t="s">
        <v>306</v>
      </c>
    </row>
    <row r="22" spans="1:11" x14ac:dyDescent="0.25">
      <c r="A22" s="15" t="s">
        <v>307</v>
      </c>
    </row>
    <row r="23" spans="1:11" x14ac:dyDescent="0.25">
      <c r="A23" s="15" t="s">
        <v>308</v>
      </c>
    </row>
    <row r="24" spans="1:11" x14ac:dyDescent="0.25">
      <c r="A24" s="15" t="s">
        <v>309</v>
      </c>
    </row>
    <row r="26" spans="1:11" x14ac:dyDescent="0.25">
      <c r="J26" s="176"/>
    </row>
  </sheetData>
  <sheetProtection password="F030" sheet="1" objects="1" scenarios="1"/>
  <mergeCells count="4">
    <mergeCell ref="A1:E1"/>
    <mergeCell ref="G1:K1"/>
    <mergeCell ref="A17:E17"/>
    <mergeCell ref="G17:K17"/>
  </mergeCells>
  <pageMargins left="0.7" right="0.7" top="0.75" bottom="0.75" header="0.3" footer="0.3"/>
  <pageSetup paperSize="201" scale="60" orientation="portrait" r:id="rId1"/>
  <headerFooter>
    <oddHeader xml:space="preserve">&amp;CCALCULATION SPREADSHEET FOR GPSA ENGINEERING DATA BOOK 13TH EDITION
EXAMPLE 23-6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zoomScale="80" zoomScaleNormal="80" workbookViewId="0">
      <selection activeCell="L12" sqref="L12:L25"/>
    </sheetView>
  </sheetViews>
  <sheetFormatPr defaultRowHeight="15" x14ac:dyDescent="0.25"/>
  <cols>
    <col min="1" max="1" width="21.42578125" style="9" customWidth="1"/>
    <col min="2" max="2" width="9.140625" style="16"/>
    <col min="3" max="3" width="15" style="16" customWidth="1"/>
    <col min="4" max="5" width="10.5703125" style="9" customWidth="1"/>
    <col min="6" max="6" width="9.140625" style="9"/>
    <col min="7" max="7" width="14.7109375" style="9" customWidth="1"/>
    <col min="8" max="9" width="9.140625" style="9"/>
    <col min="10" max="10" width="22.140625" style="9" customWidth="1"/>
    <col min="11" max="11" width="9.140625" style="16"/>
    <col min="12" max="12" width="17" style="16" customWidth="1"/>
    <col min="13" max="13" width="10.7109375" style="9" bestFit="1" customWidth="1"/>
    <col min="14" max="15" width="9.140625" style="9"/>
    <col min="16" max="16" width="18" style="9" customWidth="1"/>
    <col min="17" max="16384" width="9.140625" style="9"/>
  </cols>
  <sheetData>
    <row r="1" spans="1:17" ht="21" customHeight="1" x14ac:dyDescent="0.25">
      <c r="A1" s="202" t="s">
        <v>3</v>
      </c>
      <c r="B1" s="203"/>
      <c r="C1" s="203"/>
      <c r="D1" s="203"/>
      <c r="E1" s="203"/>
      <c r="F1" s="203"/>
      <c r="G1" s="203"/>
      <c r="H1" s="43"/>
      <c r="J1" s="204" t="s">
        <v>3</v>
      </c>
      <c r="K1" s="205"/>
      <c r="L1" s="205"/>
      <c r="M1" s="205"/>
      <c r="N1" s="205"/>
      <c r="O1" s="205"/>
      <c r="P1" s="206"/>
      <c r="Q1" s="46"/>
    </row>
    <row r="2" spans="1:17" x14ac:dyDescent="0.25">
      <c r="A2" s="6" t="s">
        <v>2</v>
      </c>
      <c r="B2" s="7"/>
      <c r="C2" s="7"/>
      <c r="D2" s="6"/>
      <c r="E2" s="8"/>
      <c r="F2" s="8"/>
      <c r="G2" s="8"/>
      <c r="H2" s="43"/>
      <c r="J2" s="10" t="s">
        <v>2</v>
      </c>
      <c r="K2" s="11"/>
      <c r="L2" s="11"/>
      <c r="M2" s="10"/>
      <c r="N2" s="12"/>
      <c r="O2" s="12"/>
      <c r="P2" s="12"/>
      <c r="Q2" s="46"/>
    </row>
    <row r="3" spans="1:17" x14ac:dyDescent="0.25">
      <c r="A3" s="6" t="s">
        <v>4</v>
      </c>
      <c r="B3" s="7" t="s">
        <v>1</v>
      </c>
      <c r="C3" s="7">
        <v>418</v>
      </c>
      <c r="D3" s="6" t="s">
        <v>5</v>
      </c>
      <c r="E3" s="8"/>
      <c r="F3" s="8"/>
      <c r="G3" s="8"/>
      <c r="H3" s="43"/>
      <c r="J3" s="10" t="s">
        <v>4</v>
      </c>
      <c r="K3" s="11" t="s">
        <v>1</v>
      </c>
      <c r="L3" s="151">
        <v>418</v>
      </c>
      <c r="M3" s="10" t="s">
        <v>5</v>
      </c>
      <c r="N3" s="12"/>
      <c r="O3" s="12"/>
      <c r="P3" s="12"/>
      <c r="Q3" s="46"/>
    </row>
    <row r="4" spans="1:17" x14ac:dyDescent="0.25">
      <c r="A4" s="6" t="s">
        <v>6</v>
      </c>
      <c r="B4" s="7" t="s">
        <v>1</v>
      </c>
      <c r="C4" s="7">
        <v>0.75</v>
      </c>
      <c r="D4" s="6"/>
      <c r="E4" s="8"/>
      <c r="F4" s="8"/>
      <c r="G4" s="8"/>
      <c r="H4" s="43"/>
      <c r="J4" s="10" t="s">
        <v>6</v>
      </c>
      <c r="K4" s="11" t="s">
        <v>1</v>
      </c>
      <c r="L4" s="151">
        <v>0.75</v>
      </c>
      <c r="M4" s="10"/>
      <c r="N4" s="12"/>
      <c r="O4" s="12"/>
      <c r="P4" s="12"/>
      <c r="Q4" s="46"/>
    </row>
    <row r="5" spans="1:17" x14ac:dyDescent="0.25">
      <c r="A5" s="6" t="s">
        <v>7</v>
      </c>
      <c r="B5" s="7" t="s">
        <v>8</v>
      </c>
      <c r="C5" s="7">
        <v>41</v>
      </c>
      <c r="D5" s="6" t="s">
        <v>9</v>
      </c>
      <c r="E5" s="8"/>
      <c r="F5" s="8"/>
      <c r="G5" s="8"/>
      <c r="H5" s="43"/>
      <c r="J5" s="10" t="s">
        <v>7</v>
      </c>
      <c r="K5" s="11" t="s">
        <v>8</v>
      </c>
      <c r="L5" s="151">
        <v>41</v>
      </c>
      <c r="M5" s="10" t="s">
        <v>9</v>
      </c>
      <c r="N5" s="12"/>
      <c r="O5" s="12"/>
      <c r="P5" s="12"/>
      <c r="Q5" s="46"/>
    </row>
    <row r="6" spans="1:17" x14ac:dyDescent="0.25">
      <c r="A6" s="6"/>
      <c r="B6" s="7"/>
      <c r="C6" s="13"/>
      <c r="D6" s="6"/>
      <c r="E6" s="8"/>
      <c r="F6" s="8"/>
      <c r="G6" s="8"/>
      <c r="H6" s="43"/>
      <c r="J6" s="10"/>
      <c r="K6" s="11"/>
      <c r="L6" s="14"/>
      <c r="M6" s="10"/>
      <c r="N6" s="12"/>
      <c r="O6" s="12"/>
      <c r="P6" s="12"/>
      <c r="Q6" s="46"/>
    </row>
    <row r="7" spans="1:17" x14ac:dyDescent="0.25">
      <c r="A7" s="6" t="s">
        <v>10</v>
      </c>
      <c r="B7" s="7"/>
      <c r="C7" s="7"/>
      <c r="D7" s="6"/>
      <c r="E7" s="8"/>
      <c r="F7" s="8"/>
      <c r="G7" s="8"/>
      <c r="H7" s="43"/>
      <c r="J7" s="10" t="s">
        <v>10</v>
      </c>
      <c r="K7" s="11"/>
      <c r="L7" s="11"/>
      <c r="M7" s="10"/>
      <c r="N7" s="12"/>
      <c r="O7" s="12"/>
      <c r="P7" s="12"/>
      <c r="Q7" s="46"/>
    </row>
    <row r="8" spans="1:17" x14ac:dyDescent="0.25">
      <c r="A8" s="6" t="s">
        <v>11</v>
      </c>
      <c r="B8" s="7"/>
      <c r="C8" s="7"/>
      <c r="D8" s="6"/>
      <c r="E8" s="8"/>
      <c r="F8" s="8"/>
      <c r="G8" s="8"/>
      <c r="H8" s="43"/>
      <c r="J8" s="10" t="s">
        <v>11</v>
      </c>
      <c r="K8" s="11"/>
      <c r="L8" s="151"/>
      <c r="M8" s="10"/>
      <c r="N8" s="12"/>
      <c r="O8" s="12"/>
      <c r="P8" s="12"/>
      <c r="Q8" s="46"/>
    </row>
    <row r="9" spans="1:17" x14ac:dyDescent="0.25">
      <c r="A9" s="6"/>
      <c r="B9" s="7" t="s">
        <v>1</v>
      </c>
      <c r="C9" s="7">
        <v>-3</v>
      </c>
      <c r="D9" s="6" t="s">
        <v>5</v>
      </c>
      <c r="E9" s="8"/>
      <c r="F9" s="8"/>
      <c r="G9" s="8"/>
      <c r="H9" s="43"/>
      <c r="J9" s="10"/>
      <c r="K9" s="11" t="s">
        <v>1</v>
      </c>
      <c r="L9" s="151">
        <v>-3</v>
      </c>
      <c r="M9" s="10" t="s">
        <v>5</v>
      </c>
      <c r="N9" s="12"/>
      <c r="O9" s="12"/>
      <c r="P9" s="12"/>
      <c r="Q9" s="46"/>
    </row>
    <row r="10" spans="1:17" x14ac:dyDescent="0.25">
      <c r="A10" s="6" t="s">
        <v>12</v>
      </c>
      <c r="B10" s="7"/>
      <c r="C10" s="7"/>
      <c r="D10" s="6"/>
      <c r="E10" s="8"/>
      <c r="F10" s="8"/>
      <c r="G10" s="8"/>
      <c r="H10" s="43"/>
      <c r="J10" s="10" t="s">
        <v>12</v>
      </c>
      <c r="K10" s="11"/>
      <c r="L10" s="11"/>
      <c r="M10" s="10"/>
      <c r="N10" s="12"/>
      <c r="O10" s="12"/>
      <c r="P10" s="12"/>
      <c r="Q10" s="46"/>
    </row>
    <row r="11" spans="1:17" x14ac:dyDescent="0.25">
      <c r="A11" s="6"/>
      <c r="B11" s="7" t="s">
        <v>1</v>
      </c>
      <c r="C11" s="83">
        <v>-5</v>
      </c>
      <c r="D11" s="6" t="s">
        <v>5</v>
      </c>
      <c r="E11" s="8"/>
      <c r="F11" s="8"/>
      <c r="G11" s="8"/>
      <c r="H11" s="43"/>
      <c r="J11" s="10"/>
      <c r="K11" s="11" t="s">
        <v>1</v>
      </c>
      <c r="L11" s="169">
        <v>-5</v>
      </c>
      <c r="M11" s="10" t="s">
        <v>5</v>
      </c>
      <c r="N11" s="12"/>
      <c r="O11" s="12"/>
      <c r="P11" s="12"/>
      <c r="Q11" s="46"/>
    </row>
    <row r="12" spans="1:17" x14ac:dyDescent="0.25">
      <c r="A12" s="6" t="s">
        <v>13</v>
      </c>
      <c r="B12" s="7" t="s">
        <v>1</v>
      </c>
      <c r="C12" s="7">
        <f>C3+C9</f>
        <v>415</v>
      </c>
      <c r="D12" s="6" t="s">
        <v>5</v>
      </c>
      <c r="E12" s="8"/>
      <c r="F12" s="8"/>
      <c r="G12" s="8"/>
      <c r="H12" s="43"/>
      <c r="J12" s="10" t="s">
        <v>13</v>
      </c>
      <c r="K12" s="11" t="s">
        <v>1</v>
      </c>
      <c r="L12" s="151">
        <f>L3+L9</f>
        <v>415</v>
      </c>
      <c r="M12" s="10" t="s">
        <v>5</v>
      </c>
      <c r="N12" s="12"/>
      <c r="O12" s="12"/>
      <c r="P12" s="12"/>
      <c r="Q12" s="46"/>
    </row>
    <row r="13" spans="1:17" x14ac:dyDescent="0.25">
      <c r="A13" s="6" t="s">
        <v>14</v>
      </c>
      <c r="B13" s="7" t="s">
        <v>1</v>
      </c>
      <c r="C13" s="83">
        <f>C3+C11</f>
        <v>413</v>
      </c>
      <c r="D13" s="6" t="s">
        <v>5</v>
      </c>
      <c r="E13" s="8"/>
      <c r="F13" s="8"/>
      <c r="G13" s="8"/>
      <c r="H13" s="43"/>
      <c r="J13" s="10" t="s">
        <v>14</v>
      </c>
      <c r="K13" s="11" t="s">
        <v>1</v>
      </c>
      <c r="L13" s="169">
        <f>L3+L11</f>
        <v>413</v>
      </c>
      <c r="M13" s="10" t="s">
        <v>5</v>
      </c>
      <c r="N13" s="12"/>
      <c r="O13" s="12"/>
      <c r="P13" s="12"/>
      <c r="Q13" s="46"/>
    </row>
    <row r="14" spans="1:17" x14ac:dyDescent="0.25">
      <c r="A14" s="6"/>
      <c r="B14" s="7"/>
      <c r="C14" s="7"/>
      <c r="D14" s="6"/>
      <c r="E14" s="8"/>
      <c r="F14" s="8"/>
      <c r="G14" s="8"/>
      <c r="H14" s="43"/>
      <c r="J14" s="10"/>
      <c r="K14" s="11"/>
      <c r="L14" s="151"/>
      <c r="M14" s="10"/>
      <c r="N14" s="12"/>
      <c r="O14" s="12"/>
      <c r="P14" s="12"/>
      <c r="Q14" s="46"/>
    </row>
    <row r="15" spans="1:17" x14ac:dyDescent="0.25">
      <c r="A15" s="6" t="s">
        <v>17</v>
      </c>
      <c r="B15" s="7" t="s">
        <v>1</v>
      </c>
      <c r="C15" s="7">
        <f>C12+460</f>
        <v>875</v>
      </c>
      <c r="D15" s="6" t="s">
        <v>15</v>
      </c>
      <c r="E15" s="6"/>
      <c r="F15" s="6"/>
      <c r="G15" s="43"/>
      <c r="H15" s="13"/>
      <c r="J15" s="10" t="s">
        <v>17</v>
      </c>
      <c r="K15" s="11" t="s">
        <v>1</v>
      </c>
      <c r="L15" s="151">
        <f>L12+460</f>
        <v>875</v>
      </c>
      <c r="M15" s="10" t="s">
        <v>15</v>
      </c>
      <c r="N15" s="10"/>
      <c r="O15" s="10"/>
      <c r="P15" s="46"/>
      <c r="Q15" s="46"/>
    </row>
    <row r="16" spans="1:17" x14ac:dyDescent="0.25">
      <c r="A16" s="6" t="s">
        <v>16</v>
      </c>
      <c r="B16" s="7" t="s">
        <v>1</v>
      </c>
      <c r="C16" s="13">
        <f>141.5/(131.5+C5)</f>
        <v>0.82028985507246377</v>
      </c>
      <c r="D16" s="6" t="s">
        <v>18</v>
      </c>
      <c r="E16" s="8"/>
      <c r="F16" s="8"/>
      <c r="G16" s="8"/>
      <c r="H16" s="43"/>
      <c r="J16" s="10" t="s">
        <v>16</v>
      </c>
      <c r="K16" s="11" t="s">
        <v>1</v>
      </c>
      <c r="L16" s="152">
        <f>141.5/(131.5+L5)</f>
        <v>0.82028985507246377</v>
      </c>
      <c r="M16" s="10" t="s">
        <v>18</v>
      </c>
      <c r="N16" s="12"/>
      <c r="O16" s="12"/>
      <c r="P16" s="12"/>
      <c r="Q16" s="46"/>
    </row>
    <row r="17" spans="1:17" x14ac:dyDescent="0.25">
      <c r="A17" s="6"/>
      <c r="B17" s="7"/>
      <c r="C17" s="13"/>
      <c r="D17" s="6"/>
      <c r="E17" s="8"/>
      <c r="F17" s="8"/>
      <c r="G17" s="8"/>
      <c r="H17" s="43"/>
      <c r="J17" s="10"/>
      <c r="K17" s="11"/>
      <c r="L17" s="14"/>
      <c r="M17" s="10"/>
      <c r="N17" s="12"/>
      <c r="O17" s="12"/>
      <c r="P17" s="12"/>
      <c r="Q17" s="46"/>
    </row>
    <row r="18" spans="1:17" x14ac:dyDescent="0.25">
      <c r="A18" s="6" t="s">
        <v>20</v>
      </c>
      <c r="B18" s="108"/>
      <c r="C18" s="108"/>
      <c r="D18" s="109"/>
      <c r="E18" s="109"/>
      <c r="F18" s="109"/>
      <c r="G18" s="109"/>
      <c r="H18" s="43"/>
      <c r="J18" s="10" t="s">
        <v>20</v>
      </c>
      <c r="K18" s="110"/>
      <c r="L18" s="110"/>
      <c r="M18" s="111"/>
      <c r="N18" s="111"/>
      <c r="O18" s="111"/>
      <c r="P18" s="111"/>
      <c r="Q18" s="46"/>
    </row>
    <row r="19" spans="1:17" ht="16.5" x14ac:dyDescent="0.3">
      <c r="A19" s="6" t="s">
        <v>23</v>
      </c>
      <c r="B19" s="108" t="s">
        <v>1</v>
      </c>
      <c r="C19" s="112">
        <f>3.12281*10^9*C15^-2.3125*C16^2.3201</f>
        <v>310.13270375988208</v>
      </c>
      <c r="D19" s="6" t="s">
        <v>0</v>
      </c>
      <c r="E19" s="109"/>
      <c r="F19" s="109"/>
      <c r="G19" s="109"/>
      <c r="H19" s="43"/>
      <c r="J19" s="10" t="s">
        <v>23</v>
      </c>
      <c r="K19" s="110" t="s">
        <v>1</v>
      </c>
      <c r="L19" s="182">
        <f>3.12281*10^9*L15^-2.3125*L16^2.3201</f>
        <v>310.13270375988208</v>
      </c>
      <c r="M19" s="10" t="s">
        <v>0</v>
      </c>
      <c r="N19" s="111"/>
      <c r="O19" s="111"/>
      <c r="P19" s="111"/>
      <c r="Q19" s="46"/>
    </row>
    <row r="20" spans="1:17" x14ac:dyDescent="0.25">
      <c r="A20" s="6"/>
      <c r="B20" s="108"/>
      <c r="C20" s="113"/>
      <c r="D20" s="109"/>
      <c r="E20" s="109"/>
      <c r="F20" s="108"/>
      <c r="G20" s="114"/>
      <c r="H20" s="115"/>
      <c r="J20" s="10"/>
      <c r="K20" s="110"/>
      <c r="L20" s="116"/>
      <c r="M20" s="111"/>
      <c r="N20" s="111"/>
      <c r="O20" s="110"/>
      <c r="P20" s="117"/>
      <c r="Q20" s="118"/>
    </row>
    <row r="21" spans="1:17" x14ac:dyDescent="0.25">
      <c r="A21" s="6" t="s">
        <v>19</v>
      </c>
      <c r="B21" s="108"/>
      <c r="C21" s="113"/>
      <c r="D21" s="6"/>
      <c r="E21" s="109"/>
      <c r="F21" s="108"/>
      <c r="G21" s="114"/>
      <c r="H21" s="115"/>
      <c r="J21" s="10" t="s">
        <v>19</v>
      </c>
      <c r="K21" s="110"/>
      <c r="L21" s="116"/>
      <c r="M21" s="111"/>
      <c r="N21" s="111"/>
      <c r="O21" s="110"/>
      <c r="P21" s="117"/>
      <c r="Q21" s="118"/>
    </row>
    <row r="22" spans="1:17" ht="16.5" x14ac:dyDescent="0.3">
      <c r="A22" s="6" t="s">
        <v>21</v>
      </c>
      <c r="B22" s="7" t="s">
        <v>1</v>
      </c>
      <c r="C22" s="21">
        <f>24.2787*C15^0.58848*C16^0.3596</f>
        <v>1217.8701427274545</v>
      </c>
      <c r="D22" s="119" t="s">
        <v>15</v>
      </c>
      <c r="E22" s="6"/>
      <c r="F22" s="6"/>
      <c r="G22" s="6"/>
      <c r="H22" s="43"/>
      <c r="J22" s="10" t="s">
        <v>21</v>
      </c>
      <c r="K22" s="11" t="s">
        <v>1</v>
      </c>
      <c r="L22" s="182">
        <f>24.2787*L15^0.58848*L16^0.3596</f>
        <v>1217.8701427274545</v>
      </c>
      <c r="M22" s="120" t="s">
        <v>15</v>
      </c>
      <c r="N22" s="10"/>
      <c r="O22" s="10"/>
      <c r="P22" s="10"/>
      <c r="Q22" s="46"/>
    </row>
    <row r="23" spans="1:17" x14ac:dyDescent="0.25">
      <c r="A23" s="6"/>
      <c r="B23" s="7"/>
      <c r="C23" s="21"/>
      <c r="D23" s="119"/>
      <c r="E23" s="6"/>
      <c r="F23" s="6"/>
      <c r="G23" s="6"/>
      <c r="H23" s="43"/>
      <c r="J23" s="10"/>
      <c r="K23" s="11"/>
      <c r="L23" s="22"/>
      <c r="M23" s="120"/>
      <c r="N23" s="10"/>
      <c r="O23" s="10"/>
      <c r="P23" s="10"/>
      <c r="Q23" s="46"/>
    </row>
    <row r="24" spans="1:17" x14ac:dyDescent="0.25">
      <c r="A24" s="6" t="s">
        <v>24</v>
      </c>
      <c r="B24" s="121"/>
      <c r="C24" s="121"/>
      <c r="D24" s="122"/>
      <c r="E24" s="8"/>
      <c r="F24" s="8"/>
      <c r="G24" s="8"/>
      <c r="H24" s="43"/>
      <c r="J24" s="10" t="s">
        <v>24</v>
      </c>
      <c r="K24" s="123"/>
      <c r="L24" s="123"/>
      <c r="M24" s="124"/>
      <c r="N24" s="12"/>
      <c r="O24" s="12"/>
      <c r="P24" s="12"/>
      <c r="Q24" s="46"/>
    </row>
    <row r="25" spans="1:17" ht="18.75" x14ac:dyDescent="0.3">
      <c r="A25" s="43" t="s">
        <v>22</v>
      </c>
      <c r="B25" s="90" t="s">
        <v>1</v>
      </c>
      <c r="C25" s="13">
        <f>3/7*(((LOG10(C19))-LOG10(14.7))/((C22/C15)-1))-1</f>
        <v>0.44832189976065928</v>
      </c>
      <c r="D25" s="122"/>
      <c r="E25" s="6" t="s">
        <v>25</v>
      </c>
      <c r="F25" s="8"/>
      <c r="G25" s="8"/>
      <c r="H25" s="43"/>
      <c r="J25" s="46" t="s">
        <v>22</v>
      </c>
      <c r="K25" s="92" t="s">
        <v>1</v>
      </c>
      <c r="L25" s="152">
        <f>3/7*(((LOG10(L19))-LOG10(14.7))/((L22/L15)-1))-1</f>
        <v>0.44832189976065928</v>
      </c>
      <c r="M25" s="124"/>
      <c r="N25" s="10" t="s">
        <v>25</v>
      </c>
      <c r="O25" s="12"/>
      <c r="P25" s="12"/>
      <c r="Q25" s="46"/>
    </row>
    <row r="26" spans="1:17" x14ac:dyDescent="0.25">
      <c r="A26" s="207" t="s">
        <v>285</v>
      </c>
      <c r="B26" s="207"/>
      <c r="C26" s="207"/>
      <c r="D26" s="207"/>
      <c r="E26" s="207"/>
      <c r="F26" s="207"/>
      <c r="G26" s="207"/>
      <c r="H26" s="207"/>
      <c r="J26" s="208" t="s">
        <v>285</v>
      </c>
      <c r="K26" s="208"/>
      <c r="L26" s="208"/>
      <c r="M26" s="208"/>
      <c r="N26" s="208"/>
      <c r="O26" s="208"/>
      <c r="P26" s="208"/>
      <c r="Q26" s="208"/>
    </row>
    <row r="29" spans="1:17" x14ac:dyDescent="0.25">
      <c r="A29" s="15" t="s">
        <v>305</v>
      </c>
    </row>
    <row r="30" spans="1:17" x14ac:dyDescent="0.25">
      <c r="A30" s="15" t="s">
        <v>306</v>
      </c>
    </row>
    <row r="31" spans="1:17" x14ac:dyDescent="0.25">
      <c r="A31" s="15" t="s">
        <v>307</v>
      </c>
    </row>
    <row r="32" spans="1:17" x14ac:dyDescent="0.25">
      <c r="A32" s="15" t="s">
        <v>308</v>
      </c>
    </row>
    <row r="33" spans="1:1" x14ac:dyDescent="0.25">
      <c r="A33" s="15" t="s">
        <v>309</v>
      </c>
    </row>
  </sheetData>
  <sheetProtection password="F030" sheet="1" objects="1" scenarios="1"/>
  <mergeCells count="4">
    <mergeCell ref="A1:G1"/>
    <mergeCell ref="J1:P1"/>
    <mergeCell ref="A26:H26"/>
    <mergeCell ref="J26:Q26"/>
  </mergeCells>
  <phoneticPr fontId="1" type="noConversion"/>
  <pageMargins left="0.75" right="0.75" top="1" bottom="1" header="0.5" footer="0.5"/>
  <pageSetup paperSize="199" scale="57" orientation="landscape" r:id="rId1"/>
  <headerFooter alignWithMargins="0">
    <oddHeader>&amp;CCALCULATION SPREADSHEET FOR GPSA ENGINEERING DATA BOOK, 13&amp;Xth&amp;X ED.
EXAMPLE 23-7</oddHeader>
  </headerFooter>
  <ignoredErrors>
    <ignoredError sqref="L12:L2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2"/>
  <sheetViews>
    <sheetView zoomScale="80" zoomScaleNormal="80" workbookViewId="0">
      <selection activeCell="H38" sqref="H37:H38"/>
    </sheetView>
  </sheetViews>
  <sheetFormatPr defaultRowHeight="15" x14ac:dyDescent="0.25"/>
  <cols>
    <col min="1" max="1" width="21.42578125" style="9" customWidth="1"/>
    <col min="2" max="2" width="9.140625" style="16"/>
    <col min="3" max="3" width="15" style="16" customWidth="1"/>
    <col min="4" max="5" width="10.5703125" style="9" customWidth="1"/>
    <col min="6" max="6" width="9.140625" style="9"/>
    <col min="7" max="7" width="14.7109375" style="9" customWidth="1"/>
    <col min="8" max="10" width="9.140625" style="9"/>
    <col min="11" max="11" width="22.140625" style="9" customWidth="1"/>
    <col min="12" max="12" width="9.140625" style="16"/>
    <col min="13" max="13" width="17" style="16" customWidth="1"/>
    <col min="14" max="14" width="10.7109375" style="9" bestFit="1" customWidth="1"/>
    <col min="15" max="16" width="9.140625" style="9"/>
    <col min="17" max="17" width="18" style="9" customWidth="1"/>
    <col min="18" max="16384" width="9.140625" style="9"/>
  </cols>
  <sheetData>
    <row r="1" spans="1:18" ht="21" customHeight="1" x14ac:dyDescent="0.25">
      <c r="A1" s="202" t="s">
        <v>26</v>
      </c>
      <c r="B1" s="203"/>
      <c r="C1" s="203"/>
      <c r="D1" s="203"/>
      <c r="E1" s="203"/>
      <c r="F1" s="203"/>
      <c r="G1" s="203"/>
      <c r="H1" s="43"/>
      <c r="I1" s="43"/>
      <c r="K1" s="204" t="s">
        <v>26</v>
      </c>
      <c r="L1" s="205"/>
      <c r="M1" s="205"/>
      <c r="N1" s="205"/>
      <c r="O1" s="205"/>
      <c r="P1" s="206"/>
      <c r="Q1" s="206"/>
      <c r="R1" s="46"/>
    </row>
    <row r="2" spans="1:18" x14ac:dyDescent="0.25">
      <c r="A2" s="6" t="s">
        <v>2</v>
      </c>
      <c r="B2" s="7"/>
      <c r="C2" s="7"/>
      <c r="D2" s="6"/>
      <c r="E2" s="8"/>
      <c r="F2" s="8"/>
      <c r="G2" s="8"/>
      <c r="H2" s="43"/>
      <c r="I2" s="43"/>
      <c r="K2" s="10" t="s">
        <v>2</v>
      </c>
      <c r="L2" s="11"/>
      <c r="M2" s="11"/>
      <c r="N2" s="10"/>
      <c r="O2" s="12"/>
      <c r="P2" s="12"/>
      <c r="Q2" s="12"/>
      <c r="R2" s="46"/>
    </row>
    <row r="3" spans="1:18" x14ac:dyDescent="0.25">
      <c r="A3" s="6" t="s">
        <v>27</v>
      </c>
      <c r="B3" s="7" t="s">
        <v>1</v>
      </c>
      <c r="C3" s="21">
        <v>1000</v>
      </c>
      <c r="D3" s="6" t="s">
        <v>0</v>
      </c>
      <c r="E3" s="8"/>
      <c r="F3" s="8"/>
      <c r="G3" s="8"/>
      <c r="H3" s="43"/>
      <c r="I3" s="43"/>
      <c r="K3" s="10" t="s">
        <v>27</v>
      </c>
      <c r="L3" s="11" t="s">
        <v>1</v>
      </c>
      <c r="M3" s="182">
        <v>1000</v>
      </c>
      <c r="N3" s="10" t="s">
        <v>0</v>
      </c>
      <c r="O3" s="12"/>
      <c r="P3" s="12"/>
      <c r="Q3" s="12"/>
      <c r="R3" s="46"/>
    </row>
    <row r="4" spans="1:18" x14ac:dyDescent="0.25">
      <c r="A4" s="6" t="s">
        <v>28</v>
      </c>
      <c r="B4" s="7" t="s">
        <v>1</v>
      </c>
      <c r="C4" s="7">
        <v>100</v>
      </c>
      <c r="D4" s="6" t="s">
        <v>5</v>
      </c>
      <c r="E4" s="8"/>
      <c r="F4" s="8"/>
      <c r="G4" s="8"/>
      <c r="H4" s="43"/>
      <c r="I4" s="43"/>
      <c r="K4" s="10" t="s">
        <v>28</v>
      </c>
      <c r="L4" s="11" t="s">
        <v>1</v>
      </c>
      <c r="M4" s="151">
        <v>100</v>
      </c>
      <c r="N4" s="10" t="s">
        <v>5</v>
      </c>
      <c r="O4" s="12"/>
      <c r="P4" s="12"/>
      <c r="Q4" s="12"/>
      <c r="R4" s="46"/>
    </row>
    <row r="5" spans="1:18" x14ac:dyDescent="0.25">
      <c r="A5" s="6" t="s">
        <v>29</v>
      </c>
      <c r="B5" s="7" t="s">
        <v>8</v>
      </c>
      <c r="C5" s="7">
        <v>22</v>
      </c>
      <c r="D5" s="6" t="s">
        <v>30</v>
      </c>
      <c r="E5" s="8"/>
      <c r="F5" s="8"/>
      <c r="G5" s="8"/>
      <c r="H5" s="43"/>
      <c r="I5" s="43"/>
      <c r="K5" s="10" t="s">
        <v>29</v>
      </c>
      <c r="L5" s="11" t="s">
        <v>8</v>
      </c>
      <c r="M5" s="151">
        <v>22</v>
      </c>
      <c r="N5" s="10" t="s">
        <v>30</v>
      </c>
      <c r="O5" s="12"/>
      <c r="P5" s="12"/>
      <c r="Q5" s="12"/>
      <c r="R5" s="46"/>
    </row>
    <row r="6" spans="1:18" ht="16.5" x14ac:dyDescent="0.3">
      <c r="A6" s="6" t="s">
        <v>32</v>
      </c>
      <c r="B6" s="7" t="s">
        <v>8</v>
      </c>
      <c r="C6" s="21">
        <v>409</v>
      </c>
      <c r="D6" s="6" t="s">
        <v>15</v>
      </c>
      <c r="E6" s="8"/>
      <c r="F6" s="8"/>
      <c r="G6" s="8"/>
      <c r="H6" s="43"/>
      <c r="I6" s="43"/>
      <c r="K6" s="10" t="s">
        <v>32</v>
      </c>
      <c r="L6" s="11" t="s">
        <v>8</v>
      </c>
      <c r="M6" s="182">
        <v>409</v>
      </c>
      <c r="N6" s="10" t="s">
        <v>15</v>
      </c>
      <c r="O6" s="12"/>
      <c r="P6" s="12"/>
      <c r="Q6" s="12"/>
      <c r="R6" s="46"/>
    </row>
    <row r="7" spans="1:18" ht="16.5" x14ac:dyDescent="0.3">
      <c r="A7" s="6" t="s">
        <v>33</v>
      </c>
      <c r="B7" s="7" t="s">
        <v>1</v>
      </c>
      <c r="C7" s="21">
        <v>665</v>
      </c>
      <c r="D7" s="6" t="s">
        <v>0</v>
      </c>
      <c r="E7" s="8"/>
      <c r="F7" s="8"/>
      <c r="G7" s="8"/>
      <c r="H7" s="43"/>
      <c r="I7" s="43"/>
      <c r="K7" s="10" t="s">
        <v>33</v>
      </c>
      <c r="L7" s="11" t="s">
        <v>1</v>
      </c>
      <c r="M7" s="182">
        <v>665</v>
      </c>
      <c r="N7" s="10" t="s">
        <v>0</v>
      </c>
      <c r="O7" s="12"/>
      <c r="P7" s="12"/>
      <c r="Q7" s="12"/>
      <c r="R7" s="46"/>
    </row>
    <row r="8" spans="1:18" x14ac:dyDescent="0.25">
      <c r="A8" s="6"/>
      <c r="B8" s="7"/>
      <c r="C8" s="21"/>
      <c r="D8" s="6"/>
      <c r="E8" s="8"/>
      <c r="F8" s="8"/>
      <c r="G8" s="8"/>
      <c r="H8" s="43"/>
      <c r="I8" s="43"/>
      <c r="K8" s="10"/>
      <c r="L8" s="11"/>
      <c r="M8" s="22"/>
      <c r="N8" s="10"/>
      <c r="O8" s="12"/>
      <c r="P8" s="12"/>
      <c r="Q8" s="12"/>
      <c r="R8" s="46"/>
    </row>
    <row r="9" spans="1:18" x14ac:dyDescent="0.25">
      <c r="A9" s="6" t="s">
        <v>31</v>
      </c>
      <c r="B9" s="7"/>
      <c r="C9" s="21"/>
      <c r="D9" s="6"/>
      <c r="E9" s="8"/>
      <c r="F9" s="8"/>
      <c r="G9" s="8"/>
      <c r="H9" s="43"/>
      <c r="I9" s="43"/>
      <c r="K9" s="10" t="s">
        <v>31</v>
      </c>
      <c r="L9" s="11"/>
      <c r="M9" s="22"/>
      <c r="N9" s="10"/>
      <c r="O9" s="12"/>
      <c r="P9" s="12"/>
      <c r="Q9" s="12"/>
      <c r="R9" s="46"/>
    </row>
    <row r="10" spans="1:18" x14ac:dyDescent="0.25">
      <c r="A10" s="6"/>
      <c r="B10" s="7"/>
      <c r="C10" s="21"/>
      <c r="D10" s="6"/>
      <c r="E10" s="8"/>
      <c r="F10" s="8"/>
      <c r="G10" s="8"/>
      <c r="H10" s="43"/>
      <c r="I10" s="43"/>
      <c r="K10" s="10"/>
      <c r="L10" s="11"/>
      <c r="M10" s="22"/>
      <c r="N10" s="10"/>
      <c r="O10" s="12"/>
      <c r="P10" s="12"/>
      <c r="Q10" s="12"/>
      <c r="R10" s="46"/>
    </row>
    <row r="11" spans="1:18" ht="18" x14ac:dyDescent="0.25">
      <c r="A11" s="6" t="s">
        <v>34</v>
      </c>
      <c r="B11" s="7" t="s">
        <v>1</v>
      </c>
      <c r="C11" s="36">
        <f>C5/28.9625</f>
        <v>0.75960293482952101</v>
      </c>
      <c r="D11" s="6" t="s">
        <v>18</v>
      </c>
      <c r="E11" s="8"/>
      <c r="F11" s="8"/>
      <c r="G11" s="8"/>
      <c r="H11" s="43"/>
      <c r="I11" s="43"/>
      <c r="K11" s="10" t="s">
        <v>34</v>
      </c>
      <c r="L11" s="11" t="s">
        <v>1</v>
      </c>
      <c r="M11" s="155">
        <f>M5/28.9625</f>
        <v>0.75960293482952101</v>
      </c>
      <c r="N11" s="10" t="s">
        <v>18</v>
      </c>
      <c r="O11" s="12"/>
      <c r="P11" s="12"/>
      <c r="Q11" s="12"/>
      <c r="R11" s="46"/>
    </row>
    <row r="12" spans="1:18" ht="16.5" x14ac:dyDescent="0.3">
      <c r="A12" s="96" t="s">
        <v>37</v>
      </c>
      <c r="B12" s="7"/>
      <c r="C12" s="21"/>
      <c r="D12" s="6"/>
      <c r="E12" s="8"/>
      <c r="F12" s="8"/>
      <c r="G12" s="8"/>
      <c r="H12" s="43"/>
      <c r="I12" s="43"/>
      <c r="K12" s="97" t="s">
        <v>37</v>
      </c>
      <c r="L12" s="11"/>
      <c r="M12" s="22"/>
      <c r="N12" s="10"/>
      <c r="O12" s="12"/>
      <c r="P12" s="12"/>
      <c r="Q12" s="12"/>
      <c r="R12" s="46"/>
    </row>
    <row r="13" spans="1:18" ht="19.5" x14ac:dyDescent="0.35">
      <c r="A13" s="6" t="s">
        <v>35</v>
      </c>
      <c r="B13" s="7" t="s">
        <v>1</v>
      </c>
      <c r="C13" s="125">
        <v>1.0500000000000001E-2</v>
      </c>
      <c r="D13" s="6" t="s">
        <v>36</v>
      </c>
      <c r="E13" s="8"/>
      <c r="F13" s="8"/>
      <c r="G13" s="8"/>
      <c r="H13" s="43"/>
      <c r="I13" s="43"/>
      <c r="K13" s="10" t="s">
        <v>35</v>
      </c>
      <c r="L13" s="11" t="s">
        <v>1</v>
      </c>
      <c r="M13" s="183">
        <v>1.0500000000000001E-2</v>
      </c>
      <c r="N13" s="10" t="s">
        <v>36</v>
      </c>
      <c r="O13" s="12"/>
      <c r="P13" s="12"/>
      <c r="Q13" s="12"/>
      <c r="R13" s="46"/>
    </row>
    <row r="14" spans="1:18" ht="18.75" x14ac:dyDescent="0.35">
      <c r="A14" s="6" t="s">
        <v>38</v>
      </c>
      <c r="B14" s="7"/>
      <c r="C14" s="7"/>
      <c r="D14" s="6"/>
      <c r="E14" s="8"/>
      <c r="F14" s="8"/>
      <c r="G14" s="8"/>
      <c r="H14" s="43"/>
      <c r="I14" s="43"/>
      <c r="K14" s="10" t="s">
        <v>38</v>
      </c>
      <c r="L14" s="11"/>
      <c r="M14" s="11"/>
      <c r="N14" s="10"/>
      <c r="O14" s="12"/>
      <c r="P14" s="12"/>
      <c r="Q14" s="12"/>
      <c r="R14" s="46"/>
    </row>
    <row r="15" spans="1:18" ht="18.75" x14ac:dyDescent="0.35">
      <c r="A15" s="127" t="s">
        <v>39</v>
      </c>
      <c r="B15" s="7" t="s">
        <v>1</v>
      </c>
      <c r="C15" s="103">
        <f>(C4+459.67)/C6</f>
        <v>1.3683863080684597</v>
      </c>
      <c r="D15" s="6" t="s">
        <v>18</v>
      </c>
      <c r="E15" s="8"/>
      <c r="F15" s="8"/>
      <c r="G15" s="8"/>
      <c r="H15" s="43"/>
      <c r="I15" s="43"/>
      <c r="K15" s="128" t="s">
        <v>39</v>
      </c>
      <c r="L15" s="11" t="s">
        <v>1</v>
      </c>
      <c r="M15" s="178">
        <f>(M4+459.67)/M6</f>
        <v>1.3683863080684597</v>
      </c>
      <c r="N15" s="10" t="s">
        <v>18</v>
      </c>
      <c r="O15" s="12"/>
      <c r="P15" s="12"/>
      <c r="Q15" s="12"/>
      <c r="R15" s="46"/>
    </row>
    <row r="16" spans="1:18" ht="18.75" x14ac:dyDescent="0.35">
      <c r="A16" s="6" t="s">
        <v>40</v>
      </c>
      <c r="B16" s="7"/>
      <c r="C16" s="7"/>
      <c r="D16" s="6"/>
      <c r="E16" s="8"/>
      <c r="F16" s="8"/>
      <c r="G16" s="8"/>
      <c r="H16" s="43"/>
      <c r="I16" s="43"/>
      <c r="K16" s="10" t="s">
        <v>40</v>
      </c>
      <c r="L16" s="11"/>
      <c r="M16" s="11"/>
      <c r="N16" s="10"/>
      <c r="O16" s="12"/>
      <c r="P16" s="12"/>
      <c r="Q16" s="12"/>
      <c r="R16" s="46"/>
    </row>
    <row r="17" spans="1:18" ht="18.75" x14ac:dyDescent="0.35">
      <c r="A17" s="127" t="s">
        <v>41</v>
      </c>
      <c r="B17" s="7" t="s">
        <v>8</v>
      </c>
      <c r="C17" s="103">
        <f>C3/C7</f>
        <v>1.5037593984962405</v>
      </c>
      <c r="D17" s="6" t="s">
        <v>18</v>
      </c>
      <c r="E17" s="8"/>
      <c r="F17" s="8"/>
      <c r="G17" s="8"/>
      <c r="H17" s="43"/>
      <c r="I17" s="43"/>
      <c r="K17" s="128" t="s">
        <v>41</v>
      </c>
      <c r="L17" s="11" t="s">
        <v>8</v>
      </c>
      <c r="M17" s="178">
        <f>M3/M7</f>
        <v>1.5037593984962405</v>
      </c>
      <c r="N17" s="10" t="s">
        <v>18</v>
      </c>
      <c r="O17" s="12"/>
      <c r="P17" s="12"/>
      <c r="Q17" s="12"/>
      <c r="R17" s="46"/>
    </row>
    <row r="18" spans="1:18" x14ac:dyDescent="0.25">
      <c r="A18" s="6"/>
      <c r="B18" s="7"/>
      <c r="C18" s="83"/>
      <c r="D18" s="6"/>
      <c r="E18" s="8"/>
      <c r="F18" s="8"/>
      <c r="G18" s="8"/>
      <c r="H18" s="43"/>
      <c r="I18" s="43"/>
      <c r="K18" s="10"/>
      <c r="L18" s="11"/>
      <c r="M18" s="85"/>
      <c r="N18" s="10"/>
      <c r="O18" s="12"/>
      <c r="P18" s="12"/>
      <c r="Q18" s="12"/>
      <c r="R18" s="46"/>
    </row>
    <row r="19" spans="1:18" ht="18.75" x14ac:dyDescent="0.35">
      <c r="A19" s="6" t="s">
        <v>46</v>
      </c>
      <c r="B19" s="7"/>
      <c r="C19" s="7"/>
      <c r="D19" s="6"/>
      <c r="E19" s="8"/>
      <c r="F19" s="8"/>
      <c r="G19" s="8"/>
      <c r="H19" s="43"/>
      <c r="I19" s="43"/>
      <c r="K19" s="10" t="s">
        <v>47</v>
      </c>
      <c r="L19" s="11"/>
      <c r="M19" s="11"/>
      <c r="N19" s="10"/>
      <c r="O19" s="12"/>
      <c r="P19" s="12"/>
      <c r="Q19" s="12"/>
      <c r="R19" s="46"/>
    </row>
    <row r="20" spans="1:18" ht="31.5" x14ac:dyDescent="0.3">
      <c r="A20" s="35" t="s">
        <v>45</v>
      </c>
      <c r="B20" s="47" t="s">
        <v>1</v>
      </c>
      <c r="C20" s="129">
        <v>1.21</v>
      </c>
      <c r="D20" s="49" t="s">
        <v>18</v>
      </c>
      <c r="E20" s="8"/>
      <c r="F20" s="8"/>
      <c r="G20" s="8"/>
      <c r="H20" s="43"/>
      <c r="I20" s="43"/>
      <c r="K20" s="37" t="s">
        <v>45</v>
      </c>
      <c r="L20" s="50" t="s">
        <v>1</v>
      </c>
      <c r="M20" s="184">
        <v>1.21</v>
      </c>
      <c r="N20" s="52" t="s">
        <v>18</v>
      </c>
      <c r="O20" s="12"/>
      <c r="P20" s="12"/>
      <c r="Q20" s="12"/>
      <c r="R20" s="46"/>
    </row>
    <row r="21" spans="1:18" x14ac:dyDescent="0.25">
      <c r="A21" s="6"/>
      <c r="B21" s="7"/>
      <c r="C21" s="7"/>
      <c r="D21" s="6"/>
      <c r="E21" s="8"/>
      <c r="F21" s="8"/>
      <c r="G21" s="8"/>
      <c r="H21" s="43"/>
      <c r="I21" s="43"/>
      <c r="K21" s="10"/>
      <c r="L21" s="11"/>
      <c r="M21" s="11"/>
      <c r="N21" s="10"/>
      <c r="O21" s="12"/>
      <c r="P21" s="12"/>
      <c r="Q21" s="12"/>
      <c r="R21" s="46"/>
    </row>
    <row r="22" spans="1:18" x14ac:dyDescent="0.25">
      <c r="A22" s="6" t="s">
        <v>42</v>
      </c>
      <c r="B22" s="7"/>
      <c r="C22" s="7"/>
      <c r="D22" s="6"/>
      <c r="E22" s="6"/>
      <c r="F22" s="6"/>
      <c r="G22" s="43"/>
      <c r="H22" s="13"/>
      <c r="I22" s="43"/>
      <c r="K22" s="10" t="s">
        <v>42</v>
      </c>
      <c r="L22" s="11"/>
      <c r="M22" s="11"/>
      <c r="N22" s="10"/>
      <c r="O22" s="10"/>
      <c r="P22" s="10"/>
      <c r="Q22" s="46"/>
      <c r="R22" s="14"/>
    </row>
    <row r="23" spans="1:18" x14ac:dyDescent="0.25">
      <c r="A23" s="6" t="s">
        <v>43</v>
      </c>
      <c r="B23" s="7" t="s">
        <v>1</v>
      </c>
      <c r="C23" s="63">
        <f>C20*C13</f>
        <v>1.2705000000000001E-2</v>
      </c>
      <c r="D23" s="6" t="s">
        <v>36</v>
      </c>
      <c r="E23" s="8"/>
      <c r="F23" s="8"/>
      <c r="G23" s="8"/>
      <c r="H23" s="43"/>
      <c r="I23" s="43"/>
      <c r="K23" s="10" t="s">
        <v>43</v>
      </c>
      <c r="L23" s="11" t="s">
        <v>1</v>
      </c>
      <c r="M23" s="161">
        <f>M20*M13</f>
        <v>1.2705000000000001E-2</v>
      </c>
      <c r="N23" s="10" t="s">
        <v>36</v>
      </c>
      <c r="O23" s="12"/>
      <c r="P23" s="12"/>
      <c r="Q23" s="12"/>
      <c r="R23" s="46"/>
    </row>
    <row r="24" spans="1:18" x14ac:dyDescent="0.25">
      <c r="A24" s="6"/>
      <c r="B24" s="7"/>
      <c r="C24" s="13"/>
      <c r="D24" s="6"/>
      <c r="E24" s="8"/>
      <c r="F24" s="8"/>
      <c r="G24" s="8"/>
      <c r="H24" s="43"/>
      <c r="I24" s="43"/>
      <c r="K24" s="10"/>
      <c r="L24" s="11"/>
      <c r="M24" s="14"/>
      <c r="N24" s="10"/>
      <c r="O24" s="12"/>
      <c r="P24" s="12"/>
      <c r="Q24" s="12"/>
      <c r="R24" s="46"/>
    </row>
    <row r="25" spans="1:18" x14ac:dyDescent="0.25">
      <c r="A25" s="6" t="s">
        <v>44</v>
      </c>
      <c r="B25" s="108"/>
      <c r="C25" s="108"/>
      <c r="D25" s="109"/>
      <c r="E25" s="109"/>
      <c r="F25" s="109"/>
      <c r="G25" s="109"/>
      <c r="H25" s="43"/>
      <c r="I25" s="43"/>
      <c r="K25" s="10" t="s">
        <v>44</v>
      </c>
      <c r="L25" s="110"/>
      <c r="M25" s="110"/>
      <c r="N25" s="111"/>
      <c r="O25" s="111"/>
      <c r="P25" s="111"/>
      <c r="Q25" s="111"/>
      <c r="R25" s="46"/>
    </row>
    <row r="28" spans="1:18" x14ac:dyDescent="0.25">
      <c r="A28" s="15" t="s">
        <v>305</v>
      </c>
    </row>
    <row r="29" spans="1:18" x14ac:dyDescent="0.25">
      <c r="A29" s="15" t="s">
        <v>306</v>
      </c>
    </row>
    <row r="30" spans="1:18" x14ac:dyDescent="0.25">
      <c r="A30" s="15" t="s">
        <v>307</v>
      </c>
    </row>
    <row r="31" spans="1:18" x14ac:dyDescent="0.25">
      <c r="A31" s="15" t="s">
        <v>308</v>
      </c>
    </row>
    <row r="32" spans="1:18" x14ac:dyDescent="0.25">
      <c r="A32" s="15" t="s">
        <v>309</v>
      </c>
    </row>
  </sheetData>
  <sheetProtection password="F030" sheet="1" objects="1" scenarios="1"/>
  <mergeCells count="2">
    <mergeCell ref="A1:G1"/>
    <mergeCell ref="K1:Q1"/>
  </mergeCells>
  <pageMargins left="0.75" right="0.75" top="1" bottom="1" header="0.5" footer="0.5"/>
  <pageSetup paperSize="199" scale="55" orientation="landscape" r:id="rId1"/>
  <headerFooter alignWithMargins="0">
    <oddHeader>&amp;CCALCULATION SPREADSHEET FOR GPSA ENGINEERING DATA BOOK, 13&amp;Xth&amp;X ED.
EXAMPLE 23-8</oddHeader>
  </headerFooter>
  <ignoredErrors>
    <ignoredError sqref="M11:M2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Nomenclature</vt:lpstr>
      <vt:lpstr>Example 23-1</vt:lpstr>
      <vt:lpstr>Example 23-2</vt:lpstr>
      <vt:lpstr>Example 23-3</vt:lpstr>
      <vt:lpstr>Example 23-4</vt:lpstr>
      <vt:lpstr>Example 23-5</vt:lpstr>
      <vt:lpstr>Example 23-6</vt:lpstr>
      <vt:lpstr>Example 23-7</vt:lpstr>
      <vt:lpstr>Example 23-8</vt:lpstr>
      <vt:lpstr>Example 23-9</vt:lpstr>
      <vt:lpstr>Example 23-10</vt:lpstr>
      <vt:lpstr>Example 23-11</vt:lpstr>
      <vt:lpstr>Example 23-12</vt:lpstr>
      <vt:lpstr>Limits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Manzano-Ruiz, Juan</cp:lastModifiedBy>
  <cp:lastPrinted>2013-09-30T05:27:28Z</cp:lastPrinted>
  <dcterms:created xsi:type="dcterms:W3CDTF">2008-08-21T19:06:00Z</dcterms:created>
  <dcterms:modified xsi:type="dcterms:W3CDTF">2014-10-02T19:40:06Z</dcterms:modified>
</cp:coreProperties>
</file>