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 windowWidth="18975" windowHeight="11760" activeTab="2"/>
  </bookViews>
  <sheets>
    <sheet name="FIG. 7-1 Nomenclature" sheetId="1" r:id="rId1"/>
    <sheet name="Example 7-1" sheetId="3" r:id="rId2"/>
    <sheet name="Example 7-2" sheetId="4" r:id="rId3"/>
    <sheet name="Example 7-3" sheetId="7" r:id="rId4"/>
    <sheet name="Example 7-4" sheetId="5" r:id="rId5"/>
  </sheets>
  <calcPr calcId="145621"/>
</workbook>
</file>

<file path=xl/calcChain.xml><?xml version="1.0" encoding="utf-8"?>
<calcChain xmlns="http://schemas.openxmlformats.org/spreadsheetml/2006/main">
  <c r="K40" i="4" l="1"/>
  <c r="K37" i="4" l="1"/>
  <c r="K28" i="4"/>
  <c r="R105" i="5" l="1"/>
  <c r="R90" i="5"/>
  <c r="R87" i="5"/>
  <c r="R70" i="5"/>
  <c r="S65" i="5"/>
  <c r="S36" i="5"/>
  <c r="O113" i="5" s="1"/>
  <c r="S31" i="5"/>
  <c r="S34" i="5" s="1"/>
  <c r="P148" i="5" s="1"/>
  <c r="S51" i="5" l="1"/>
  <c r="P102" i="5"/>
  <c r="Q40" i="5"/>
  <c r="O136" i="5"/>
  <c r="P146" i="5"/>
  <c r="N150" i="5" s="1"/>
  <c r="S45" i="5"/>
  <c r="J123" i="7"/>
  <c r="J125" i="7" s="1"/>
  <c r="J113" i="7"/>
  <c r="J115" i="7" s="1"/>
  <c r="L87" i="7"/>
  <c r="L90" i="7" s="1"/>
  <c r="K52" i="7"/>
  <c r="J66" i="7" s="1"/>
  <c r="L68" i="7" s="1"/>
  <c r="K71" i="7" s="1"/>
  <c r="N41" i="7"/>
  <c r="K100" i="4"/>
  <c r="K83" i="4"/>
  <c r="K85" i="4" s="1"/>
  <c r="N70" i="4"/>
  <c r="K62" i="4"/>
  <c r="K53" i="4"/>
  <c r="K52" i="4"/>
  <c r="K49" i="4"/>
  <c r="F32" i="4"/>
  <c r="N32" i="4"/>
  <c r="L57" i="4" l="1"/>
  <c r="L60" i="4"/>
  <c r="N67" i="4"/>
  <c r="L8" i="3"/>
  <c r="M19" i="3" s="1"/>
  <c r="K13" i="3" l="1"/>
  <c r="K29" i="4"/>
  <c r="M42" i="4" s="1"/>
  <c r="L35" i="7"/>
  <c r="K39" i="7" s="1"/>
  <c r="C40" i="4" l="1"/>
</calcChain>
</file>

<file path=xl/sharedStrings.xml><?xml version="1.0" encoding="utf-8"?>
<sst xmlns="http://schemas.openxmlformats.org/spreadsheetml/2006/main" count="1205" uniqueCount="499">
  <si>
    <t>Nomenclature</t>
  </si>
  <si>
    <t>=</t>
  </si>
  <si>
    <t>C'</t>
  </si>
  <si>
    <t>K</t>
  </si>
  <si>
    <t>L</t>
  </si>
  <si>
    <t>P</t>
  </si>
  <si>
    <t>Q</t>
  </si>
  <si>
    <t>Z</t>
  </si>
  <si>
    <t>FIG. 7-1</t>
  </si>
  <si>
    <t>A</t>
  </si>
  <si>
    <t>J</t>
  </si>
  <si>
    <t>g</t>
  </si>
  <si>
    <t>MW</t>
  </si>
  <si>
    <t>R</t>
  </si>
  <si>
    <t>Re</t>
  </si>
  <si>
    <t>T</t>
  </si>
  <si>
    <t>t</t>
  </si>
  <si>
    <t>drag coefficient of particle, dimensionless (Fig. 7-3)</t>
  </si>
  <si>
    <t>droplet diameter, ft</t>
  </si>
  <si>
    <t>empirical constant for separator sizing, ft/sec</t>
  </si>
  <si>
    <t>proportionality constant from Fig. 7-4 for use in Eq 7-5, dimensionless</t>
  </si>
  <si>
    <t>seam to seam length of vessel, ft</t>
  </si>
  <si>
    <t>mass of droplet or particle, lb</t>
  </si>
  <si>
    <t>molecular weight, lb/lb mole</t>
  </si>
  <si>
    <t>system pressure, psia</t>
  </si>
  <si>
    <t>Reynolds number, dimensionless</t>
  </si>
  <si>
    <t>retention time, minutes</t>
  </si>
  <si>
    <t>compressibility factor, dimensionless</t>
  </si>
  <si>
    <t>in</t>
  </si>
  <si>
    <t>°F</t>
  </si>
  <si>
    <t>psig</t>
  </si>
  <si>
    <t>ft</t>
  </si>
  <si>
    <r>
      <t>Q</t>
    </r>
    <r>
      <rPr>
        <vertAlign val="subscript"/>
        <sz val="11"/>
        <rFont val="Times New Roman"/>
        <family val="1"/>
      </rPr>
      <t>A</t>
    </r>
  </si>
  <si>
    <r>
      <t>lb/ft</t>
    </r>
    <r>
      <rPr>
        <vertAlign val="superscript"/>
        <sz val="11"/>
        <rFont val="Times New Roman"/>
        <family val="1"/>
      </rPr>
      <t>3</t>
    </r>
  </si>
  <si>
    <t>ft/sec</t>
  </si>
  <si>
    <t>Greek</t>
  </si>
  <si>
    <t>gal</t>
  </si>
  <si>
    <r>
      <t>ft</t>
    </r>
    <r>
      <rPr>
        <vertAlign val="superscript"/>
        <sz val="11"/>
        <rFont val="Times New Roman"/>
        <family val="1"/>
      </rPr>
      <t>2</t>
    </r>
  </si>
  <si>
    <t>D</t>
  </si>
  <si>
    <t>Vessel diamter, ft</t>
  </si>
  <si>
    <t>Characteristic diameter in Stoke Number, St</t>
  </si>
  <si>
    <t>Liquid hydraulic diameter, ft</t>
  </si>
  <si>
    <t>Nozzel diamter, ft</t>
  </si>
  <si>
    <t>Droplet size (micron) for 95% removal</t>
  </si>
  <si>
    <t>Settling height, ft</t>
  </si>
  <si>
    <t>HILL</t>
  </si>
  <si>
    <t>High interphase liquid level</t>
  </si>
  <si>
    <t>HHILL</t>
  </si>
  <si>
    <t>High- high interphase liquid level</t>
  </si>
  <si>
    <t>HLL</t>
  </si>
  <si>
    <t>High liquid level</t>
  </si>
  <si>
    <t>HHLL</t>
  </si>
  <si>
    <t>High- high liquid level</t>
  </si>
  <si>
    <t>H</t>
  </si>
  <si>
    <t>Height, ft</t>
  </si>
  <si>
    <t>GOR</t>
  </si>
  <si>
    <t>Gas-oil ratio</t>
  </si>
  <si>
    <t>Effective gravity droplet settling length for a horizontal separator, ft</t>
  </si>
  <si>
    <t>LILL</t>
  </si>
  <si>
    <t>Low interphase liquid level</t>
  </si>
  <si>
    <t>LLILL</t>
  </si>
  <si>
    <t>Low-low interphase liquid level</t>
  </si>
  <si>
    <t>LLL</t>
  </si>
  <si>
    <t>Low liquid level</t>
  </si>
  <si>
    <t>LLLL</t>
  </si>
  <si>
    <t>Low-low liquid level</t>
  </si>
  <si>
    <t>NILL</t>
  </si>
  <si>
    <t>Normal liquid level</t>
  </si>
  <si>
    <t>Nref</t>
  </si>
  <si>
    <t>Reynolds film number</t>
  </si>
  <si>
    <t>Interfacial viscosity number</t>
  </si>
  <si>
    <t>NLL</t>
  </si>
  <si>
    <t>Normal interphase liquid level</t>
  </si>
  <si>
    <t>OD</t>
  </si>
  <si>
    <t>Outside diamter, in</t>
  </si>
  <si>
    <t>Stk</t>
  </si>
  <si>
    <t>V</t>
  </si>
  <si>
    <t>Velocity, ft/sec</t>
  </si>
  <si>
    <t>Velocity of continuous phase, ft/sec</t>
  </si>
  <si>
    <t>Flow vapor velocity between gas-liquid interphase and the top of a horizontal separator, ft/sec</t>
  </si>
  <si>
    <t>Liquid velocity, ft/sec</t>
  </si>
  <si>
    <t>Gas velocity relative to liquid, ft/sec</t>
  </si>
  <si>
    <t>Maximum velocity of a gas relative to liquid to resist substantial re-entreainment</t>
  </si>
  <si>
    <t>Flow rate of gas, lb/hr</t>
  </si>
  <si>
    <t>Flow rate of liquid, lb/hr</t>
  </si>
  <si>
    <t>viscosity of continuous pase, Cp</t>
  </si>
  <si>
    <t>β</t>
  </si>
  <si>
    <t>Ratio of the number of influent particles of a given size to the number of effluent particles of the same size</t>
  </si>
  <si>
    <t>Gas viscosity, cP</t>
  </si>
  <si>
    <t>Light liquid phase viscosity, cP</t>
  </si>
  <si>
    <t>Liquid surface tension, dynes/cm</t>
  </si>
  <si>
    <t>σ</t>
  </si>
  <si>
    <t>φ</t>
  </si>
  <si>
    <t>Liquid viscosity, cP</t>
  </si>
  <si>
    <t>Heavy liquid phase viscosity, cP</t>
  </si>
  <si>
    <t>Flow parameter</t>
  </si>
  <si>
    <r>
      <t>Example 7-1</t>
    </r>
    <r>
      <rPr>
        <sz val="11"/>
        <rFont val="Times New Roman"/>
        <family val="1"/>
      </rPr>
      <t xml:space="preserve"> -- Calculate the terminal velocity using the drag coefficient and Stokes' Law terminal settling velocity in a vertical gas-liquid separator for a 150 micron particle for a fluid with the physical properties listed below.</t>
    </r>
  </si>
  <si>
    <t>Phsical Properties</t>
  </si>
  <si>
    <t>From Equation 7-4,</t>
  </si>
  <si>
    <r>
      <t>Particle Diameter, D</t>
    </r>
    <r>
      <rPr>
        <vertAlign val="subscript"/>
        <sz val="11"/>
        <rFont val="Times New Roman"/>
        <family val="1"/>
      </rPr>
      <t>p</t>
    </r>
    <r>
      <rPr>
        <sz val="11"/>
        <rFont val="Times New Roman"/>
        <family val="1"/>
      </rPr>
      <t xml:space="preserve"> = (150 • 0.00003937)/(12)</t>
    </r>
  </si>
  <si>
    <t>From Fig. 7-5, Drag coefficient, C' = 1.4</t>
  </si>
  <si>
    <t>Terminal Velocity,</t>
  </si>
  <si>
    <r>
      <t>C' (Re) 2 = ((0.95) • (10)</t>
    </r>
    <r>
      <rPr>
        <vertAlign val="superscript"/>
        <sz val="11"/>
        <rFont val="Times New Roman"/>
        <family val="1"/>
      </rPr>
      <t>8</t>
    </r>
    <r>
      <rPr>
        <sz val="11"/>
        <rFont val="Times New Roman"/>
        <family val="1"/>
      </rPr>
      <t xml:space="preserve"> • (2.07) • (0.000492)</t>
    </r>
    <r>
      <rPr>
        <vertAlign val="superscript"/>
        <sz val="11"/>
        <rFont val="Times New Roman"/>
        <family val="1"/>
      </rPr>
      <t xml:space="preserve">3 </t>
    </r>
    <r>
      <rPr>
        <sz val="11"/>
        <rFont val="Times New Roman"/>
        <family val="1"/>
      </rPr>
      <t>• (31.2 - 2.07))/(0.012)</t>
    </r>
    <r>
      <rPr>
        <vertAlign val="superscript"/>
        <sz val="11"/>
        <rFont val="Times New Roman"/>
        <family val="1"/>
      </rPr>
      <t>2</t>
    </r>
  </si>
  <si>
    <r>
      <t xml:space="preserve">(4 • 32.2 • 0.000492 • (31.2 - 2.07))    </t>
    </r>
    <r>
      <rPr>
        <vertAlign val="superscript"/>
        <sz val="11"/>
        <rFont val="Times New Roman"/>
        <family val="1"/>
      </rPr>
      <t>0.5</t>
    </r>
  </si>
  <si>
    <t>(3 • 2.07 • 1.4)</t>
  </si>
  <si>
    <t>0.46 ft/sec</t>
  </si>
  <si>
    <r>
      <t>V</t>
    </r>
    <r>
      <rPr>
        <vertAlign val="subscript"/>
        <sz val="11"/>
        <rFont val="Times New Roman"/>
        <family val="1"/>
      </rPr>
      <t>t</t>
    </r>
    <r>
      <rPr>
        <sz val="11"/>
        <rFont val="Times New Roman"/>
        <family val="1"/>
      </rPr>
      <t xml:space="preserve"> =</t>
    </r>
  </si>
  <si>
    <r>
      <t>Application 7-1</t>
    </r>
    <r>
      <rPr>
        <sz val="11"/>
        <rFont val="Times New Roman"/>
        <family val="1"/>
      </rPr>
      <t xml:space="preserve"> -- Calculate the terminal velocity using the drag coefficient and Stokes' Law terminal settling velocity in a vertical gas-liquid separator for a 150 micron particle for a fluid with the physical properties listed below.</t>
    </r>
  </si>
  <si>
    <r>
      <t>Example 7-2</t>
    </r>
    <r>
      <rPr>
        <sz val="11"/>
        <rFont val="Times New Roman"/>
        <family val="1"/>
      </rPr>
      <t xml:space="preserve"> -- Determine the size of a vertical gas-liquid separator with a high efficiency wire mesh mist eliminator to handle 150 MMSCFD (MW= 17.55) of gas and 100 gpm of condensate. A design factor of 10% will be used.</t>
    </r>
  </si>
  <si>
    <t>Operating temperature</t>
  </si>
  <si>
    <t>Operating pressure</t>
  </si>
  <si>
    <t>(289,200 lb/hr)</t>
  </si>
  <si>
    <t>Liquid flowrate</t>
  </si>
  <si>
    <t xml:space="preserve">Gas flowrate </t>
  </si>
  <si>
    <t>(35,850 lb/hr)</t>
  </si>
  <si>
    <r>
      <rPr>
        <b/>
        <sz val="11"/>
        <rFont val="Times New Roman"/>
        <family val="1"/>
      </rPr>
      <t>Operating Conditions</t>
    </r>
    <r>
      <rPr>
        <sz val="11"/>
        <rFont val="Times New Roman"/>
        <family val="1"/>
      </rPr>
      <t xml:space="preserve"> --</t>
    </r>
  </si>
  <si>
    <r>
      <t xml:space="preserve">Physical Properties </t>
    </r>
    <r>
      <rPr>
        <sz val="11"/>
        <rFont val="Times New Roman"/>
        <family val="1"/>
      </rPr>
      <t>--</t>
    </r>
  </si>
  <si>
    <t>MMSCFD</t>
  </si>
  <si>
    <t xml:space="preserve">gpm </t>
  </si>
  <si>
    <t>lb/ft3</t>
  </si>
  <si>
    <t xml:space="preserve"> = </t>
  </si>
  <si>
    <t xml:space="preserve"> cP</t>
  </si>
  <si>
    <r>
      <t>μ</t>
    </r>
    <r>
      <rPr>
        <vertAlign val="subscript"/>
        <sz val="11"/>
        <rFont val="Times New Roman"/>
        <family val="1"/>
      </rPr>
      <t xml:space="preserve">1 </t>
    </r>
  </si>
  <si>
    <r>
      <t>μ</t>
    </r>
    <r>
      <rPr>
        <vertAlign val="subscript"/>
        <sz val="11"/>
        <rFont val="Times New Roman"/>
        <family val="1"/>
      </rPr>
      <t>g</t>
    </r>
  </si>
  <si>
    <r>
      <t>ρ</t>
    </r>
    <r>
      <rPr>
        <vertAlign val="subscript"/>
        <sz val="11"/>
        <rFont val="Times New Roman"/>
        <family val="1"/>
      </rPr>
      <t>g</t>
    </r>
  </si>
  <si>
    <r>
      <t>ρ</t>
    </r>
    <r>
      <rPr>
        <vertAlign val="subscript"/>
        <sz val="11"/>
        <rFont val="Times New Roman"/>
        <family val="1"/>
      </rPr>
      <t>m</t>
    </r>
  </si>
  <si>
    <r>
      <rPr>
        <b/>
        <sz val="11"/>
        <rFont val="Times New Roman"/>
        <family val="1"/>
      </rPr>
      <t>Project Surge Times for this Application</t>
    </r>
    <r>
      <rPr>
        <sz val="11"/>
        <rFont val="Times New Roman"/>
        <family val="1"/>
      </rPr>
      <t xml:space="preserve"> --</t>
    </r>
  </si>
  <si>
    <t>LLLL to LL = 1 min, LLL to HLL = 5 min, HLL to HHLL = 1 min</t>
  </si>
  <si>
    <r>
      <rPr>
        <b/>
        <sz val="11"/>
        <rFont val="Times New Roman"/>
        <family val="1"/>
      </rPr>
      <t>Internals Selected</t>
    </r>
    <r>
      <rPr>
        <sz val="11"/>
        <rFont val="Times New Roman"/>
        <family val="1"/>
      </rPr>
      <t xml:space="preserve"> --</t>
    </r>
  </si>
  <si>
    <t>High efficiency wire mesh mist eliminator</t>
  </si>
  <si>
    <t>Diffuser inlet device for high gas rate with significant liquids</t>
  </si>
  <si>
    <r>
      <rPr>
        <b/>
        <sz val="11"/>
        <rFont val="Times New Roman"/>
        <family val="1"/>
      </rPr>
      <t>Vessel Diamter Sizing</t>
    </r>
    <r>
      <rPr>
        <sz val="11"/>
        <rFont val="Times New Roman"/>
        <family val="1"/>
      </rPr>
      <t xml:space="preserve"> --</t>
    </r>
  </si>
  <si>
    <r>
      <t>ft</t>
    </r>
    <r>
      <rPr>
        <vertAlign val="superscript"/>
        <sz val="11"/>
        <rFont val="Times New Roman"/>
        <family val="1"/>
      </rPr>
      <t>3</t>
    </r>
    <r>
      <rPr>
        <sz val="11"/>
        <rFont val="Times New Roman"/>
        <family val="1"/>
      </rPr>
      <t>/sec</t>
    </r>
  </si>
  <si>
    <r>
      <t>lb/hr • 1/1.552lb/ft</t>
    </r>
    <r>
      <rPr>
        <vertAlign val="superscript"/>
        <sz val="11"/>
        <rFont val="Times New Roman"/>
        <family val="1"/>
      </rPr>
      <t>3</t>
    </r>
    <r>
      <rPr>
        <sz val="11"/>
        <rFont val="Times New Roman"/>
        <family val="1"/>
      </rPr>
      <t xml:space="preserve"> • 1hr/3600sec • 1.1 </t>
    </r>
  </si>
  <si>
    <t xml:space="preserve">ft/sec </t>
  </si>
  <si>
    <t>for a high efficiency mist eliminator at low pressure</t>
  </si>
  <si>
    <t>K is corrected for pressure using Fig. 7-36</t>
  </si>
  <si>
    <r>
      <t>V</t>
    </r>
    <r>
      <rPr>
        <vertAlign val="subscript"/>
        <sz val="11"/>
        <rFont val="Times New Roman"/>
        <family val="1"/>
      </rPr>
      <t>max</t>
    </r>
  </si>
  <si>
    <t>44.68    1.552</t>
  </si>
  <si>
    <t>(Equation 7-11)</t>
  </si>
  <si>
    <t>(56.94ft/sec)/(1.51ft/sec)</t>
  </si>
  <si>
    <t>0.286*</t>
  </si>
  <si>
    <r>
      <rPr>
        <sz val="11"/>
        <rFont val="Calibri"/>
        <family val="2"/>
      </rPr>
      <t>π</t>
    </r>
    <r>
      <rPr>
        <sz val="11"/>
        <rFont val="Times New Roman"/>
        <family val="1"/>
      </rPr>
      <t xml:space="preserve"> • 1.51 ft/sec</t>
    </r>
  </si>
  <si>
    <r>
      <rPr>
        <sz val="11"/>
        <rFont val="Calibri"/>
        <family val="2"/>
      </rPr>
      <t>≥</t>
    </r>
    <r>
      <rPr>
        <sz val="11"/>
        <rFont val="Times New Roman"/>
        <family val="1"/>
      </rPr>
      <t xml:space="preserve"> 7.26 ft</t>
    </r>
  </si>
  <si>
    <t xml:space="preserve">+ 0.33 ft </t>
  </si>
  <si>
    <t>(Equation 7-18)</t>
  </si>
  <si>
    <t>0.33 ft added for support ring and then rounded to nearest half foot</t>
  </si>
  <si>
    <r>
      <rPr>
        <b/>
        <sz val="11"/>
        <rFont val="Times New Roman"/>
        <family val="1"/>
      </rPr>
      <t>Actual dimensions</t>
    </r>
    <r>
      <rPr>
        <sz val="11"/>
        <rFont val="Times New Roman"/>
        <family val="1"/>
      </rPr>
      <t xml:space="preserve"> --</t>
    </r>
  </si>
  <si>
    <r>
      <t>4 • 56.94ft</t>
    </r>
    <r>
      <rPr>
        <vertAlign val="superscript"/>
        <sz val="11"/>
        <rFont val="Times New Roman"/>
        <family val="1"/>
      </rPr>
      <t>3</t>
    </r>
    <r>
      <rPr>
        <sz val="11"/>
        <rFont val="Times New Roman"/>
        <family val="1"/>
      </rPr>
      <t>/sec</t>
    </r>
  </si>
  <si>
    <r>
      <rPr>
        <b/>
        <sz val="11"/>
        <rFont val="Times New Roman"/>
        <family val="1"/>
      </rPr>
      <t>Liquid Surge Section</t>
    </r>
    <r>
      <rPr>
        <sz val="11"/>
        <rFont val="Times New Roman"/>
        <family val="1"/>
      </rPr>
      <t xml:space="preserve"> --</t>
    </r>
  </si>
  <si>
    <r>
      <t>lb/hr •(1/44.86lb/ft</t>
    </r>
    <r>
      <rPr>
        <vertAlign val="superscript"/>
        <sz val="11"/>
        <rFont val="Times New Roman"/>
        <family val="1"/>
      </rPr>
      <t>3</t>
    </r>
    <r>
      <rPr>
        <sz val="11"/>
        <rFont val="Times New Roman"/>
        <family val="1"/>
      </rPr>
      <t xml:space="preserve">) • (1hr/60min) • 1.1 </t>
    </r>
  </si>
  <si>
    <t>H1 (Bottom tangent to LALL) = 18 in. ot allow level bridle taps above tangent.</t>
  </si>
  <si>
    <t>LLL to HLL</t>
  </si>
  <si>
    <r>
      <t>(14.71ft</t>
    </r>
    <r>
      <rPr>
        <vertAlign val="superscript"/>
        <sz val="11"/>
        <rFont val="Times New Roman"/>
        <family val="1"/>
      </rPr>
      <t>3</t>
    </r>
    <r>
      <rPr>
        <sz val="11"/>
        <rFont val="Times New Roman"/>
        <family val="1"/>
      </rPr>
      <t>/min)/44.2ft</t>
    </r>
    <r>
      <rPr>
        <vertAlign val="superscript"/>
        <sz val="11"/>
        <rFont val="Times New Roman"/>
        <family val="1"/>
      </rPr>
      <t xml:space="preserve">2 </t>
    </r>
    <r>
      <rPr>
        <sz val="11"/>
        <rFont val="Times New Roman"/>
        <family val="1"/>
      </rPr>
      <t>• 5 min = 1.66ft = 19.97 in, use</t>
    </r>
  </si>
  <si>
    <t>LLLL to LLL, and HLL to HHLL</t>
  </si>
  <si>
    <r>
      <t>(14.71ft</t>
    </r>
    <r>
      <rPr>
        <vertAlign val="superscript"/>
        <sz val="11"/>
        <rFont val="Times New Roman"/>
        <family val="1"/>
      </rPr>
      <t>3</t>
    </r>
    <r>
      <rPr>
        <sz val="11"/>
        <rFont val="Times New Roman"/>
        <family val="1"/>
      </rPr>
      <t>/min)/44.2ft</t>
    </r>
    <r>
      <rPr>
        <vertAlign val="superscript"/>
        <sz val="11"/>
        <rFont val="Times New Roman"/>
        <family val="1"/>
      </rPr>
      <t>2</t>
    </r>
    <r>
      <rPr>
        <sz val="11"/>
        <rFont val="Times New Roman"/>
        <family val="1"/>
      </rPr>
      <t xml:space="preserve"> • 1 min = 0.33ft = 3.99 in, use</t>
    </r>
  </si>
  <si>
    <t>H2 = 4 + 20 + 4 = 28 in = 2.333 ft, use</t>
  </si>
  <si>
    <t>Check De-Gassing (200 micron bubble)</t>
  </si>
  <si>
    <t>Using Equation 7-16a:</t>
  </si>
  <si>
    <t>Using Equation 7-17:</t>
  </si>
  <si>
    <r>
      <t>V</t>
    </r>
    <r>
      <rPr>
        <vertAlign val="subscript"/>
        <sz val="11"/>
        <rFont val="Times New Roman"/>
        <family val="1"/>
      </rPr>
      <t>t</t>
    </r>
    <r>
      <rPr>
        <sz val="11"/>
        <rFont val="Times New Roman"/>
        <family val="1"/>
      </rPr>
      <t xml:space="preserve"> = 1.145 • 10</t>
    </r>
    <r>
      <rPr>
        <vertAlign val="superscript"/>
        <sz val="11"/>
        <rFont val="Times New Roman"/>
        <family val="1"/>
      </rPr>
      <t>-3</t>
    </r>
    <r>
      <rPr>
        <sz val="11"/>
        <rFont val="Times New Roman"/>
        <family val="1"/>
      </rPr>
      <t xml:space="preserve"> • ((44.68lb/ft</t>
    </r>
    <r>
      <rPr>
        <vertAlign val="superscript"/>
        <sz val="11"/>
        <rFont val="Times New Roman"/>
        <family val="1"/>
      </rPr>
      <t>3</t>
    </r>
    <r>
      <rPr>
        <sz val="11"/>
        <rFont val="Times New Roman"/>
        <family val="1"/>
      </rPr>
      <t>) - (1.552lb/ft</t>
    </r>
    <r>
      <rPr>
        <vertAlign val="superscript"/>
        <sz val="11"/>
        <rFont val="Times New Roman"/>
        <family val="1"/>
      </rPr>
      <t>3</t>
    </r>
    <r>
      <rPr>
        <sz val="11"/>
        <rFont val="Times New Roman"/>
        <family val="1"/>
      </rPr>
      <t>))/0.574 =</t>
    </r>
  </si>
  <si>
    <r>
      <t>V</t>
    </r>
    <r>
      <rPr>
        <vertAlign val="subscript"/>
        <sz val="11"/>
        <rFont val="Times New Roman"/>
        <family val="1"/>
      </rPr>
      <t>l</t>
    </r>
    <r>
      <rPr>
        <sz val="11"/>
        <rFont val="Times New Roman"/>
        <family val="1"/>
      </rPr>
      <t xml:space="preserve"> = (14.71 ft</t>
    </r>
    <r>
      <rPr>
        <vertAlign val="superscript"/>
        <sz val="11"/>
        <rFont val="Times New Roman"/>
        <family val="1"/>
      </rPr>
      <t>3</t>
    </r>
    <r>
      <rPr>
        <sz val="11"/>
        <rFont val="Times New Roman"/>
        <family val="1"/>
      </rPr>
      <t>/min)/44.2ft</t>
    </r>
    <r>
      <rPr>
        <vertAlign val="superscript"/>
        <sz val="11"/>
        <rFont val="Times New Roman"/>
        <family val="1"/>
      </rPr>
      <t>2</t>
    </r>
    <r>
      <rPr>
        <sz val="11"/>
        <rFont val="Times New Roman"/>
        <family val="1"/>
      </rPr>
      <t xml:space="preserve"> • 1min/60sec =</t>
    </r>
  </si>
  <si>
    <r>
      <t>As V</t>
    </r>
    <r>
      <rPr>
        <vertAlign val="subscript"/>
        <sz val="11"/>
        <rFont val="Times New Roman"/>
        <family val="1"/>
      </rPr>
      <t>l</t>
    </r>
    <r>
      <rPr>
        <sz val="11"/>
        <rFont val="Times New Roman"/>
        <family val="1"/>
      </rPr>
      <t xml:space="preserve"> &lt; V</t>
    </r>
    <r>
      <rPr>
        <vertAlign val="subscript"/>
        <sz val="11"/>
        <rFont val="Times New Roman"/>
        <family val="1"/>
      </rPr>
      <t>t</t>
    </r>
    <r>
      <rPr>
        <sz val="11"/>
        <rFont val="Times New Roman"/>
        <family val="1"/>
      </rPr>
      <t xml:space="preserve"> for a 200 micron bubble, de-gassing of 200 micron particles can occur</t>
    </r>
  </si>
  <si>
    <r>
      <rPr>
        <b/>
        <sz val="11"/>
        <rFont val="Times New Roman"/>
        <family val="1"/>
      </rPr>
      <t>Check Inlet Velocity Head</t>
    </r>
    <r>
      <rPr>
        <sz val="11"/>
        <rFont val="Times New Roman"/>
        <family val="1"/>
      </rPr>
      <t xml:space="preserve"> --</t>
    </r>
  </si>
  <si>
    <t>Inlet Piping is 18 in Sch. 40 (ID = 16.876 in.), based on acceptable line sizing criteria.</t>
  </si>
  <si>
    <t>Assuming the inlet nozzle is the same size as piping, check that the inlet volocity satisfies allowable limits.</t>
  </si>
  <si>
    <t>(289,200 + 35850) lb/hr • 144 in2 • 1hr</t>
  </si>
  <si>
    <r>
      <t>1.75 lb/ft</t>
    </r>
    <r>
      <rPr>
        <vertAlign val="superscript"/>
        <sz val="11"/>
        <rFont val="Times New Roman"/>
        <family val="1"/>
      </rPr>
      <t>3</t>
    </r>
    <r>
      <rPr>
        <sz val="11"/>
        <rFont val="Times New Roman"/>
        <family val="1"/>
      </rPr>
      <t xml:space="preserve"> • 1ft</t>
    </r>
    <r>
      <rPr>
        <vertAlign val="superscript"/>
        <sz val="11"/>
        <rFont val="Times New Roman"/>
        <family val="1"/>
      </rPr>
      <t>2</t>
    </r>
    <r>
      <rPr>
        <sz val="11"/>
        <rFont val="Times New Roman"/>
        <family val="1"/>
      </rPr>
      <t>π (16.876/2)</t>
    </r>
    <r>
      <rPr>
        <vertAlign val="superscript"/>
        <sz val="11"/>
        <rFont val="Times New Roman"/>
        <family val="1"/>
      </rPr>
      <t>2</t>
    </r>
    <r>
      <rPr>
        <sz val="11"/>
        <rFont val="Times New Roman"/>
        <family val="1"/>
      </rPr>
      <t xml:space="preserve"> in</t>
    </r>
    <r>
      <rPr>
        <vertAlign val="superscript"/>
        <sz val="11"/>
        <rFont val="Times New Roman"/>
        <family val="1"/>
      </rPr>
      <t>2</t>
    </r>
    <r>
      <rPr>
        <sz val="11"/>
        <rFont val="Times New Roman"/>
        <family val="1"/>
      </rPr>
      <t xml:space="preserve"> • 3600 sec</t>
    </r>
  </si>
  <si>
    <t>Using Equation 7-15:</t>
  </si>
  <si>
    <r>
      <t xml:space="preserve">J = </t>
    </r>
    <r>
      <rPr>
        <sz val="11"/>
        <rFont val="Calibri"/>
        <family val="2"/>
      </rPr>
      <t>ρ</t>
    </r>
    <r>
      <rPr>
        <vertAlign val="subscript"/>
        <sz val="11"/>
        <rFont val="Times New Roman"/>
        <family val="1"/>
      </rPr>
      <t>m</t>
    </r>
    <r>
      <rPr>
        <sz val="11"/>
        <rFont val="Times New Roman"/>
        <family val="1"/>
      </rPr>
      <t>V</t>
    </r>
    <r>
      <rPr>
        <vertAlign val="superscript"/>
        <sz val="11"/>
        <rFont val="Times New Roman"/>
        <family val="1"/>
      </rPr>
      <t>2</t>
    </r>
    <r>
      <rPr>
        <sz val="11"/>
        <rFont val="Times New Roman"/>
        <family val="1"/>
      </rPr>
      <t xml:space="preserve"> = 1.75 • 33.2</t>
    </r>
    <r>
      <rPr>
        <vertAlign val="superscript"/>
        <sz val="11"/>
        <rFont val="Times New Roman"/>
        <family val="1"/>
      </rPr>
      <t>2</t>
    </r>
    <r>
      <rPr>
        <sz val="11"/>
        <rFont val="Times New Roman"/>
        <family val="1"/>
      </rPr>
      <t xml:space="preserve"> = </t>
    </r>
  </si>
  <si>
    <t>&lt;</t>
  </si>
  <si>
    <r>
      <t>lb/ft•sec</t>
    </r>
    <r>
      <rPr>
        <vertAlign val="superscript"/>
        <sz val="11"/>
        <rFont val="Times New Roman"/>
        <family val="1"/>
      </rPr>
      <t>2</t>
    </r>
  </si>
  <si>
    <t>therefore</t>
  </si>
  <si>
    <t>18 in. nozzle with diffuser is acceptable.</t>
  </si>
  <si>
    <r>
      <rPr>
        <b/>
        <sz val="11"/>
        <rFont val="Times New Roman"/>
        <family val="1"/>
      </rPr>
      <t>Vessel Length</t>
    </r>
    <r>
      <rPr>
        <sz val="11"/>
        <rFont val="Times New Roman"/>
        <family val="1"/>
      </rPr>
      <t xml:space="preserve"> --</t>
    </r>
  </si>
  <si>
    <t>H1 + H2 = 18 in + 2.5 ft =</t>
  </si>
  <si>
    <t>H3 (HHLL to Nozzle Bottom) =</t>
  </si>
  <si>
    <t>(for diffuser)</t>
  </si>
  <si>
    <t>H4 (Nozzle) =</t>
  </si>
  <si>
    <t>H5 (Nozzle Top to Demister Bottom) =</t>
  </si>
  <si>
    <t xml:space="preserve">H6 (Demister Thickness) = </t>
  </si>
  <si>
    <t>(Demister to Oulet Nozzle) =</t>
  </si>
  <si>
    <t>ft min</t>
  </si>
  <si>
    <t xml:space="preserve">(Fig. 7-38), Use </t>
  </si>
  <si>
    <t>H7 (Demister to Top Tangent) =</t>
  </si>
  <si>
    <t>(based on 2:1 elliptical head), Fig. 6-23</t>
  </si>
  <si>
    <t>Total Vessel Length</t>
  </si>
  <si>
    <t>ft T-T</t>
  </si>
  <si>
    <r>
      <t>Application 7-2</t>
    </r>
    <r>
      <rPr>
        <sz val="11"/>
        <rFont val="Times New Roman"/>
        <family val="1"/>
      </rPr>
      <t xml:space="preserve"> -- Determine the size of a vertical gas-liquid separator with a high efficiency wire mesh mist eliminator to handle 150 MMSCFD (MW= 17.55) of gas and 100 gpm of condensate. A design factor of 10% will be used.</t>
    </r>
  </si>
  <si>
    <r>
      <t>Example 7-3</t>
    </r>
    <r>
      <rPr>
        <sz val="11"/>
        <rFont val="Times New Roman"/>
        <family val="1"/>
      </rPr>
      <t xml:space="preserve"> -- Determine the configuration and size of a separator vessel to provide surge upstream of a process unit and to separate liquids and gas. The stream is 25,000 bpd of condensate and 15 MMSCFD of gas (MW = 17.55). Process conditions are as follows:</t>
    </r>
  </si>
  <si>
    <t>Operating temperature =</t>
  </si>
  <si>
    <t>Operating pressure =</t>
  </si>
  <si>
    <t>Gas flowrate =</t>
  </si>
  <si>
    <t>(28,910 lb/hr)</t>
  </si>
  <si>
    <t>Liquid flowrate =</t>
  </si>
  <si>
    <t>(268,200 lb/hr)</t>
  </si>
  <si>
    <t>bpd</t>
  </si>
  <si>
    <t>LLLL to LLL = 1 min, LLL to HLL = 5 min, HLL to HHLL = 1 min</t>
  </si>
  <si>
    <r>
      <rPr>
        <b/>
        <sz val="11"/>
        <rFont val="Times New Roman"/>
        <family val="1"/>
      </rPr>
      <t>Configuration</t>
    </r>
    <r>
      <rPr>
        <sz val="11"/>
        <rFont val="Times New Roman"/>
        <family val="1"/>
      </rPr>
      <t xml:space="preserve"> -- select a horizontal drum with a hanging mesh for this application due to high liquid rate, 5 minute surge time, and relatively small gas flow rate.</t>
    </r>
  </si>
  <si>
    <t>Preliminary Vessel Size -- Calculate a prelininary vessel size as a starting point to calculate partially filled cylinder areas/volumes. Assume required liquid surge colume controls separator sizing (as opposed to gas flowrate):</t>
  </si>
  <si>
    <t>• Assume 10% of volume for min liquid level (LLLL) and ignore volume in heads, therefore 60% of volume is used for surge time</t>
  </si>
  <si>
    <t>Total vessel volume:</t>
  </si>
  <si>
    <t>(268,200lb/hr • 1hr/60min • 1ft/44.58lb • 7 min)/ 0.6 =</t>
  </si>
  <si>
    <r>
      <t>ft</t>
    </r>
    <r>
      <rPr>
        <vertAlign val="superscript"/>
        <sz val="11"/>
        <rFont val="Times New Roman"/>
        <family val="1"/>
      </rPr>
      <t>3</t>
    </r>
  </si>
  <si>
    <t>At 3:1 L/D:</t>
  </si>
  <si>
    <t>Therefore preliminary size is 8ft ID x 24 ft T/T</t>
  </si>
  <si>
    <r>
      <rPr>
        <b/>
        <sz val="11"/>
        <rFont val="Times New Roman"/>
        <family val="1"/>
      </rPr>
      <t>Liquid Level Calculation</t>
    </r>
    <r>
      <rPr>
        <sz val="11"/>
        <rFont val="Times New Roman"/>
        <family val="1"/>
      </rPr>
      <t xml:space="preserve"> --</t>
    </r>
  </si>
  <si>
    <t>LLLL = 18 in. (per Fig. 6-24, interpolated fraction of cylinder volume at H/D = 1.5/8 =&gt; 0.1298)</t>
  </si>
  <si>
    <t>Surge volume (LLLL to HHLL =</t>
  </si>
  <si>
    <t>(750gal/min) • (7min) =</t>
  </si>
  <si>
    <t xml:space="preserve">Volume fraction at HHLL = </t>
  </si>
  <si>
    <t>(5250gal/8750gal) + 0.1298 =</t>
  </si>
  <si>
    <t>From Fig. 6-24 @ vol. fraction = 0.7298, H/D ~ 0.685</t>
  </si>
  <si>
    <t>(hence, 70% was an acceptable preliminary assumption)</t>
  </si>
  <si>
    <t>Therefore H = HHLL = 5.48ft, Use</t>
  </si>
  <si>
    <t xml:space="preserve">Volume fraction at NLL (assume as 3.5 min above LLLL) = </t>
  </si>
  <si>
    <t>[((750gal/min) • (3.5min))/8750gal] + 0.1298</t>
  </si>
  <si>
    <t>From Fig. 6-24 @vol. fraction = 0.4298, H/D ~ 0.445</t>
  </si>
  <si>
    <t>=&gt; NLL = 3.56 ft or 3ft 7in</t>
  </si>
  <si>
    <r>
      <rPr>
        <b/>
        <sz val="11"/>
        <rFont val="Times New Roman"/>
        <family val="1"/>
      </rPr>
      <t>Check Gas flow factor @HHLL in Gravity Separation Section</t>
    </r>
    <r>
      <rPr>
        <sz val="11"/>
        <rFont val="Times New Roman"/>
        <family val="1"/>
      </rPr>
      <t xml:space="preserve"> --</t>
    </r>
  </si>
  <si>
    <t xml:space="preserve">V = ((28,910lb/hr)/(0.774lb/ft3) • 1/13.6ft2 • 1hr/3600sec = </t>
  </si>
  <si>
    <t>Flow factor =</t>
  </si>
  <si>
    <t>0.763 ft/sec</t>
  </si>
  <si>
    <t>(44.58 - 0.774)/0.774</t>
  </si>
  <si>
    <t>The flow Factor is significantly below 0.5ft/sec (typical maximum), therefore the gas area above HHLL is acceptable. Additionally, liquid re-entrainment is not plausible at this low a K value</t>
  </si>
  <si>
    <t>At these surge times de-gassing is not an issue.</t>
  </si>
  <si>
    <r>
      <rPr>
        <b/>
        <sz val="11"/>
        <rFont val="Times New Roman"/>
        <family val="1"/>
      </rPr>
      <t>Check De-Gassing</t>
    </r>
    <r>
      <rPr>
        <sz val="11"/>
        <rFont val="Times New Roman"/>
        <family val="1"/>
      </rPr>
      <t xml:space="preserve"> --</t>
    </r>
  </si>
  <si>
    <t>Calculate Mesh Pad Area &amp; Height --</t>
  </si>
  <si>
    <t>Utilizing the Sonders-Brown equation for vertical flow through the hanging mesh:</t>
  </si>
  <si>
    <t>K = 0.35 ft/sec for high efficiency mist eliminator</t>
  </si>
  <si>
    <t>0.867 (derating factor) -- interpolation for actual pressure</t>
  </si>
  <si>
    <t>(Fig. 7-36)</t>
  </si>
  <si>
    <r>
      <t>V</t>
    </r>
    <r>
      <rPr>
        <vertAlign val="subscript"/>
        <sz val="11"/>
        <rFont val="Times New Roman"/>
        <family val="1"/>
      </rPr>
      <t xml:space="preserve">max </t>
    </r>
    <r>
      <rPr>
        <sz val="11"/>
        <rFont val="Times New Roman"/>
        <family val="1"/>
      </rPr>
      <t>= (0.35 • 0.867)   (44.58 - 0.774)/0.774</t>
    </r>
  </si>
  <si>
    <t>(Equation 7-13)</t>
  </si>
  <si>
    <r>
      <t>A</t>
    </r>
    <r>
      <rPr>
        <vertAlign val="subscript"/>
        <sz val="11"/>
        <rFont val="Times New Roman"/>
        <family val="1"/>
      </rPr>
      <t>mesh</t>
    </r>
    <r>
      <rPr>
        <sz val="11"/>
        <rFont val="Times New Roman"/>
        <family val="1"/>
      </rPr>
      <t xml:space="preserve"> = [(28,910lb/hr)/(0.774lb/hr) • 1hr/3600sec]/(2.28ft/sec) =</t>
    </r>
  </si>
  <si>
    <t xml:space="preserve">This is approximately a 26 in by 26 in square mesh pad. </t>
  </si>
  <si>
    <r>
      <t>Similar to Fig. 7-38, based on a 45</t>
    </r>
    <r>
      <rPr>
        <sz val="11"/>
        <rFont val="Calibri"/>
        <family val="2"/>
      </rPr>
      <t>° angle from the edge fo the mesh pad to the edge of the outlet nozzle, the height above the mesh pad to the nozzle should be 1/2 of the mesh pad width minus 1/2 of the nozzle diamter. Use 1 ft height above mesh pad.</t>
    </r>
  </si>
  <si>
    <r>
      <rPr>
        <b/>
        <sz val="11"/>
        <rFont val="Times New Roman"/>
        <family val="1"/>
      </rPr>
      <t>Inlet Device Selection</t>
    </r>
    <r>
      <rPr>
        <sz val="11"/>
        <rFont val="Times New Roman"/>
        <family val="1"/>
      </rPr>
      <t xml:space="preserve"> --</t>
    </r>
  </si>
  <si>
    <t>Inlet device can be diffuser, half open pipe, or elbow at these liquid/gas rates. Diffuser is preferred.</t>
  </si>
  <si>
    <t>Nozzle Sizing</t>
  </si>
  <si>
    <t>Inlet Piping = 10 in Sch. 40 (ID = 10.02 in), based on acceptable line sizing criteria, and inlet nozzle size equals pipe size.</t>
  </si>
  <si>
    <t>Check Inlet Velocity Head</t>
  </si>
  <si>
    <t>V =</t>
  </si>
  <si>
    <r>
      <t>(268,200 + 28,910)lb/hr • 144 in</t>
    </r>
    <r>
      <rPr>
        <vertAlign val="superscript"/>
        <sz val="11"/>
        <rFont val="Times New Roman"/>
        <family val="1"/>
      </rPr>
      <t>2</t>
    </r>
    <r>
      <rPr>
        <sz val="11"/>
        <rFont val="Times New Roman"/>
        <family val="1"/>
      </rPr>
      <t xml:space="preserve"> • 1hr</t>
    </r>
  </si>
  <si>
    <t>10in nozzle with diffuser is acceptable</t>
  </si>
  <si>
    <t>Outlet Nozzle Size = 6 in Sch. 40 (ID = 6.065in)</t>
  </si>
  <si>
    <r>
      <t>28,910 lb/hr • 144 in</t>
    </r>
    <r>
      <rPr>
        <vertAlign val="superscript"/>
        <sz val="11"/>
        <rFont val="Times New Roman"/>
        <family val="1"/>
      </rPr>
      <t>2</t>
    </r>
    <r>
      <rPr>
        <sz val="11"/>
        <rFont val="Times New Roman"/>
        <family val="1"/>
      </rPr>
      <t xml:space="preserve"> • 1hr</t>
    </r>
  </si>
  <si>
    <t>Therefore 6 in outlet nozzle is acceptable.</t>
  </si>
  <si>
    <r>
      <t xml:space="preserve">Example 7-4 </t>
    </r>
    <r>
      <rPr>
        <sz val="11"/>
        <rFont val="Times New Roman"/>
        <family val="1"/>
      </rPr>
      <t>-- Provide a vessel to separate gas, light liquid, and heavy liquid at the conditions given below.</t>
    </r>
  </si>
  <si>
    <r>
      <rPr>
        <b/>
        <sz val="11"/>
        <rFont val="Times New Roman"/>
        <family val="1"/>
      </rPr>
      <t>Design Basis</t>
    </r>
    <r>
      <rPr>
        <sz val="11"/>
        <rFont val="Times New Roman"/>
        <family val="1"/>
      </rPr>
      <t xml:space="preserve"> --</t>
    </r>
  </si>
  <si>
    <t xml:space="preserve">Operating pressure = </t>
  </si>
  <si>
    <t>lb/hr</t>
  </si>
  <si>
    <t xml:space="preserve">Light Liquid flowrate = </t>
  </si>
  <si>
    <t xml:space="preserve">Heavy Liquid flowrate = </t>
  </si>
  <si>
    <t>micron</t>
  </si>
  <si>
    <t>(for liq/liq separation)</t>
  </si>
  <si>
    <t>Liquid droplet removal size =</t>
  </si>
  <si>
    <t>Liquid retention time =</t>
  </si>
  <si>
    <t>min (normal)</t>
  </si>
  <si>
    <t>min (minimum)</t>
  </si>
  <si>
    <t>(for each phase)</t>
  </si>
  <si>
    <t>Liquid surge time</t>
  </si>
  <si>
    <t>min</t>
  </si>
  <si>
    <t>(LLL to HLL)</t>
  </si>
  <si>
    <t>cP</t>
  </si>
  <si>
    <r>
      <t>ρ</t>
    </r>
    <r>
      <rPr>
        <vertAlign val="subscript"/>
        <sz val="11"/>
        <rFont val="Times New Roman"/>
        <family val="1"/>
      </rPr>
      <t>l</t>
    </r>
  </si>
  <si>
    <r>
      <t>μ</t>
    </r>
    <r>
      <rPr>
        <vertAlign val="subscript"/>
        <sz val="11"/>
        <rFont val="Times New Roman"/>
        <family val="1"/>
      </rPr>
      <t xml:space="preserve">l </t>
    </r>
  </si>
  <si>
    <r>
      <t>μ</t>
    </r>
    <r>
      <rPr>
        <vertAlign val="subscript"/>
        <sz val="11"/>
        <rFont val="Times New Roman"/>
        <family val="1"/>
      </rPr>
      <t>l</t>
    </r>
  </si>
  <si>
    <r>
      <t>μ</t>
    </r>
    <r>
      <rPr>
        <vertAlign val="subscript"/>
        <sz val="11"/>
        <rFont val="Times New Roman"/>
        <family val="1"/>
      </rPr>
      <t>ll</t>
    </r>
  </si>
  <si>
    <r>
      <t>ρ</t>
    </r>
    <r>
      <rPr>
        <vertAlign val="subscript"/>
        <sz val="11"/>
        <rFont val="Times New Roman"/>
        <family val="1"/>
      </rPr>
      <t>hl</t>
    </r>
  </si>
  <si>
    <r>
      <t>μ</t>
    </r>
    <r>
      <rPr>
        <vertAlign val="subscript"/>
        <sz val="11"/>
        <rFont val="Times New Roman"/>
        <family val="1"/>
      </rPr>
      <t xml:space="preserve">hl </t>
    </r>
  </si>
  <si>
    <r>
      <t>ρ</t>
    </r>
    <r>
      <rPr>
        <vertAlign val="subscript"/>
        <sz val="11"/>
        <rFont val="Times New Roman"/>
        <family val="1"/>
      </rPr>
      <t>ll</t>
    </r>
  </si>
  <si>
    <r>
      <rPr>
        <b/>
        <sz val="11"/>
        <rFont val="Times New Roman"/>
        <family val="1"/>
      </rPr>
      <t>Preliminary Vessel Size</t>
    </r>
    <r>
      <rPr>
        <sz val="11"/>
        <rFont val="Times New Roman"/>
        <family val="1"/>
      </rPr>
      <t xml:space="preserve"> -- Calculate a prelininary vessel size as a starting point to calculate partially filled cylinder areas/volumes. Assume required liquid surge colume controls separator sizing (as opposed to gas flowrate):</t>
    </r>
  </si>
  <si>
    <t>• Use 70% full to HHLL, required light and heavy phase normal retention times of 10 minutes each (bottom to NILL and NILL to NLL), and 1/2 of the light surge time between NLL and HLL, and another 1 minute between HLL and HHLL. Assume a 3:1 L/D for the settling chamber</t>
  </si>
  <si>
    <r>
      <t>[6,293 ft</t>
    </r>
    <r>
      <rPr>
        <vertAlign val="superscript"/>
        <sz val="11"/>
        <rFont val="Times New Roman"/>
        <family val="1"/>
      </rPr>
      <t>3</t>
    </r>
    <r>
      <rPr>
        <sz val="11"/>
        <rFont val="Times New Roman"/>
        <family val="1"/>
      </rPr>
      <t>/hr • (10 min + 3.5 min) • 1hr/60min + 1,212 ft</t>
    </r>
    <r>
      <rPr>
        <vertAlign val="superscript"/>
        <sz val="11"/>
        <rFont val="Times New Roman"/>
        <family val="1"/>
      </rPr>
      <t>3</t>
    </r>
    <r>
      <rPr>
        <sz val="11"/>
        <rFont val="Times New Roman"/>
        <family val="1"/>
      </rPr>
      <t>/hr • 10 min • 1hr/60min]/0.7</t>
    </r>
  </si>
  <si>
    <t>volume</t>
  </si>
  <si>
    <t>D =</t>
  </si>
  <si>
    <r>
      <t xml:space="preserve">3 • D • </t>
    </r>
    <r>
      <rPr>
        <sz val="11"/>
        <rFont val="Calibri"/>
        <family val="2"/>
      </rPr>
      <t>π</t>
    </r>
    <r>
      <rPr>
        <sz val="11"/>
        <rFont val="Times New Roman"/>
        <family val="1"/>
      </rPr>
      <t xml:space="preserve"> (D/2)</t>
    </r>
    <r>
      <rPr>
        <vertAlign val="superscript"/>
        <sz val="11"/>
        <rFont val="Times New Roman"/>
        <family val="1"/>
      </rPr>
      <t>2</t>
    </r>
    <r>
      <rPr>
        <sz val="11"/>
        <rFont val="Times New Roman"/>
        <family val="1"/>
      </rPr>
      <t xml:space="preserve"> =&gt;</t>
    </r>
  </si>
  <si>
    <r>
      <t>ft</t>
    </r>
    <r>
      <rPr>
        <vertAlign val="superscript"/>
        <sz val="11"/>
        <rFont val="Times New Roman"/>
        <family val="1"/>
      </rPr>
      <t>3</t>
    </r>
    <r>
      <rPr>
        <sz val="11"/>
        <rFont val="Times New Roman"/>
        <family val="1"/>
      </rPr>
      <t xml:space="preserve"> =</t>
    </r>
  </si>
  <si>
    <t xml:space="preserve">• Therefore preliminary size for settling chamber is 10 ft-ID x 30 ft-L (Actual volume of settling chamber = </t>
  </si>
  <si>
    <r>
      <rPr>
        <b/>
        <sz val="11"/>
        <rFont val="Times New Roman"/>
        <family val="1"/>
      </rPr>
      <t>Calculate Levels for Preliminary Vessel Size</t>
    </r>
    <r>
      <rPr>
        <sz val="11"/>
        <rFont val="Times New Roman"/>
        <family val="1"/>
      </rPr>
      <t xml:space="preserve"> --</t>
    </r>
  </si>
  <si>
    <t xml:space="preserve">@NILL, Volfrac = </t>
  </si>
  <si>
    <t>From Fig. 6-24 @ vol. fraction = 0.086, H/D ~ 0.14, which corresponds to a level of 1.4 ft. As a minimum, LLILL should be set at 12 in, LILL set at 4 in above LLILL, and NILL set at 6 in above LILL, therefore set NILL at 1 ft 10 in (vol. frac of 0.125).</t>
  </si>
  <si>
    <t>@HLL, Volfrac =</t>
  </si>
  <si>
    <r>
      <t>[(6,293ft</t>
    </r>
    <r>
      <rPr>
        <vertAlign val="superscript"/>
        <sz val="11"/>
        <rFont val="Times New Roman"/>
        <family val="1"/>
      </rPr>
      <t>3</t>
    </r>
    <r>
      <rPr>
        <sz val="11"/>
        <rFont val="Times New Roman"/>
        <family val="1"/>
      </rPr>
      <t>/hr) • 2.5min • (1hr/60min)]/2,356ft</t>
    </r>
    <r>
      <rPr>
        <vertAlign val="superscript"/>
        <sz val="11"/>
        <rFont val="Times New Roman"/>
        <family val="1"/>
      </rPr>
      <t>3</t>
    </r>
  </si>
  <si>
    <t>+ 0.57 = 0.681</t>
  </si>
  <si>
    <t>From Fig. 6-24 @ vol. fraction = 0.681, H/D ~ 0.644</t>
  </si>
  <si>
    <t>Therefore set HLL at 6 ft 6 in</t>
  </si>
  <si>
    <t>Remaining Level Estimate (based on above calculated levels above): LILL = 1 ft 4 in, HILL = 2 ft 4 in ( 6 in above NILL), Standpipe level = 2 ft 10 in (6 in above HILL), LLL = 3 ft 10 in (12in above standpipe), HHLL = 6 ft 10 in (4 in above HLL).</t>
  </si>
  <si>
    <r>
      <rPr>
        <b/>
        <sz val="11"/>
        <rFont val="Times New Roman"/>
        <family val="1"/>
      </rPr>
      <t>Calculate Stokes' Law Terminal Velocity, Required Setting Time, and Axial Velocity</t>
    </r>
    <r>
      <rPr>
        <sz val="11"/>
        <rFont val="Times New Roman"/>
        <family val="1"/>
      </rPr>
      <t xml:space="preserve"> --</t>
    </r>
  </si>
  <si>
    <t>NLL to NILL (Heavy particles from light phase)</t>
  </si>
  <si>
    <t>(using Equation 7-5):</t>
  </si>
  <si>
    <r>
      <t>[1488 • 32.2 ft/sec</t>
    </r>
    <r>
      <rPr>
        <vertAlign val="superscript"/>
        <sz val="11"/>
        <rFont val="Times New Roman"/>
        <family val="1"/>
      </rPr>
      <t>2</t>
    </r>
    <r>
      <rPr>
        <sz val="11"/>
        <rFont val="Times New Roman"/>
        <family val="1"/>
      </rPr>
      <t xml:space="preserve"> • (150</t>
    </r>
    <r>
      <rPr>
        <sz val="11"/>
        <rFont val="Calibri"/>
        <family val="2"/>
      </rPr>
      <t>μ</t>
    </r>
    <r>
      <rPr>
        <sz val="11"/>
        <rFont val="Times New Roman"/>
        <family val="1"/>
      </rPr>
      <t>m • 1ft/304800</t>
    </r>
    <r>
      <rPr>
        <sz val="11"/>
        <rFont val="Calibri"/>
        <family val="2"/>
      </rPr>
      <t>μ</t>
    </r>
    <r>
      <rPr>
        <sz val="11"/>
        <rFont val="Times New Roman"/>
        <family val="1"/>
      </rPr>
      <t>m)</t>
    </r>
    <r>
      <rPr>
        <vertAlign val="superscript"/>
        <sz val="11"/>
        <rFont val="Times New Roman"/>
        <family val="1"/>
      </rPr>
      <t>2</t>
    </r>
    <r>
      <rPr>
        <sz val="11"/>
        <rFont val="Times New Roman"/>
        <family val="1"/>
      </rPr>
      <t xml:space="preserve"> • 61.9lb/ft</t>
    </r>
    <r>
      <rPr>
        <vertAlign val="superscript"/>
        <sz val="11"/>
        <rFont val="Times New Roman"/>
        <family val="1"/>
      </rPr>
      <t>3</t>
    </r>
    <r>
      <rPr>
        <sz val="11"/>
        <rFont val="Times New Roman"/>
        <family val="1"/>
      </rPr>
      <t xml:space="preserve"> - 43.7 lb/ft</t>
    </r>
    <r>
      <rPr>
        <vertAlign val="superscript"/>
        <sz val="11"/>
        <rFont val="Times New Roman"/>
        <family val="1"/>
      </rPr>
      <t>3</t>
    </r>
    <r>
      <rPr>
        <sz val="11"/>
        <rFont val="Times New Roman"/>
        <family val="1"/>
      </rPr>
      <t>)]/ (18 • 0.31)</t>
    </r>
  </si>
  <si>
    <t>However, use 10in/min or 0.0139ft/s as max settling velocity</t>
  </si>
  <si>
    <t>Stokes' Law settling time required =</t>
  </si>
  <si>
    <t>3.75 ft</t>
  </si>
  <si>
    <t>0.0139 ft/sec</t>
  </si>
  <si>
    <t>270 sec</t>
  </si>
  <si>
    <r>
      <t>HT</t>
    </r>
    <r>
      <rPr>
        <vertAlign val="subscript"/>
        <sz val="11"/>
        <rFont val="Times New Roman"/>
        <family val="1"/>
      </rPr>
      <t>NLL to NILL</t>
    </r>
  </si>
  <si>
    <t xml:space="preserve">Vt      </t>
  </si>
  <si>
    <t>Available settling time = 10min &gt; 4.5 min, therefore heavy particles larger than 150 micron can settle from light phase between normal levels.</t>
  </si>
  <si>
    <t>Vessel Bottom to NILL (Light particles from heavy phase):</t>
  </si>
  <si>
    <t>Vt = 0.018 ft/sec (using Equation 7-5), use 10 in/min as max settling velocity</t>
  </si>
  <si>
    <t>Stokes' Law settling time required = 2.2 min</t>
  </si>
  <si>
    <t>Available settling time = 10min &gt; 2.2 min, therefore 150 micron and larger light particles can settle from heavy phase between normal levels.</t>
  </si>
  <si>
    <t>Axial Velocity (heavy phase):</t>
  </si>
  <si>
    <r>
      <t>(1,212ft</t>
    </r>
    <r>
      <rPr>
        <vertAlign val="superscript"/>
        <sz val="11"/>
        <rFont val="Times New Roman"/>
        <family val="1"/>
      </rPr>
      <t>3</t>
    </r>
    <r>
      <rPr>
        <sz val="11"/>
        <rFont val="Times New Roman"/>
        <family val="1"/>
      </rPr>
      <t xml:space="preserve">/hr • 1hr/3600sec)/(0.125 • </t>
    </r>
    <r>
      <rPr>
        <sz val="11"/>
        <rFont val="Calibri"/>
        <family val="2"/>
      </rPr>
      <t>π</t>
    </r>
    <r>
      <rPr>
        <sz val="11"/>
        <rFont val="Times New Roman"/>
        <family val="1"/>
      </rPr>
      <t xml:space="preserve"> (10ft/2)</t>
    </r>
    <r>
      <rPr>
        <vertAlign val="superscript"/>
        <sz val="11"/>
        <rFont val="Times New Roman"/>
        <family val="1"/>
      </rPr>
      <t>2</t>
    </r>
    <r>
      <rPr>
        <sz val="11"/>
        <rFont val="Times New Roman"/>
        <family val="1"/>
      </rPr>
      <t>)</t>
    </r>
  </si>
  <si>
    <r>
      <t>V</t>
    </r>
    <r>
      <rPr>
        <vertAlign val="subscript"/>
        <sz val="11"/>
        <rFont val="Times New Roman"/>
        <family val="1"/>
      </rPr>
      <t>l</t>
    </r>
    <r>
      <rPr>
        <sz val="11"/>
        <rFont val="Times New Roman"/>
        <family val="1"/>
      </rPr>
      <t xml:space="preserve"> = </t>
    </r>
  </si>
  <si>
    <t>Axial Velocity (light phase):</t>
  </si>
  <si>
    <r>
      <t>Application 7-3</t>
    </r>
    <r>
      <rPr>
        <sz val="11"/>
        <rFont val="Times New Roman"/>
        <family val="1"/>
      </rPr>
      <t xml:space="preserve"> -- Determine the configuration and size of a separator vessel to provide surge upstream of a process unit and to separate liquids and gas. The stream is 25,000 bpd of condensate and 15 MMSCFD of gas (MW = 17.55). Process conditions are as follows:</t>
    </r>
  </si>
  <si>
    <r>
      <t>(6,293ft</t>
    </r>
    <r>
      <rPr>
        <vertAlign val="superscript"/>
        <sz val="11"/>
        <rFont val="Times New Roman"/>
        <family val="1"/>
      </rPr>
      <t>3</t>
    </r>
    <r>
      <rPr>
        <sz val="11"/>
        <rFont val="Times New Roman"/>
        <family val="1"/>
      </rPr>
      <t xml:space="preserve">/hr • 1hr/3600sec)/((0.57 - 0.125) • </t>
    </r>
    <r>
      <rPr>
        <sz val="11"/>
        <rFont val="Calibri"/>
        <family val="2"/>
      </rPr>
      <t>π</t>
    </r>
    <r>
      <rPr>
        <sz val="11"/>
        <rFont val="Times New Roman"/>
        <family val="1"/>
      </rPr>
      <t xml:space="preserve"> (10ft/2)</t>
    </r>
    <r>
      <rPr>
        <vertAlign val="superscript"/>
        <sz val="11"/>
        <rFont val="Times New Roman"/>
        <family val="1"/>
      </rPr>
      <t>2</t>
    </r>
    <r>
      <rPr>
        <sz val="11"/>
        <rFont val="Times New Roman"/>
        <family val="1"/>
      </rPr>
      <t>)</t>
    </r>
  </si>
  <si>
    <t>As both heavy and light phase axial velocities (horizontal at NILL and NLL are &lt;0.05 ft/sec, axial velocity is acceptable</t>
  </si>
  <si>
    <r>
      <rPr>
        <b/>
        <sz val="11"/>
        <rFont val="Times New Roman"/>
        <family val="1"/>
      </rPr>
      <t>Check Settling Time for Off- Normal level Operation</t>
    </r>
    <r>
      <rPr>
        <sz val="11"/>
        <rFont val="Times New Roman"/>
        <family val="1"/>
      </rPr>
      <t xml:space="preserve"> --</t>
    </r>
  </si>
  <si>
    <t>Light phase @ LLL and Heavy phase @ NILL:</t>
  </si>
  <si>
    <t>Heavy phase retention time (bot to NILL) = 10 min, therefore light particles (150 micron) can settle from heavy phase as shown above</t>
  </si>
  <si>
    <t>Light phase retention time (NILL to LLL) =</t>
  </si>
  <si>
    <r>
      <t>((0.35 - 0.125) • 2,356 ft</t>
    </r>
    <r>
      <rPr>
        <vertAlign val="superscript"/>
        <sz val="11"/>
        <rFont val="Times New Roman"/>
        <family val="1"/>
      </rPr>
      <t>3</t>
    </r>
    <r>
      <rPr>
        <sz val="11"/>
        <rFont val="Times New Roman"/>
        <family val="1"/>
      </rPr>
      <t>)/(6,293ft</t>
    </r>
    <r>
      <rPr>
        <vertAlign val="superscript"/>
        <sz val="11"/>
        <rFont val="Times New Roman"/>
        <family val="1"/>
      </rPr>
      <t>3</t>
    </r>
    <r>
      <rPr>
        <sz val="11"/>
        <rFont val="Times New Roman"/>
        <family val="1"/>
      </rPr>
      <t xml:space="preserve">/hr • 1hr/60min) </t>
    </r>
  </si>
  <si>
    <r>
      <t>HT</t>
    </r>
    <r>
      <rPr>
        <vertAlign val="subscript"/>
        <sz val="11"/>
        <rFont val="Times New Roman"/>
        <family val="1"/>
      </rPr>
      <t>LLL to NILL</t>
    </r>
  </si>
  <si>
    <t>2 ft</t>
  </si>
  <si>
    <t>144 sec</t>
  </si>
  <si>
    <t>Available settling time = 5 min &gt; 2.4 min, therefore 150 micron heavy particles can settle from light phase between these levels</t>
  </si>
  <si>
    <t>Light Phase @ NLL and Heavy Phase @ HILL:</t>
  </si>
  <si>
    <t>Heavy phase retention time (bottom to HILL)=</t>
  </si>
  <si>
    <r>
      <t>(0.177 • 2,356 ft</t>
    </r>
    <r>
      <rPr>
        <vertAlign val="superscript"/>
        <sz val="11"/>
        <rFont val="Times New Roman"/>
        <family val="1"/>
      </rPr>
      <t>3</t>
    </r>
    <r>
      <rPr>
        <sz val="11"/>
        <rFont val="Times New Roman"/>
        <family val="1"/>
      </rPr>
      <t>)/(1,212ft</t>
    </r>
    <r>
      <rPr>
        <vertAlign val="superscript"/>
        <sz val="11"/>
        <rFont val="Times New Roman"/>
        <family val="1"/>
      </rPr>
      <t>3</t>
    </r>
    <r>
      <rPr>
        <sz val="11"/>
        <rFont val="Times New Roman"/>
        <family val="1"/>
      </rPr>
      <t>/hr • 1hr/60 min)</t>
    </r>
  </si>
  <si>
    <r>
      <t>Ht</t>
    </r>
    <r>
      <rPr>
        <vertAlign val="subscript"/>
        <sz val="11"/>
        <rFont val="Times New Roman"/>
        <family val="1"/>
      </rPr>
      <t>BOTTOM to HILL</t>
    </r>
  </si>
  <si>
    <t>2.33 ft</t>
  </si>
  <si>
    <t>168 sec</t>
  </si>
  <si>
    <t>Available settling time = 20.6 min &gt; 2.8 min, therefore 150 micron light particles can settle from heavy phase between these levels</t>
  </si>
  <si>
    <t>Light phase retention time (HILL to NLL)=</t>
  </si>
  <si>
    <r>
      <t>(0.57 - 0.177 • 2,356 ft</t>
    </r>
    <r>
      <rPr>
        <vertAlign val="superscript"/>
        <sz val="11"/>
        <rFont val="Times New Roman"/>
        <family val="1"/>
      </rPr>
      <t>3</t>
    </r>
    <r>
      <rPr>
        <sz val="11"/>
        <rFont val="Times New Roman"/>
        <family val="1"/>
      </rPr>
      <t>)/(6,293ft</t>
    </r>
    <r>
      <rPr>
        <vertAlign val="superscript"/>
        <sz val="11"/>
        <rFont val="Times New Roman"/>
        <family val="1"/>
      </rPr>
      <t>3</t>
    </r>
    <r>
      <rPr>
        <sz val="11"/>
        <rFont val="Times New Roman"/>
        <family val="1"/>
      </rPr>
      <t>/hr • 1hr/60 min) =</t>
    </r>
  </si>
  <si>
    <r>
      <t>Ht</t>
    </r>
    <r>
      <rPr>
        <vertAlign val="subscript"/>
        <sz val="11"/>
        <rFont val="Times New Roman"/>
        <family val="1"/>
      </rPr>
      <t>HILL to NLL</t>
    </r>
  </si>
  <si>
    <t>3.25 ft</t>
  </si>
  <si>
    <t>234 sec</t>
  </si>
  <si>
    <t>Available settling time = 8.83min &gt; 3.9min, therefore 150 micron heavy particles can settle from light phase between these levels</t>
  </si>
  <si>
    <t xml:space="preserve">Light phase @ HLL and Heavy Phase @ NILL: </t>
  </si>
  <si>
    <t>Heavy phase retention time (bot to NILL) = 10 minutes, therefore light particles (150 micron) can settle from heavy phase as shown above</t>
  </si>
  <si>
    <t>Light phase retention time (NILL to HLL) =</t>
  </si>
  <si>
    <r>
      <t>(0.688 - 0.125 • 2,356 ft</t>
    </r>
    <r>
      <rPr>
        <vertAlign val="superscript"/>
        <sz val="11"/>
        <rFont val="Times New Roman"/>
        <family val="1"/>
      </rPr>
      <t>3</t>
    </r>
    <r>
      <rPr>
        <sz val="11"/>
        <rFont val="Times New Roman"/>
        <family val="1"/>
      </rPr>
      <t>)/(6,293ft</t>
    </r>
    <r>
      <rPr>
        <vertAlign val="superscript"/>
        <sz val="11"/>
        <rFont val="Times New Roman"/>
        <family val="1"/>
      </rPr>
      <t>3</t>
    </r>
    <r>
      <rPr>
        <sz val="11"/>
        <rFont val="Times New Roman"/>
        <family val="1"/>
      </rPr>
      <t>/hr • 1hr/60 min) =</t>
    </r>
  </si>
  <si>
    <r>
      <t>Ht</t>
    </r>
    <r>
      <rPr>
        <vertAlign val="subscript"/>
        <sz val="11"/>
        <rFont val="Times New Roman"/>
        <family val="1"/>
      </rPr>
      <t>NILL to HLL</t>
    </r>
  </si>
  <si>
    <t>4.67 ft</t>
  </si>
  <si>
    <t>336 sec</t>
  </si>
  <si>
    <t>Available settling time = 12.6 min &gt; 5.6 min, therefore 150 micron heavy particles can settle form light phase between these levels</t>
  </si>
  <si>
    <r>
      <rPr>
        <b/>
        <sz val="11"/>
        <rFont val="Times New Roman"/>
        <family val="1"/>
      </rPr>
      <t>Calculate Final Vessel Length</t>
    </r>
    <r>
      <rPr>
        <sz val="11"/>
        <rFont val="Times New Roman"/>
        <family val="1"/>
      </rPr>
      <t xml:space="preserve"> --</t>
    </r>
  </si>
  <si>
    <t>Outlet zone to account for outlet liquid nozzles, use 0.25 D =</t>
  </si>
  <si>
    <t xml:space="preserve">Inlet zone to include 2 distribution baffles, therefore use 0.5D = </t>
  </si>
  <si>
    <t xml:space="preserve">ft </t>
  </si>
  <si>
    <t xml:space="preserve">Total Length = 5ft + 2.5 ft + 30 ft = </t>
  </si>
  <si>
    <r>
      <rPr>
        <b/>
        <sz val="11"/>
        <rFont val="Times New Roman"/>
        <family val="1"/>
      </rPr>
      <t>Gravity Separation and Gas Polishing Section</t>
    </r>
    <r>
      <rPr>
        <sz val="11"/>
        <rFont val="Times New Roman"/>
        <family val="1"/>
      </rPr>
      <t xml:space="preserve"> --</t>
    </r>
  </si>
  <si>
    <t>The vapor zone, and inlet/outlet nozzles should be addressed as shoun in Example 7-3. Check K through a horizontal flow mesh pad (assume mesh pad area is equal to the cross sectional area above the HHLL) using Equation 7-11:</t>
  </si>
  <si>
    <t>K calculated = 0.181</t>
  </si>
  <si>
    <t>As K calculated is less than 0.36 (derated for pressure from 0.42) for a typical wire mesh mist eliminator, the gas section is acceptable (vapor zone and inlet/outlet nozzle check not shown).</t>
  </si>
  <si>
    <r>
      <rPr>
        <b/>
        <sz val="11"/>
        <rFont val="Times New Roman"/>
        <family val="1"/>
      </rPr>
      <t>Vessel Sizing Summary</t>
    </r>
    <r>
      <rPr>
        <sz val="11"/>
        <rFont val="Times New Roman"/>
        <family val="1"/>
      </rPr>
      <t xml:space="preserve"> --</t>
    </r>
  </si>
  <si>
    <t>The size for the above vessel was calculated to be 10 ft D • 37.5 ft L which corresponds to an L/D of 3.75. Final levels are as follows:</t>
  </si>
  <si>
    <t>LLILL=</t>
  </si>
  <si>
    <t>LILL=</t>
  </si>
  <si>
    <t>As the settling times calculated for the above level sections for 150 micron particles were less than the available retention time, it is anticipated that smaller particles could be separated.</t>
  </si>
  <si>
    <t>Some safety factor when applying Stokes' Law is required. Multiple iterations can be performed to achieve optimal dimensions based on vessel economics, particle separation size, and desired safety factor, however all parameters (settling times, surge times, etc) must be recalculated. This trial and error approach is typically performed via the use of a spreadsheet.</t>
  </si>
  <si>
    <t>NILL=</t>
  </si>
  <si>
    <t>HILL=</t>
  </si>
  <si>
    <t>LLL=</t>
  </si>
  <si>
    <t>NLL=</t>
  </si>
  <si>
    <t>HLL=</t>
  </si>
  <si>
    <t>HHLL=</t>
  </si>
  <si>
    <t>1 ft</t>
  </si>
  <si>
    <t>1 ft 4 in</t>
  </si>
  <si>
    <t>1 ft 10 in</t>
  </si>
  <si>
    <t>2 ft 4 in</t>
  </si>
  <si>
    <t>3 ft 10 in</t>
  </si>
  <si>
    <t>5 ft 7 in</t>
  </si>
  <si>
    <t>6 ft 6 in</t>
  </si>
  <si>
    <t>6 ft 10 in</t>
  </si>
  <si>
    <t>@NLL, Volfrac =</t>
  </si>
  <si>
    <r>
      <t>[(6,293ft</t>
    </r>
    <r>
      <rPr>
        <vertAlign val="superscript"/>
        <sz val="11"/>
        <rFont val="Times New Roman"/>
        <family val="1"/>
      </rPr>
      <t>3</t>
    </r>
    <r>
      <rPr>
        <sz val="11"/>
        <rFont val="Times New Roman"/>
        <family val="1"/>
      </rPr>
      <t>/hr) • 10 min • (1hr/60min)]/2,356ft</t>
    </r>
    <r>
      <rPr>
        <vertAlign val="superscript"/>
        <sz val="11"/>
        <rFont val="Times New Roman"/>
        <family val="1"/>
      </rPr>
      <t>3</t>
    </r>
  </si>
  <si>
    <t>+ 0.125 = 0.57</t>
  </si>
  <si>
    <t>0.086</t>
  </si>
  <si>
    <t>From Fig. 6-24 @ vol. fraction = 0.57, H/D ~ 0.555</t>
  </si>
  <si>
    <t>Therefore set NLL at 5 ft 7 in</t>
  </si>
  <si>
    <r>
      <t>[(1,212ft</t>
    </r>
    <r>
      <rPr>
        <vertAlign val="superscript"/>
        <sz val="11"/>
        <rFont val="Times New Roman"/>
        <family val="1"/>
      </rPr>
      <t>3</t>
    </r>
    <r>
      <rPr>
        <sz val="11"/>
        <rFont val="Times New Roman"/>
        <family val="1"/>
      </rPr>
      <t>/hr) • 10min • (1hr/60min)]/2,356ft</t>
    </r>
    <r>
      <rPr>
        <vertAlign val="superscript"/>
        <sz val="11"/>
        <rFont val="Times New Roman"/>
        <family val="1"/>
      </rPr>
      <t xml:space="preserve">3 </t>
    </r>
    <r>
      <rPr>
        <sz val="11"/>
        <rFont val="Times New Roman"/>
        <family val="1"/>
      </rPr>
      <t>=</t>
    </r>
  </si>
  <si>
    <r>
      <t xml:space="preserve">Application 7-4 </t>
    </r>
    <r>
      <rPr>
        <sz val="11"/>
        <rFont val="Times New Roman"/>
        <family val="1"/>
      </rPr>
      <t>-- Provide a vessel to separate gas, light liquid, and heavy liquid at the conditions given below.</t>
    </r>
  </si>
  <si>
    <r>
      <t>ft</t>
    </r>
    <r>
      <rPr>
        <vertAlign val="superscript"/>
        <sz val="11"/>
        <rFont val="Times New Roman"/>
        <family val="1"/>
      </rPr>
      <t>3</t>
    </r>
    <r>
      <rPr>
        <sz val="11"/>
        <rFont val="Times New Roman"/>
        <family val="1"/>
      </rPr>
      <t>/hr</t>
    </r>
  </si>
  <si>
    <r>
      <t>[(6,293ft</t>
    </r>
    <r>
      <rPr>
        <vertAlign val="superscript"/>
        <sz val="11"/>
        <rFont val="Times New Roman"/>
        <family val="1"/>
      </rPr>
      <t>3</t>
    </r>
    <r>
      <rPr>
        <sz val="11"/>
        <rFont val="Times New Roman"/>
        <family val="1"/>
      </rPr>
      <t>/hr) • 10 min • (1hr/60min)]/2,356ft</t>
    </r>
    <r>
      <rPr>
        <vertAlign val="superscript"/>
        <sz val="11"/>
        <rFont val="Times New Roman"/>
        <family val="1"/>
      </rPr>
      <t xml:space="preserve">3 </t>
    </r>
    <r>
      <rPr>
        <sz val="11"/>
        <rFont val="Times New Roman"/>
        <family val="1"/>
      </rPr>
      <t>+</t>
    </r>
  </si>
  <si>
    <r>
      <t>[(6,293ft</t>
    </r>
    <r>
      <rPr>
        <vertAlign val="superscript"/>
        <sz val="11"/>
        <rFont val="Times New Roman"/>
        <family val="1"/>
      </rPr>
      <t>3</t>
    </r>
    <r>
      <rPr>
        <sz val="11"/>
        <rFont val="Times New Roman"/>
        <family val="1"/>
      </rPr>
      <t>/hr) • 2.5min • (1hr/60min)]/2,356ft</t>
    </r>
    <r>
      <rPr>
        <vertAlign val="superscript"/>
        <sz val="11"/>
        <rFont val="Times New Roman"/>
        <family val="1"/>
      </rPr>
      <t xml:space="preserve">3 </t>
    </r>
    <r>
      <rPr>
        <sz val="11"/>
        <rFont val="Times New Roman"/>
        <family val="1"/>
      </rPr>
      <t xml:space="preserve">+ </t>
    </r>
  </si>
  <si>
    <t>(25,000 bpd)</t>
  </si>
  <si>
    <t>surge time</t>
  </si>
  <si>
    <t>60% or</t>
  </si>
  <si>
    <t>(150 MMSCFD)</t>
  </si>
  <si>
    <r>
      <t>ft</t>
    </r>
    <r>
      <rPr>
        <vertAlign val="superscript"/>
        <sz val="11"/>
        <rFont val="Times New Roman"/>
        <family val="1"/>
      </rPr>
      <t>3</t>
    </r>
    <r>
      <rPr>
        <sz val="11"/>
        <rFont val="Times New Roman"/>
        <family val="1"/>
      </rPr>
      <t>/min</t>
    </r>
  </si>
  <si>
    <r>
      <t xml:space="preserve"> ft</t>
    </r>
    <r>
      <rPr>
        <vertAlign val="superscript"/>
        <sz val="11"/>
        <rFont val="Times New Roman"/>
        <family val="1"/>
      </rPr>
      <t>3</t>
    </r>
    <r>
      <rPr>
        <sz val="11"/>
        <rFont val="Times New Roman"/>
        <family val="1"/>
      </rPr>
      <t>/min</t>
    </r>
  </si>
  <si>
    <t>.000492 ft</t>
  </si>
  <si>
    <r>
      <t xml:space="preserve"> D</t>
    </r>
    <r>
      <rPr>
        <vertAlign val="subscript"/>
        <sz val="11"/>
        <rFont val="Times New Roman"/>
        <family val="1"/>
      </rPr>
      <t>p</t>
    </r>
  </si>
  <si>
    <t>microns</t>
  </si>
  <si>
    <t xml:space="preserve">From Fig. 7-5, Drag coefficient, C'                      = </t>
  </si>
  <si>
    <t xml:space="preserve"> =  4741</t>
  </si>
  <si>
    <r>
      <t>lb/hr • 1/1.552 lb/ft</t>
    </r>
    <r>
      <rPr>
        <vertAlign val="superscript"/>
        <sz val="11"/>
        <rFont val="Times New Roman"/>
        <family val="1"/>
      </rPr>
      <t>3</t>
    </r>
    <r>
      <rPr>
        <sz val="11"/>
        <rFont val="Times New Roman"/>
        <family val="1"/>
      </rPr>
      <t xml:space="preserve"> • 1hr/3600sec • 1.1 </t>
    </r>
  </si>
  <si>
    <t>K =</t>
  </si>
  <si>
    <t>K=</t>
  </si>
  <si>
    <t xml:space="preserve">      +0.33 =</t>
  </si>
  <si>
    <t>ft added for support ring and then rounded to nearest half foot</t>
  </si>
  <si>
    <t>Design Factor</t>
  </si>
  <si>
    <t>%</t>
  </si>
  <si>
    <r>
      <t>(14.71ft</t>
    </r>
    <r>
      <rPr>
        <vertAlign val="superscript"/>
        <sz val="11"/>
        <rFont val="Times New Roman"/>
        <family val="1"/>
      </rPr>
      <t>3</t>
    </r>
    <r>
      <rPr>
        <sz val="11"/>
        <rFont val="Times New Roman"/>
        <family val="1"/>
      </rPr>
      <t>/min)/44.2ft</t>
    </r>
    <r>
      <rPr>
        <vertAlign val="superscript"/>
        <sz val="11"/>
        <rFont val="Times New Roman"/>
        <family val="1"/>
      </rPr>
      <t xml:space="preserve">2 </t>
    </r>
    <r>
      <rPr>
        <sz val="11"/>
        <rFont val="Times New Roman"/>
        <family val="1"/>
      </rPr>
      <t xml:space="preserve">• 5 min = 1.66ft = </t>
    </r>
  </si>
  <si>
    <t>in.  use</t>
  </si>
  <si>
    <r>
      <t>(14.71ft</t>
    </r>
    <r>
      <rPr>
        <vertAlign val="superscript"/>
        <sz val="11"/>
        <rFont val="Times New Roman"/>
        <family val="1"/>
      </rPr>
      <t>3</t>
    </r>
    <r>
      <rPr>
        <sz val="11"/>
        <rFont val="Times New Roman"/>
        <family val="1"/>
      </rPr>
      <t>/min)/44.2ft</t>
    </r>
    <r>
      <rPr>
        <vertAlign val="superscript"/>
        <sz val="11"/>
        <rFont val="Times New Roman"/>
        <family val="1"/>
      </rPr>
      <t>2</t>
    </r>
    <r>
      <rPr>
        <sz val="11"/>
        <rFont val="Times New Roman"/>
        <family val="1"/>
      </rPr>
      <t xml:space="preserve"> • 1 min =</t>
    </r>
  </si>
  <si>
    <t>in.  Use</t>
  </si>
  <si>
    <t xml:space="preserve">H2 = 4 + 20 + 4 = 28 in = </t>
  </si>
  <si>
    <t>ft   Use</t>
  </si>
  <si>
    <t>ρl</t>
  </si>
  <si>
    <r>
      <t>V</t>
    </r>
    <r>
      <rPr>
        <vertAlign val="subscript"/>
        <sz val="11"/>
        <rFont val="Times New Roman"/>
        <family val="1"/>
      </rPr>
      <t>t</t>
    </r>
    <r>
      <rPr>
        <sz val="11"/>
        <rFont val="Times New Roman"/>
        <family val="1"/>
      </rPr>
      <t xml:space="preserve"> = 1.145 • 10</t>
    </r>
    <r>
      <rPr>
        <vertAlign val="superscript"/>
        <sz val="11"/>
        <rFont val="Times New Roman"/>
        <family val="1"/>
      </rPr>
      <t>-3</t>
    </r>
    <r>
      <rPr>
        <sz val="11"/>
        <rFont val="Times New Roman"/>
        <family val="1"/>
      </rPr>
      <t xml:space="preserve"> • (44.68lb/ft</t>
    </r>
    <r>
      <rPr>
        <vertAlign val="superscript"/>
        <sz val="11"/>
        <rFont val="Times New Roman"/>
        <family val="1"/>
      </rPr>
      <t>3</t>
    </r>
    <r>
      <rPr>
        <sz val="11"/>
        <rFont val="Times New Roman"/>
        <family val="1"/>
      </rPr>
      <t xml:space="preserve"> - 1.552lb/ft</t>
    </r>
    <r>
      <rPr>
        <vertAlign val="superscript"/>
        <sz val="11"/>
        <rFont val="Times New Roman"/>
        <family val="1"/>
      </rPr>
      <t>3</t>
    </r>
    <r>
      <rPr>
        <sz val="11"/>
        <rFont val="Times New Roman"/>
        <family val="1"/>
      </rPr>
      <t>)/0.574 =</t>
    </r>
  </si>
  <si>
    <t xml:space="preserve">Inlet Piping is 18 in Sch. 40 (ID = </t>
  </si>
  <si>
    <t>)based on acceptable line sizing criteria.</t>
  </si>
  <si>
    <t>L =</t>
  </si>
  <si>
    <t>D=</t>
  </si>
  <si>
    <t xml:space="preserve">LLLL = 18 in. (per Fig. 6-24, interpol. fraction of cylinder volume at H/D = </t>
  </si>
  <si>
    <t>LLLL Height</t>
  </si>
  <si>
    <t>inches</t>
  </si>
  <si>
    <t>From Fig. 6-24 @ vol. fraction = 0.7298</t>
  </si>
  <si>
    <t>H/D ~</t>
  </si>
  <si>
    <t xml:space="preserve">From Fig. 6-24 @vol. fraction = 0.4298, </t>
  </si>
  <si>
    <t>Use</t>
  </si>
  <si>
    <t>3 ft 7 in</t>
  </si>
  <si>
    <t>=&gt; NLL = 3.56 ft                                or</t>
  </si>
  <si>
    <t>(derating factor) -- interpolation for actual pressure</t>
  </si>
  <si>
    <t>K for high efficiency mist eliminator</t>
  </si>
  <si>
    <t>K   =</t>
  </si>
  <si>
    <r>
      <t>J = (p</t>
    </r>
    <r>
      <rPr>
        <vertAlign val="subscript"/>
        <sz val="11"/>
        <rFont val="Times New Roman"/>
        <family val="1"/>
      </rPr>
      <t>m</t>
    </r>
    <r>
      <rPr>
        <sz val="11"/>
        <rFont val="Times New Roman"/>
        <family val="1"/>
      </rPr>
      <t>v</t>
    </r>
    <r>
      <rPr>
        <vertAlign val="superscript"/>
        <sz val="11"/>
        <rFont val="Times New Roman"/>
        <family val="1"/>
      </rPr>
      <t>2</t>
    </r>
    <r>
      <rPr>
        <sz val="11"/>
        <rFont val="Times New Roman"/>
        <family val="1"/>
      </rPr>
      <t>) = (6.87 • 21.9</t>
    </r>
    <r>
      <rPr>
        <vertAlign val="superscript"/>
        <sz val="11"/>
        <rFont val="Times New Roman"/>
        <family val="1"/>
      </rPr>
      <t>2</t>
    </r>
    <r>
      <rPr>
        <sz val="11"/>
        <rFont val="Times New Roman"/>
        <family val="1"/>
      </rPr>
      <t xml:space="preserve">)           = </t>
    </r>
  </si>
  <si>
    <r>
      <t>J = (p</t>
    </r>
    <r>
      <rPr>
        <vertAlign val="subscript"/>
        <sz val="11"/>
        <rFont val="Times New Roman"/>
        <family val="1"/>
      </rPr>
      <t>m</t>
    </r>
    <r>
      <rPr>
        <sz val="11"/>
        <rFont val="Times New Roman"/>
        <family val="1"/>
      </rPr>
      <t>v</t>
    </r>
    <r>
      <rPr>
        <vertAlign val="superscript"/>
        <sz val="11"/>
        <rFont val="Times New Roman"/>
        <family val="1"/>
      </rPr>
      <t>2</t>
    </r>
    <r>
      <rPr>
        <sz val="11"/>
        <rFont val="Times New Roman"/>
        <family val="1"/>
      </rPr>
      <t>) = (6.87 • 21.9</t>
    </r>
    <r>
      <rPr>
        <vertAlign val="superscript"/>
        <sz val="11"/>
        <rFont val="Times New Roman"/>
        <family val="1"/>
      </rPr>
      <t>2</t>
    </r>
    <r>
      <rPr>
        <sz val="11"/>
        <rFont val="Times New Roman"/>
        <family val="1"/>
      </rPr>
      <t>) = 3306 lb/ft•sec</t>
    </r>
    <r>
      <rPr>
        <vertAlign val="superscript"/>
        <sz val="11"/>
        <rFont val="Times New Roman"/>
        <family val="1"/>
      </rPr>
      <t>2</t>
    </r>
    <r>
      <rPr>
        <sz val="11"/>
        <rFont val="Times New Roman"/>
        <family val="1"/>
      </rPr>
      <t xml:space="preserve"> &lt; 6000 lb/ft•sec</t>
    </r>
    <r>
      <rPr>
        <vertAlign val="superscript"/>
        <sz val="11"/>
        <rFont val="Times New Roman"/>
        <family val="1"/>
      </rPr>
      <t>2</t>
    </r>
  </si>
  <si>
    <t xml:space="preserve"> lb/ft•sec2 &lt; 6000 lb/ft•sec2</t>
  </si>
  <si>
    <r>
      <t>J = (0.774 • 51.7</t>
    </r>
    <r>
      <rPr>
        <vertAlign val="superscript"/>
        <sz val="11"/>
        <rFont val="Times New Roman"/>
        <family val="1"/>
      </rPr>
      <t>2</t>
    </r>
    <r>
      <rPr>
        <sz val="11"/>
        <rFont val="Times New Roman"/>
        <family val="1"/>
      </rPr>
      <t xml:space="preserve">)                                      = </t>
    </r>
  </si>
  <si>
    <r>
      <t>J = (0.774 • 51.7</t>
    </r>
    <r>
      <rPr>
        <vertAlign val="superscript"/>
        <sz val="11"/>
        <rFont val="Times New Roman"/>
        <family val="1"/>
      </rPr>
      <t>2</t>
    </r>
    <r>
      <rPr>
        <sz val="11"/>
        <rFont val="Times New Roman"/>
        <family val="1"/>
      </rPr>
      <t>) = 2070 lb/ft•sec</t>
    </r>
    <r>
      <rPr>
        <vertAlign val="superscript"/>
        <sz val="11"/>
        <rFont val="Times New Roman"/>
        <family val="1"/>
      </rPr>
      <t>2</t>
    </r>
    <r>
      <rPr>
        <sz val="11"/>
        <rFont val="Times New Roman"/>
        <family val="1"/>
      </rPr>
      <t xml:space="preserve"> &lt; 6000 lb/ft•sec</t>
    </r>
    <r>
      <rPr>
        <vertAlign val="superscript"/>
        <sz val="11"/>
        <rFont val="Times New Roman"/>
        <family val="1"/>
      </rPr>
      <t>2</t>
    </r>
  </si>
  <si>
    <t xml:space="preserve"> ft3/hr</t>
  </si>
  <si>
    <t>ft3/hr</t>
  </si>
  <si>
    <t>min     or</t>
  </si>
  <si>
    <t>in.</t>
  </si>
  <si>
    <t>HHLL % full</t>
  </si>
  <si>
    <t xml:space="preserve">From Fig. 6-24 @ vol. fraction = </t>
  </si>
  <si>
    <t>@ H/D ~ 0.555</t>
  </si>
  <si>
    <t>H/D ~ 0.644</t>
  </si>
  <si>
    <r>
      <t>[1488 • 32.2 ft/sec</t>
    </r>
    <r>
      <rPr>
        <vertAlign val="superscript"/>
        <sz val="11"/>
        <rFont val="Times New Roman"/>
        <family val="1"/>
      </rPr>
      <t>2</t>
    </r>
    <r>
      <rPr>
        <sz val="11"/>
        <rFont val="Times New Roman"/>
        <family val="1"/>
      </rPr>
      <t xml:space="preserve"> • (150</t>
    </r>
    <r>
      <rPr>
        <sz val="11"/>
        <rFont val="Calibri"/>
        <family val="2"/>
      </rPr>
      <t>μ</t>
    </r>
    <r>
      <rPr>
        <sz val="11"/>
        <rFont val="Times New Roman"/>
        <family val="1"/>
      </rPr>
      <t>m • 1ft/304800</t>
    </r>
    <r>
      <rPr>
        <sz val="11"/>
        <rFont val="Calibri"/>
        <family val="2"/>
      </rPr>
      <t>μ</t>
    </r>
    <r>
      <rPr>
        <sz val="11"/>
        <rFont val="Times New Roman"/>
        <family val="1"/>
      </rPr>
      <t>m)</t>
    </r>
    <r>
      <rPr>
        <vertAlign val="superscript"/>
        <sz val="11"/>
        <rFont val="Times New Roman"/>
        <family val="1"/>
      </rPr>
      <t>2</t>
    </r>
    <r>
      <rPr>
        <sz val="11"/>
        <rFont val="Times New Roman"/>
        <family val="1"/>
      </rPr>
      <t xml:space="preserve"> • (61.9lb/ft</t>
    </r>
    <r>
      <rPr>
        <vertAlign val="superscript"/>
        <sz val="11"/>
        <rFont val="Times New Roman"/>
        <family val="1"/>
      </rPr>
      <t>3</t>
    </r>
    <r>
      <rPr>
        <sz val="11"/>
        <rFont val="Times New Roman"/>
        <family val="1"/>
      </rPr>
      <t xml:space="preserve"> - 43.7 lb/ft</t>
    </r>
    <r>
      <rPr>
        <vertAlign val="superscript"/>
        <sz val="11"/>
        <rFont val="Times New Roman"/>
        <family val="1"/>
      </rPr>
      <t>3</t>
    </r>
    <r>
      <rPr>
        <sz val="11"/>
        <rFont val="Times New Roman"/>
        <family val="1"/>
      </rPr>
      <t>)]/ (18 • 0.31)</t>
    </r>
  </si>
  <si>
    <r>
      <t>area, ft</t>
    </r>
    <r>
      <rPr>
        <vertAlign val="superscript"/>
        <sz val="11"/>
        <rFont val="Times New Roman"/>
        <family val="1"/>
      </rPr>
      <t>2</t>
    </r>
  </si>
  <si>
    <r>
      <t>A</t>
    </r>
    <r>
      <rPr>
        <vertAlign val="subscript"/>
        <sz val="11"/>
        <rFont val="Times New Roman"/>
        <family val="1"/>
      </rPr>
      <t>mesh</t>
    </r>
  </si>
  <si>
    <r>
      <t>Mesh pad area, ft</t>
    </r>
    <r>
      <rPr>
        <vertAlign val="superscript"/>
        <sz val="11"/>
        <rFont val="Times New Roman"/>
        <family val="1"/>
      </rPr>
      <t>2</t>
    </r>
  </si>
  <si>
    <r>
      <t>A</t>
    </r>
    <r>
      <rPr>
        <vertAlign val="subscript"/>
        <sz val="11"/>
        <rFont val="Times New Roman"/>
        <family val="1"/>
      </rPr>
      <t>p</t>
    </r>
  </si>
  <si>
    <r>
      <t>particle or droplet cross sectional area, ft</t>
    </r>
    <r>
      <rPr>
        <vertAlign val="superscript"/>
        <sz val="11"/>
        <rFont val="Times New Roman"/>
        <family val="1"/>
      </rPr>
      <t>2</t>
    </r>
  </si>
  <si>
    <r>
      <t>N</t>
    </r>
    <r>
      <rPr>
        <vertAlign val="subscript"/>
        <sz val="11"/>
        <rFont val="Times New Roman"/>
        <family val="1"/>
      </rPr>
      <t>μ</t>
    </r>
  </si>
  <si>
    <r>
      <t>D</t>
    </r>
    <r>
      <rPr>
        <vertAlign val="subscript"/>
        <sz val="11"/>
        <rFont val="Times New Roman"/>
        <family val="1"/>
      </rPr>
      <t>c</t>
    </r>
  </si>
  <si>
    <r>
      <t>D</t>
    </r>
    <r>
      <rPr>
        <vertAlign val="subscript"/>
        <sz val="11"/>
        <rFont val="Times New Roman"/>
        <family val="1"/>
      </rPr>
      <t>h</t>
    </r>
  </si>
  <si>
    <r>
      <t>D</t>
    </r>
    <r>
      <rPr>
        <vertAlign val="subscript"/>
        <sz val="11"/>
        <rFont val="Times New Roman"/>
        <family val="1"/>
      </rPr>
      <t>p</t>
    </r>
  </si>
  <si>
    <r>
      <t>actual gas flow rate, ft</t>
    </r>
    <r>
      <rPr>
        <vertAlign val="superscript"/>
        <sz val="11"/>
        <rFont val="Times New Roman"/>
        <family val="1"/>
      </rPr>
      <t>3</t>
    </r>
    <r>
      <rPr>
        <sz val="11"/>
        <rFont val="Times New Roman"/>
        <family val="1"/>
      </rPr>
      <t>/sec</t>
    </r>
  </si>
  <si>
    <r>
      <t>d</t>
    </r>
    <r>
      <rPr>
        <vertAlign val="subscript"/>
        <sz val="11"/>
        <rFont val="Times New Roman"/>
        <family val="1"/>
      </rPr>
      <t>2</t>
    </r>
  </si>
  <si>
    <r>
      <t>Q</t>
    </r>
    <r>
      <rPr>
        <vertAlign val="subscript"/>
        <sz val="11"/>
        <rFont val="Times New Roman"/>
        <family val="1"/>
      </rPr>
      <t>1</t>
    </r>
  </si>
  <si>
    <r>
      <t>Liquid volumetric flow rate, ft</t>
    </r>
    <r>
      <rPr>
        <vertAlign val="superscript"/>
        <sz val="11"/>
        <rFont val="Times New Roman"/>
        <family val="1"/>
      </rPr>
      <t>3</t>
    </r>
    <r>
      <rPr>
        <sz val="11"/>
        <rFont val="Times New Roman"/>
        <family val="1"/>
      </rPr>
      <t>/min</t>
    </r>
  </si>
  <si>
    <r>
      <t>d</t>
    </r>
    <r>
      <rPr>
        <vertAlign val="subscript"/>
        <sz val="11"/>
        <rFont val="Times New Roman"/>
        <family val="1"/>
      </rPr>
      <t>95</t>
    </r>
  </si>
  <si>
    <r>
      <t>Q</t>
    </r>
    <r>
      <rPr>
        <vertAlign val="subscript"/>
        <sz val="11"/>
        <rFont val="Times New Roman"/>
        <family val="1"/>
      </rPr>
      <t>1,max</t>
    </r>
  </si>
  <si>
    <r>
      <t>Maximum liquid volumetric flow rate, ft</t>
    </r>
    <r>
      <rPr>
        <vertAlign val="superscript"/>
        <sz val="11"/>
        <rFont val="Times New Roman"/>
        <family val="1"/>
      </rPr>
      <t>3</t>
    </r>
    <r>
      <rPr>
        <sz val="11"/>
        <rFont val="Times New Roman"/>
        <family val="1"/>
      </rPr>
      <t>/min</t>
    </r>
  </si>
  <si>
    <r>
      <t>acceleration due to gravity, 32.2 ft/sec</t>
    </r>
    <r>
      <rPr>
        <vertAlign val="superscript"/>
        <sz val="11"/>
        <rFont val="Times New Roman"/>
        <family val="1"/>
      </rPr>
      <t>2</t>
    </r>
  </si>
  <si>
    <r>
      <t>gas constant, 10.73 (psia•ft</t>
    </r>
    <r>
      <rPr>
        <vertAlign val="superscript"/>
        <sz val="11"/>
        <rFont val="Times New Roman"/>
        <family val="1"/>
      </rPr>
      <t>3</t>
    </r>
    <r>
      <rPr>
        <sz val="11"/>
        <rFont val="Times New Roman"/>
        <family val="1"/>
      </rPr>
      <t>)(</t>
    </r>
    <r>
      <rPr>
        <sz val="11"/>
        <rFont val="Calibri"/>
        <family val="2"/>
      </rPr>
      <t>°</t>
    </r>
    <r>
      <rPr>
        <sz val="11"/>
        <rFont val="Times New Roman"/>
        <family val="1"/>
      </rPr>
      <t>R•lb mole)</t>
    </r>
  </si>
  <si>
    <r>
      <t>Dimensionless Stokes Number: [g • p</t>
    </r>
    <r>
      <rPr>
        <vertAlign val="subscript"/>
        <sz val="11"/>
        <rFont val="Times New Roman"/>
        <family val="1"/>
      </rPr>
      <t>c</t>
    </r>
    <r>
      <rPr>
        <sz val="11"/>
        <rFont val="Times New Roman"/>
        <family val="1"/>
      </rPr>
      <t xml:space="preserve"> • V</t>
    </r>
    <r>
      <rPr>
        <vertAlign val="subscript"/>
        <sz val="11"/>
        <rFont val="Times New Roman"/>
        <family val="1"/>
      </rPr>
      <t>c</t>
    </r>
    <r>
      <rPr>
        <sz val="11"/>
        <rFont val="Times New Roman"/>
        <family val="1"/>
      </rPr>
      <t xml:space="preserve"> • D</t>
    </r>
    <r>
      <rPr>
        <vertAlign val="superscript"/>
        <sz val="11"/>
        <rFont val="Times New Roman"/>
        <family val="1"/>
      </rPr>
      <t>2</t>
    </r>
    <r>
      <rPr>
        <vertAlign val="subscript"/>
        <sz val="11"/>
        <rFont val="Times New Roman"/>
        <family val="1"/>
      </rPr>
      <t>p</t>
    </r>
    <r>
      <rPr>
        <sz val="11"/>
        <rFont val="Times New Roman"/>
        <family val="1"/>
      </rPr>
      <t>]/(18μ</t>
    </r>
    <r>
      <rPr>
        <vertAlign val="subscript"/>
        <sz val="11"/>
        <rFont val="Times New Roman"/>
        <family val="1"/>
      </rPr>
      <t>c</t>
    </r>
    <r>
      <rPr>
        <sz val="11"/>
        <rFont val="Times New Roman"/>
        <family val="1"/>
      </rPr>
      <t xml:space="preserve"> • D</t>
    </r>
    <r>
      <rPr>
        <vertAlign val="subscript"/>
        <sz val="11"/>
        <rFont val="Times New Roman"/>
        <family val="1"/>
      </rPr>
      <t>c</t>
    </r>
    <r>
      <rPr>
        <sz val="11"/>
        <rFont val="Times New Roman"/>
        <family val="1"/>
      </rPr>
      <t>)</t>
    </r>
  </si>
  <si>
    <r>
      <t>H</t>
    </r>
    <r>
      <rPr>
        <vertAlign val="subscript"/>
        <sz val="11"/>
        <rFont val="Times New Roman"/>
        <family val="1"/>
      </rPr>
      <t>set</t>
    </r>
  </si>
  <si>
    <r>
      <t xml:space="preserve">system temperature, </t>
    </r>
    <r>
      <rPr>
        <sz val="11"/>
        <rFont val="Calibri"/>
        <family val="2"/>
      </rPr>
      <t>°</t>
    </r>
    <r>
      <rPr>
        <sz val="11"/>
        <rFont val="Times New Roman"/>
        <family val="1"/>
      </rPr>
      <t>R</t>
    </r>
  </si>
  <si>
    <r>
      <t>V</t>
    </r>
    <r>
      <rPr>
        <vertAlign val="subscript"/>
        <sz val="11"/>
        <rFont val="Times New Roman"/>
        <family val="1"/>
      </rPr>
      <t>c</t>
    </r>
  </si>
  <si>
    <r>
      <t>V</t>
    </r>
    <r>
      <rPr>
        <vertAlign val="subscript"/>
        <sz val="11"/>
        <rFont val="Times New Roman"/>
        <family val="1"/>
      </rPr>
      <t>h</t>
    </r>
  </si>
  <si>
    <r>
      <t>gas momentum, lb/(ft•sec</t>
    </r>
    <r>
      <rPr>
        <vertAlign val="superscript"/>
        <sz val="11"/>
        <rFont val="Times New Roman"/>
        <family val="1"/>
      </rPr>
      <t>2</t>
    </r>
    <r>
      <rPr>
        <sz val="11"/>
        <rFont val="Times New Roman"/>
        <family val="1"/>
      </rPr>
      <t>)</t>
    </r>
  </si>
  <si>
    <r>
      <t>V</t>
    </r>
    <r>
      <rPr>
        <vertAlign val="subscript"/>
        <sz val="11"/>
        <rFont val="Times New Roman"/>
        <family val="1"/>
      </rPr>
      <t>1</t>
    </r>
  </si>
  <si>
    <r>
      <t>V</t>
    </r>
    <r>
      <rPr>
        <vertAlign val="subscript"/>
        <sz val="11"/>
        <rFont val="Times New Roman"/>
        <family val="1"/>
      </rPr>
      <t>r</t>
    </r>
  </si>
  <si>
    <r>
      <t>K</t>
    </r>
    <r>
      <rPr>
        <vertAlign val="subscript"/>
        <sz val="11"/>
        <rFont val="Times New Roman"/>
        <family val="1"/>
      </rPr>
      <t>CR</t>
    </r>
  </si>
  <si>
    <r>
      <t>V</t>
    </r>
    <r>
      <rPr>
        <vertAlign val="subscript"/>
        <sz val="11"/>
        <rFont val="Times New Roman"/>
        <family val="1"/>
      </rPr>
      <t>r,max</t>
    </r>
  </si>
  <si>
    <r>
      <t>V</t>
    </r>
    <r>
      <rPr>
        <vertAlign val="subscript"/>
        <sz val="11"/>
        <rFont val="Times New Roman"/>
        <family val="1"/>
      </rPr>
      <t>t</t>
    </r>
  </si>
  <si>
    <r>
      <t>critical or terminal gas velocity necessary for particles of size D</t>
    </r>
    <r>
      <rPr>
        <vertAlign val="subscript"/>
        <sz val="11"/>
        <rFont val="Times New Roman"/>
        <family val="1"/>
      </rPr>
      <t>p</t>
    </r>
    <r>
      <rPr>
        <sz val="11"/>
        <rFont val="Times New Roman"/>
        <family val="1"/>
      </rPr>
      <t xml:space="preserve"> to drop or settle out of gas, ft/sec</t>
    </r>
  </si>
  <si>
    <r>
      <t>L</t>
    </r>
    <r>
      <rPr>
        <vertAlign val="subscript"/>
        <sz val="11"/>
        <rFont val="Times New Roman"/>
        <family val="1"/>
      </rPr>
      <t>set</t>
    </r>
  </si>
  <si>
    <r>
      <t>W</t>
    </r>
    <r>
      <rPr>
        <vertAlign val="subscript"/>
        <sz val="11"/>
        <rFont val="Times New Roman"/>
        <family val="1"/>
      </rPr>
      <t>g</t>
    </r>
  </si>
  <si>
    <r>
      <t>W</t>
    </r>
    <r>
      <rPr>
        <vertAlign val="subscript"/>
        <sz val="11"/>
        <rFont val="Times New Roman"/>
        <family val="1"/>
      </rPr>
      <t>1</t>
    </r>
  </si>
  <si>
    <r>
      <t>M</t>
    </r>
    <r>
      <rPr>
        <vertAlign val="subscript"/>
        <sz val="11"/>
        <rFont val="Times New Roman"/>
        <family val="1"/>
      </rPr>
      <t>p</t>
    </r>
  </si>
  <si>
    <r>
      <t>ρ</t>
    </r>
    <r>
      <rPr>
        <vertAlign val="subscript"/>
        <sz val="11"/>
        <rFont val="Times New Roman"/>
        <family val="1"/>
      </rPr>
      <t>c</t>
    </r>
  </si>
  <si>
    <r>
      <t>Continuous phase density, lb/ft</t>
    </r>
    <r>
      <rPr>
        <vertAlign val="superscript"/>
        <sz val="11"/>
        <rFont val="Times New Roman"/>
        <family val="1"/>
      </rPr>
      <t>3</t>
    </r>
  </si>
  <si>
    <r>
      <rPr>
        <sz val="11"/>
        <rFont val="Calibri"/>
        <family val="2"/>
      </rPr>
      <t>ρ</t>
    </r>
    <r>
      <rPr>
        <vertAlign val="subscript"/>
        <sz val="11"/>
        <rFont val="Times New Roman"/>
        <family val="1"/>
      </rPr>
      <t>g</t>
    </r>
  </si>
  <si>
    <r>
      <t>gas phase density, lb/ft</t>
    </r>
    <r>
      <rPr>
        <vertAlign val="superscript"/>
        <sz val="11"/>
        <rFont val="Times New Roman"/>
        <family val="1"/>
      </rPr>
      <t>3</t>
    </r>
  </si>
  <si>
    <r>
      <rPr>
        <sz val="11"/>
        <rFont val="Calibri"/>
        <family val="2"/>
      </rPr>
      <t>ρ</t>
    </r>
    <r>
      <rPr>
        <vertAlign val="subscript"/>
        <sz val="11"/>
        <rFont val="Times New Roman"/>
        <family val="1"/>
      </rPr>
      <t>l</t>
    </r>
  </si>
  <si>
    <r>
      <t>liquid phase density, droplet or particle, lb/ft</t>
    </r>
    <r>
      <rPr>
        <vertAlign val="superscript"/>
        <sz val="11"/>
        <rFont val="Times New Roman"/>
        <family val="1"/>
      </rPr>
      <t>3</t>
    </r>
  </si>
  <si>
    <r>
      <t>Heavy liquid phase density, lb/ft</t>
    </r>
    <r>
      <rPr>
        <vertAlign val="superscript"/>
        <sz val="11"/>
        <rFont val="Times New Roman"/>
        <family val="1"/>
      </rPr>
      <t>3</t>
    </r>
  </si>
  <si>
    <r>
      <t>Light liquid phase density, lb/ft</t>
    </r>
    <r>
      <rPr>
        <vertAlign val="superscript"/>
        <sz val="11"/>
        <rFont val="Times New Roman"/>
        <family val="1"/>
      </rPr>
      <t>3</t>
    </r>
  </si>
  <si>
    <r>
      <t>Mixed fluid density, lb/ft</t>
    </r>
    <r>
      <rPr>
        <vertAlign val="superscript"/>
        <sz val="11"/>
        <rFont val="Times New Roman"/>
        <family val="1"/>
      </rPr>
      <t>3</t>
    </r>
  </si>
  <si>
    <r>
      <t>ρ</t>
    </r>
    <r>
      <rPr>
        <vertAlign val="subscript"/>
        <sz val="11"/>
        <rFont val="Times New Roman"/>
        <family val="1"/>
      </rPr>
      <t>p</t>
    </r>
  </si>
  <si>
    <r>
      <t>Droplet or partical phase density, lb/ft</t>
    </r>
    <r>
      <rPr>
        <vertAlign val="superscript"/>
        <sz val="11"/>
        <rFont val="Times New Roman"/>
        <family val="1"/>
      </rPr>
      <t>3</t>
    </r>
  </si>
  <si>
    <r>
      <t>μ</t>
    </r>
    <r>
      <rPr>
        <vertAlign val="subscript"/>
        <sz val="11"/>
        <rFont val="Calibri"/>
        <family val="2"/>
      </rPr>
      <t>c</t>
    </r>
  </si>
  <si>
    <r>
      <rPr>
        <sz val="11"/>
        <rFont val="Times New Roman"/>
        <family val="1"/>
      </rPr>
      <t>μ</t>
    </r>
    <r>
      <rPr>
        <vertAlign val="subscript"/>
        <sz val="11"/>
        <rFont val="Times New Roman"/>
        <family val="1"/>
      </rPr>
      <t>hl</t>
    </r>
  </si>
  <si>
    <r>
      <t>μ</t>
    </r>
    <r>
      <rPr>
        <vertAlign val="subscript"/>
        <sz val="11"/>
        <rFont val="Times New Roman"/>
        <family val="1"/>
      </rPr>
      <t>1</t>
    </r>
  </si>
  <si>
    <r>
      <rPr>
        <sz val="11"/>
        <rFont val="Calibri"/>
        <family val="2"/>
      </rPr>
      <t>°</t>
    </r>
    <r>
      <rPr>
        <sz val="11"/>
        <rFont val="Times New Roman"/>
        <family val="1"/>
      </rPr>
      <t>F,</t>
    </r>
  </si>
  <si>
    <r>
      <rPr>
        <sz val="11"/>
        <rFont val="Calibri"/>
        <family val="2"/>
      </rPr>
      <t>•</t>
    </r>
    <r>
      <rPr>
        <sz val="11"/>
        <rFont val="Times New Roman"/>
        <family val="1"/>
      </rPr>
      <t xml:space="preserve"> Use 70% full (typical maximum) to HHLL required total surge time of 7 minutes, with 3:1 L/D, and 18 in. LLLL</t>
    </r>
  </si>
  <si>
    <r>
      <t>volume = 1170 ft</t>
    </r>
    <r>
      <rPr>
        <vertAlign val="superscript"/>
        <sz val="11"/>
        <rFont val="Times New Roman"/>
        <family val="1"/>
      </rPr>
      <t>3</t>
    </r>
    <r>
      <rPr>
        <sz val="11"/>
        <rFont val="Times New Roman"/>
        <family val="1"/>
      </rPr>
      <t xml:space="preserve"> = 3 • D • </t>
    </r>
    <r>
      <rPr>
        <sz val="11"/>
        <rFont val="Calibri"/>
        <family val="2"/>
      </rPr>
      <t>π</t>
    </r>
    <r>
      <rPr>
        <sz val="11"/>
        <rFont val="Times New Roman"/>
        <family val="1"/>
      </rPr>
      <t xml:space="preserve"> • (D</t>
    </r>
    <r>
      <rPr>
        <vertAlign val="superscript"/>
        <sz val="11"/>
        <rFont val="Times New Roman"/>
        <family val="1"/>
      </rPr>
      <t>2</t>
    </r>
    <r>
      <rPr>
        <sz val="11"/>
        <rFont val="Times New Roman"/>
        <family val="1"/>
      </rPr>
      <t>/2) -&gt; D =</t>
    </r>
  </si>
  <si>
    <r>
      <t>A = (1 - 0.7298)</t>
    </r>
    <r>
      <rPr>
        <sz val="11"/>
        <rFont val="Calibri"/>
        <family val="2"/>
      </rPr>
      <t>π</t>
    </r>
    <r>
      <rPr>
        <sz val="11"/>
        <rFont val="Times New Roman"/>
        <family val="1"/>
      </rPr>
      <t xml:space="preserve"> (8ft/2)</t>
    </r>
    <r>
      <rPr>
        <vertAlign val="superscript"/>
        <sz val="11"/>
        <rFont val="Times New Roman"/>
        <family val="1"/>
      </rPr>
      <t>2</t>
    </r>
    <r>
      <rPr>
        <sz val="11"/>
        <rFont val="Times New Roman"/>
        <family val="1"/>
      </rPr>
      <t xml:space="preserve"> =</t>
    </r>
  </si>
  <si>
    <r>
      <t>6.87lb/ft</t>
    </r>
    <r>
      <rPr>
        <vertAlign val="superscript"/>
        <sz val="11"/>
        <rFont val="Times New Roman"/>
        <family val="1"/>
      </rPr>
      <t>3</t>
    </r>
    <r>
      <rPr>
        <sz val="11"/>
        <rFont val="Times New Roman"/>
        <family val="1"/>
      </rPr>
      <t xml:space="preserve"> • 1 ft</t>
    </r>
    <r>
      <rPr>
        <vertAlign val="superscript"/>
        <sz val="11"/>
        <rFont val="Times New Roman"/>
        <family val="1"/>
      </rPr>
      <t>2</t>
    </r>
    <r>
      <rPr>
        <sz val="11"/>
        <rFont val="Times New Roman"/>
        <family val="1"/>
      </rPr>
      <t xml:space="preserve"> </t>
    </r>
    <r>
      <rPr>
        <sz val="11"/>
        <rFont val="Calibri"/>
        <family val="2"/>
      </rPr>
      <t>π</t>
    </r>
    <r>
      <rPr>
        <sz val="11"/>
        <rFont val="Times New Roman"/>
        <family val="1"/>
      </rPr>
      <t xml:space="preserve"> (10.02/2)</t>
    </r>
    <r>
      <rPr>
        <vertAlign val="superscript"/>
        <sz val="11"/>
        <rFont val="Times New Roman"/>
        <family val="1"/>
      </rPr>
      <t>2</t>
    </r>
    <r>
      <rPr>
        <sz val="11"/>
        <rFont val="Times New Roman"/>
        <family val="1"/>
      </rPr>
      <t xml:space="preserve"> in</t>
    </r>
    <r>
      <rPr>
        <vertAlign val="superscript"/>
        <sz val="11"/>
        <rFont val="Times New Roman"/>
        <family val="1"/>
      </rPr>
      <t>2</t>
    </r>
    <r>
      <rPr>
        <sz val="11"/>
        <rFont val="Times New Roman"/>
        <family val="1"/>
      </rPr>
      <t xml:space="preserve"> • 3600 sec</t>
    </r>
  </si>
  <si>
    <r>
      <t>0.744 lb/ft</t>
    </r>
    <r>
      <rPr>
        <vertAlign val="superscript"/>
        <sz val="11"/>
        <rFont val="Times New Roman"/>
        <family val="1"/>
      </rPr>
      <t>3</t>
    </r>
    <r>
      <rPr>
        <sz val="11"/>
        <rFont val="Times New Roman"/>
        <family val="1"/>
      </rPr>
      <t xml:space="preserve"> • 1 ft</t>
    </r>
    <r>
      <rPr>
        <vertAlign val="superscript"/>
        <sz val="11"/>
        <rFont val="Times New Roman"/>
        <family val="1"/>
      </rPr>
      <t>2</t>
    </r>
    <r>
      <rPr>
        <sz val="11"/>
        <rFont val="Times New Roman"/>
        <family val="1"/>
      </rPr>
      <t xml:space="preserve"> </t>
    </r>
    <r>
      <rPr>
        <sz val="11"/>
        <rFont val="Calibri"/>
        <family val="2"/>
      </rPr>
      <t>π</t>
    </r>
    <r>
      <rPr>
        <sz val="11"/>
        <rFont val="Times New Roman"/>
        <family val="1"/>
      </rPr>
      <t xml:space="preserve"> (6.065/2)</t>
    </r>
    <r>
      <rPr>
        <vertAlign val="superscript"/>
        <sz val="11"/>
        <rFont val="Times New Roman"/>
        <family val="1"/>
      </rPr>
      <t>2</t>
    </r>
    <r>
      <rPr>
        <sz val="11"/>
        <rFont val="Times New Roman"/>
        <family val="1"/>
      </rPr>
      <t xml:space="preserve"> in</t>
    </r>
    <r>
      <rPr>
        <vertAlign val="superscript"/>
        <sz val="11"/>
        <rFont val="Times New Roman"/>
        <family val="1"/>
      </rPr>
      <t>2</t>
    </r>
    <r>
      <rPr>
        <sz val="11"/>
        <rFont val="Times New Roman"/>
        <family val="1"/>
      </rPr>
      <t xml:space="preserve"> • 3600 sec</t>
    </r>
  </si>
  <si>
    <r>
      <rPr>
        <sz val="11"/>
        <rFont val="Calibri"/>
        <family val="2"/>
      </rPr>
      <t>•</t>
    </r>
    <r>
      <rPr>
        <sz val="11"/>
        <rFont val="Times New Roman"/>
        <family val="1"/>
      </rPr>
      <t xml:space="preserve"> Utilize a standpipe option as light liquid flowrate is larger than heavy liquid flowrate</t>
    </r>
  </si>
  <si>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</si>
  <si>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</si>
  <si>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</si>
  <si>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</si>
  <si>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</si>
  <si>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2013GPA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</si>
</sst>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
    <numFmt numFmtId="165" formatCode="0.0000"/>
    <numFmt numFmtId="166" formatCode="0.0"/>
    <numFmt numFmtId="167" formatCode="0.000000"/>
    <numFmt numFmtId="168" formatCode="#,##0.0"/>
    <numFmt numFmtId="169" formatCode="#,##0.000"/>
  </numFmts>
  <fonts count="13" x14ac:knownFonts="1">
    <font>
      <sz val="11"/>
      <color theme="1"/>
      <name val="Calibri"/>
      <family val="2"/>
      <scheme val="minor"/>
    </font>
    <font>
      <sz val="10"/>
      <name val="Times New Roman"/>
      <family val="1"/>
    </font>
    <font>
      <b/>
      <sz val="11"/>
      <name val="Times New Roman"/>
      <family val="1"/>
    </font>
    <font>
      <sz val="11"/>
      <name val="Times New Roman"/>
      <family val="1"/>
    </font>
    <font>
      <sz val="11"/>
      <color indexed="18"/>
      <name val="Times New Roman"/>
      <family val="1"/>
    </font>
    <font>
      <sz val="11"/>
      <name val="Arial"/>
      <family val="2"/>
    </font>
    <font>
      <vertAlign val="subscript"/>
      <sz val="11"/>
      <name val="Times New Roman"/>
      <family val="1"/>
    </font>
    <font>
      <vertAlign val="superscript"/>
      <sz val="11"/>
      <name val="Times New Roman"/>
      <family val="1"/>
    </font>
    <font>
      <sz val="11"/>
      <name val="Calibri"/>
      <family val="2"/>
    </font>
    <font>
      <u/>
      <sz val="11"/>
      <name val="Times New Roman"/>
      <family val="1"/>
    </font>
    <font>
      <b/>
      <sz val="11"/>
      <name val="Arial"/>
      <family val="2"/>
    </font>
    <font>
      <vertAlign val="subscript"/>
      <sz val="11"/>
      <name val="Calibri"/>
      <family val="2"/>
    </font>
    <font>
      <sz val="11"/>
      <color theme="5" tint="-0.249977111117893"/>
      <name val="Times New Roman"/>
      <family val="1"/>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2">
    <border>
      <left/>
      <right/>
      <top/>
      <bottom/>
      <diagonal/>
    </border>
    <border>
      <left/>
      <right/>
      <top/>
      <bottom style="medium">
        <color indexed="64"/>
      </bottom>
      <diagonal/>
    </border>
  </borders>
  <cellStyleXfs count="1">
    <xf numFmtId="0" fontId="0" fillId="0" borderId="0"/>
  </cellStyleXfs>
  <cellXfs count="183">
    <xf numFmtId="0" fontId="0" fillId="0" borderId="0" xfId="0"/>
    <xf numFmtId="0" fontId="1" fillId="0" borderId="0" xfId="0" applyFont="1"/>
    <xf numFmtId="0" fontId="3" fillId="0" borderId="0" xfId="0" applyFont="1"/>
    <xf numFmtId="0" fontId="3" fillId="0" borderId="0" xfId="0" applyFont="1" applyProtection="1"/>
    <xf numFmtId="0" fontId="3" fillId="0" borderId="0" xfId="0" applyFont="1" applyAlignment="1" applyProtection="1">
      <alignment horizontal="center"/>
    </xf>
    <xf numFmtId="0" fontId="3" fillId="0" borderId="0" xfId="0" applyFont="1" applyAlignment="1">
      <alignment horizontal="center"/>
    </xf>
    <xf numFmtId="0" fontId="3" fillId="0" borderId="0" xfId="0" applyFont="1" applyFill="1"/>
    <xf numFmtId="0" fontId="3" fillId="0" borderId="0" xfId="0" applyFont="1" applyFill="1" applyProtection="1"/>
    <xf numFmtId="0" fontId="3" fillId="0" borderId="0" xfId="0" applyFont="1" applyFill="1" applyAlignment="1" applyProtection="1">
      <alignment horizontal="center"/>
    </xf>
    <xf numFmtId="0" fontId="3" fillId="0" borderId="0" xfId="0" applyFont="1" applyFill="1" applyAlignment="1">
      <alignment horizontal="center" vertical="top"/>
    </xf>
    <xf numFmtId="0" fontId="3" fillId="0" borderId="0" xfId="0" applyFont="1" applyFill="1" applyAlignment="1">
      <alignment vertical="top" wrapText="1"/>
    </xf>
    <xf numFmtId="0" fontId="0"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wrapText="1"/>
    </xf>
    <xf numFmtId="0" fontId="3" fillId="0" borderId="0" xfId="0" applyFont="1" applyFill="1" applyAlignment="1">
      <alignment horizontal="left" vertical="top"/>
    </xf>
    <xf numFmtId="0" fontId="3" fillId="0" borderId="0" xfId="0" applyFont="1" applyFill="1" applyAlignment="1">
      <alignment horizontal="left"/>
    </xf>
    <xf numFmtId="0" fontId="8" fillId="0" borderId="0" xfId="0" applyFont="1" applyFill="1" applyAlignment="1">
      <alignment horizontal="left" vertical="top"/>
    </xf>
    <xf numFmtId="0" fontId="6" fillId="0" borderId="0" xfId="0" applyFont="1" applyFill="1" applyAlignment="1">
      <alignment horizontal="left" vertical="top"/>
    </xf>
    <xf numFmtId="0" fontId="4" fillId="2" borderId="0"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center"/>
    </xf>
    <xf numFmtId="0" fontId="3" fillId="2" borderId="0" xfId="0" applyFont="1" applyFill="1" applyProtection="1"/>
    <xf numFmtId="0" fontId="3" fillId="2" borderId="0" xfId="0" applyFont="1" applyFill="1" applyAlignment="1" applyProtection="1">
      <alignment horizontal="center"/>
    </xf>
    <xf numFmtId="0" fontId="3" fillId="2" borderId="0" xfId="0" applyFont="1" applyFill="1" applyBorder="1" applyAlignment="1" applyProtection="1">
      <alignment horizontal="right"/>
    </xf>
    <xf numFmtId="0" fontId="3" fillId="2" borderId="0" xfId="0" applyFont="1" applyFill="1" applyBorder="1" applyAlignment="1" applyProtection="1">
      <alignment horizontal="center" vertical="center"/>
    </xf>
    <xf numFmtId="0" fontId="3" fillId="2" borderId="0" xfId="0" applyFont="1" applyFill="1" applyAlignment="1" applyProtection="1">
      <alignment horizontal="right"/>
    </xf>
    <xf numFmtId="49" fontId="3" fillId="2" borderId="0" xfId="0" applyNumberFormat="1" applyFont="1" applyFill="1" applyProtection="1"/>
    <xf numFmtId="49" fontId="3" fillId="2" borderId="0" xfId="0" applyNumberFormat="1" applyFont="1" applyFill="1" applyAlignment="1" applyProtection="1">
      <alignment horizontal="center"/>
    </xf>
    <xf numFmtId="0" fontId="3" fillId="2" borderId="0" xfId="0" applyFont="1" applyFill="1" applyAlignment="1" applyProtection="1">
      <alignment horizontal="left"/>
    </xf>
    <xf numFmtId="0" fontId="3" fillId="2" borderId="0" xfId="0" applyFont="1" applyFill="1"/>
    <xf numFmtId="0" fontId="3" fillId="2" borderId="0" xfId="0" applyFont="1" applyFill="1" applyAlignment="1">
      <alignment horizontal="center"/>
    </xf>
    <xf numFmtId="0" fontId="2" fillId="2" borderId="0" xfId="0" applyFont="1" applyFill="1" applyBorder="1" applyProtection="1"/>
    <xf numFmtId="0" fontId="3" fillId="2" borderId="0" xfId="0" applyFont="1" applyFill="1" applyBorder="1" applyAlignment="1" applyProtection="1"/>
    <xf numFmtId="0" fontId="5" fillId="2" borderId="0" xfId="0" applyFont="1" applyFill="1" applyBorder="1" applyAlignment="1" applyProtection="1"/>
    <xf numFmtId="0" fontId="3" fillId="2" borderId="0" xfId="0" applyFont="1" applyFill="1" applyBorder="1" applyAlignment="1" applyProtection="1">
      <alignment vertical="center"/>
    </xf>
    <xf numFmtId="0" fontId="3" fillId="2" borderId="0" xfId="0" applyFont="1" applyFill="1" applyBorder="1" applyAlignment="1" applyProtection="1">
      <alignment horizontal="left"/>
    </xf>
    <xf numFmtId="165" fontId="3" fillId="2" borderId="0" xfId="0" applyNumberFormat="1" applyFont="1" applyFill="1" applyBorder="1" applyAlignment="1" applyProtection="1">
      <alignment horizontal="center"/>
    </xf>
    <xf numFmtId="164" fontId="3" fillId="2" borderId="0" xfId="0" applyNumberFormat="1" applyFont="1" applyFill="1" applyBorder="1" applyAlignment="1" applyProtection="1">
      <alignment horizontal="center"/>
    </xf>
    <xf numFmtId="164" fontId="3" fillId="2" borderId="0" xfId="0" applyNumberFormat="1" applyFont="1" applyFill="1" applyBorder="1" applyAlignment="1" applyProtection="1">
      <alignment horizontal="left"/>
    </xf>
    <xf numFmtId="0" fontId="3" fillId="2" borderId="0" xfId="0" applyFont="1" applyFill="1" applyBorder="1" applyAlignment="1" applyProtection="1">
      <alignment vertical="top"/>
    </xf>
    <xf numFmtId="4" fontId="3" fillId="2" borderId="0" xfId="0" applyNumberFormat="1" applyFont="1" applyFill="1" applyBorder="1" applyAlignment="1" applyProtection="1"/>
    <xf numFmtId="3" fontId="3" fillId="2" borderId="0" xfId="0" applyNumberFormat="1" applyFont="1" applyFill="1" applyBorder="1" applyAlignment="1" applyProtection="1"/>
    <xf numFmtId="2" fontId="3" fillId="2" borderId="0" xfId="0" applyNumberFormat="1" applyFont="1" applyFill="1" applyBorder="1" applyAlignment="1" applyProtection="1">
      <alignment horizontal="center"/>
    </xf>
    <xf numFmtId="166" fontId="3" fillId="2" borderId="0" xfId="0" applyNumberFormat="1" applyFont="1" applyFill="1" applyBorder="1" applyAlignment="1" applyProtection="1">
      <alignment horizontal="center"/>
    </xf>
    <xf numFmtId="166" fontId="3" fillId="2" borderId="0" xfId="0" applyNumberFormat="1" applyFont="1" applyFill="1" applyAlignment="1" applyProtection="1">
      <alignment horizontal="center"/>
    </xf>
    <xf numFmtId="0" fontId="3" fillId="2" borderId="0" xfId="0" applyFont="1" applyFill="1" applyAlignment="1" applyProtection="1">
      <alignment vertical="center"/>
    </xf>
    <xf numFmtId="0" fontId="3" fillId="2" borderId="0" xfId="0" applyFont="1" applyFill="1" applyAlignment="1" applyProtection="1"/>
    <xf numFmtId="166" fontId="3" fillId="2" borderId="0" xfId="0" applyNumberFormat="1" applyFont="1" applyFill="1" applyAlignment="1" applyProtection="1">
      <alignment horizontal="right"/>
    </xf>
    <xf numFmtId="0" fontId="2" fillId="2" borderId="0" xfId="0" applyFont="1" applyFill="1" applyProtection="1"/>
    <xf numFmtId="3" fontId="3" fillId="2" borderId="0" xfId="0" applyNumberFormat="1" applyFont="1" applyFill="1" applyBorder="1" applyAlignment="1" applyProtection="1">
      <alignment horizontal="right"/>
    </xf>
    <xf numFmtId="3" fontId="3" fillId="2" borderId="0" xfId="0" applyNumberFormat="1" applyFont="1" applyFill="1" applyBorder="1" applyProtection="1"/>
    <xf numFmtId="3" fontId="3" fillId="2" borderId="0" xfId="0" applyNumberFormat="1" applyFont="1" applyFill="1" applyBorder="1" applyAlignment="1" applyProtection="1">
      <alignment horizontal="left"/>
    </xf>
    <xf numFmtId="1" fontId="3" fillId="2" borderId="0" xfId="0" applyNumberFormat="1" applyFont="1" applyFill="1" applyBorder="1" applyAlignment="1" applyProtection="1">
      <alignment horizontal="center"/>
    </xf>
    <xf numFmtId="1" fontId="3" fillId="2" borderId="0" xfId="0" applyNumberFormat="1" applyFont="1" applyFill="1" applyBorder="1" applyAlignment="1" applyProtection="1">
      <alignment horizontal="right"/>
    </xf>
    <xf numFmtId="164" fontId="3" fillId="2" borderId="0" xfId="0" applyNumberFormat="1" applyFont="1" applyFill="1" applyBorder="1" applyAlignment="1" applyProtection="1">
      <alignment horizontal="right"/>
    </xf>
    <xf numFmtId="0" fontId="3" fillId="2" borderId="0" xfId="0" applyFont="1" applyFill="1" applyBorder="1" applyAlignment="1" applyProtection="1">
      <alignment horizontal="right" wrapText="1"/>
    </xf>
    <xf numFmtId="0" fontId="3" fillId="2" borderId="0" xfId="0" applyFont="1" applyFill="1" applyBorder="1" applyAlignment="1" applyProtection="1">
      <alignment wrapText="1"/>
    </xf>
    <xf numFmtId="4" fontId="3" fillId="2" borderId="0" xfId="0" applyNumberFormat="1" applyFont="1" applyFill="1" applyBorder="1" applyAlignment="1" applyProtection="1">
      <alignment horizontal="center"/>
    </xf>
    <xf numFmtId="49" fontId="3" fillId="2" borderId="0" xfId="0" applyNumberFormat="1" applyFont="1" applyFill="1" applyBorder="1" applyProtection="1"/>
    <xf numFmtId="0" fontId="3" fillId="2" borderId="0" xfId="0" applyFont="1" applyFill="1" applyBorder="1" applyAlignment="1" applyProtection="1">
      <alignment horizontal="left" vertical="center"/>
    </xf>
    <xf numFmtId="0" fontId="3" fillId="3" borderId="0" xfId="0" applyFont="1" applyFill="1"/>
    <xf numFmtId="0" fontId="4" fillId="3" borderId="0" xfId="0" applyFont="1" applyFill="1" applyBorder="1" applyProtection="1"/>
    <xf numFmtId="0" fontId="3" fillId="3" borderId="0" xfId="0" applyFont="1" applyFill="1" applyBorder="1" applyProtection="1"/>
    <xf numFmtId="0" fontId="3" fillId="3" borderId="0" xfId="0" applyFont="1" applyFill="1" applyBorder="1" applyAlignment="1" applyProtection="1">
      <alignment horizontal="center"/>
    </xf>
    <xf numFmtId="0" fontId="3" fillId="3" borderId="0" xfId="0" applyFont="1" applyFill="1" applyProtection="1"/>
    <xf numFmtId="0" fontId="3" fillId="3" borderId="0" xfId="0" applyFont="1" applyFill="1" applyAlignment="1" applyProtection="1">
      <alignment horizontal="center"/>
    </xf>
    <xf numFmtId="0" fontId="3" fillId="3" borderId="0" xfId="0" applyFont="1" applyFill="1" applyBorder="1" applyAlignment="1" applyProtection="1">
      <alignment horizontal="right"/>
    </xf>
    <xf numFmtId="0" fontId="3" fillId="3" borderId="0" xfId="0" applyFont="1" applyFill="1" applyBorder="1" applyAlignment="1" applyProtection="1">
      <alignment horizontal="center" vertical="center"/>
    </xf>
    <xf numFmtId="0" fontId="3" fillId="3" borderId="0" xfId="0" applyFont="1" applyFill="1" applyBorder="1" applyAlignment="1" applyProtection="1">
      <alignment horizontal="center"/>
      <protection locked="0"/>
    </xf>
    <xf numFmtId="0" fontId="3" fillId="3" borderId="0" xfId="0" applyFont="1" applyFill="1" applyAlignment="1" applyProtection="1">
      <alignment horizontal="right"/>
    </xf>
    <xf numFmtId="0" fontId="3" fillId="3" borderId="0" xfId="0" applyFont="1" applyFill="1" applyAlignment="1" applyProtection="1">
      <alignment horizontal="center"/>
      <protection locked="0"/>
    </xf>
    <xf numFmtId="167" fontId="3" fillId="3" borderId="0" xfId="0" applyNumberFormat="1" applyFont="1" applyFill="1" applyProtection="1"/>
    <xf numFmtId="49" fontId="3" fillId="3" borderId="0" xfId="0" applyNumberFormat="1" applyFont="1" applyFill="1" applyAlignment="1" applyProtection="1">
      <alignment horizontal="right"/>
    </xf>
    <xf numFmtId="0" fontId="3" fillId="3" borderId="0" xfId="0" applyFont="1" applyFill="1" applyAlignment="1" applyProtection="1">
      <alignment horizontal="left"/>
    </xf>
    <xf numFmtId="1" fontId="3" fillId="3" borderId="0" xfId="0" applyNumberFormat="1" applyFont="1" applyFill="1" applyAlignment="1" applyProtection="1">
      <alignment horizontal="left"/>
    </xf>
    <xf numFmtId="3" fontId="3" fillId="3" borderId="0" xfId="0" applyNumberFormat="1" applyFont="1" applyFill="1" applyBorder="1" applyAlignment="1" applyProtection="1">
      <alignment horizontal="center"/>
      <protection locked="0"/>
    </xf>
    <xf numFmtId="0" fontId="2" fillId="3" borderId="0" xfId="0" applyFont="1" applyFill="1" applyBorder="1" applyProtection="1"/>
    <xf numFmtId="0" fontId="3" fillId="3" borderId="0" xfId="0" applyFont="1" applyFill="1" applyBorder="1" applyAlignment="1" applyProtection="1">
      <alignment horizontal="center" vertical="center"/>
      <protection locked="0"/>
    </xf>
    <xf numFmtId="0" fontId="3" fillId="3" borderId="0" xfId="0" applyFont="1" applyFill="1" applyBorder="1" applyAlignment="1" applyProtection="1"/>
    <xf numFmtId="0" fontId="5" fillId="3" borderId="0" xfId="0" applyFont="1" applyFill="1" applyBorder="1" applyAlignment="1" applyProtection="1"/>
    <xf numFmtId="0" fontId="3" fillId="3" borderId="0" xfId="0" applyFont="1" applyFill="1" applyBorder="1" applyAlignment="1" applyProtection="1">
      <alignment horizontal="left"/>
    </xf>
    <xf numFmtId="165" fontId="3" fillId="3" borderId="0" xfId="0" applyNumberFormat="1" applyFont="1" applyFill="1" applyBorder="1" applyAlignment="1" applyProtection="1">
      <alignment horizontal="center"/>
    </xf>
    <xf numFmtId="164" fontId="3" fillId="3" borderId="0" xfId="0" applyNumberFormat="1" applyFont="1" applyFill="1" applyBorder="1" applyAlignment="1" applyProtection="1">
      <alignment horizontal="center"/>
    </xf>
    <xf numFmtId="164" fontId="3" fillId="3" borderId="0" xfId="0" applyNumberFormat="1" applyFont="1" applyFill="1" applyBorder="1" applyAlignment="1" applyProtection="1">
      <alignment horizontal="left"/>
    </xf>
    <xf numFmtId="2" fontId="3" fillId="3" borderId="0" xfId="0" applyNumberFormat="1" applyFont="1" applyFill="1" applyBorder="1" applyAlignment="1" applyProtection="1">
      <alignment horizontal="center"/>
    </xf>
    <xf numFmtId="166" fontId="3" fillId="3" borderId="0" xfId="0" applyNumberFormat="1" applyFont="1" applyFill="1" applyBorder="1" applyAlignment="1" applyProtection="1">
      <alignment horizontal="center"/>
    </xf>
    <xf numFmtId="0" fontId="3" fillId="3" borderId="0" xfId="0" quotePrefix="1" applyFont="1" applyFill="1" applyProtection="1"/>
    <xf numFmtId="166" fontId="3" fillId="3" borderId="0" xfId="0" applyNumberFormat="1" applyFont="1" applyFill="1" applyAlignment="1" applyProtection="1">
      <alignment horizontal="center"/>
    </xf>
    <xf numFmtId="2" fontId="3" fillId="3" borderId="0" xfId="0" applyNumberFormat="1" applyFont="1" applyFill="1" applyProtection="1"/>
    <xf numFmtId="164" fontId="3" fillId="3" borderId="0" xfId="0" applyNumberFormat="1" applyFont="1" applyFill="1" applyProtection="1"/>
    <xf numFmtId="0" fontId="3" fillId="3" borderId="0" xfId="0" applyFont="1" applyFill="1" applyAlignment="1" applyProtection="1">
      <protection locked="0"/>
    </xf>
    <xf numFmtId="3" fontId="3" fillId="3" borderId="0" xfId="0" applyNumberFormat="1" applyFont="1" applyFill="1" applyAlignment="1" applyProtection="1">
      <protection locked="0"/>
    </xf>
    <xf numFmtId="1" fontId="3" fillId="3" borderId="0" xfId="0" applyNumberFormat="1" applyFont="1" applyFill="1" applyProtection="1"/>
    <xf numFmtId="166" fontId="3" fillId="3" borderId="0" xfId="0" applyNumberFormat="1" applyFont="1" applyFill="1" applyAlignment="1" applyProtection="1">
      <alignment horizontal="right"/>
    </xf>
    <xf numFmtId="49" fontId="3" fillId="3" borderId="0" xfId="0" applyNumberFormat="1" applyFont="1" applyFill="1" applyProtection="1"/>
    <xf numFmtId="169" fontId="3" fillId="3" borderId="0" xfId="0" applyNumberFormat="1" applyFont="1" applyFill="1" applyProtection="1"/>
    <xf numFmtId="0" fontId="2" fillId="3" borderId="0" xfId="0" applyFont="1" applyFill="1" applyProtection="1"/>
    <xf numFmtId="1" fontId="3" fillId="3" borderId="0" xfId="0" applyNumberFormat="1" applyFont="1" applyFill="1" applyAlignment="1" applyProtection="1">
      <alignment horizontal="center"/>
    </xf>
    <xf numFmtId="3" fontId="3" fillId="3" borderId="0" xfId="0" applyNumberFormat="1" applyFont="1" applyFill="1" applyBorder="1" applyAlignment="1" applyProtection="1">
      <alignment horizontal="left"/>
    </xf>
    <xf numFmtId="9" fontId="3" fillId="3" borderId="0" xfId="0" applyNumberFormat="1" applyFont="1" applyFill="1" applyBorder="1" applyAlignment="1" applyProtection="1">
      <alignment horizontal="right"/>
      <protection locked="0"/>
    </xf>
    <xf numFmtId="1" fontId="3" fillId="3" borderId="0" xfId="0" applyNumberFormat="1" applyFont="1" applyFill="1" applyBorder="1" applyAlignment="1" applyProtection="1">
      <alignment horizontal="right"/>
    </xf>
    <xf numFmtId="2" fontId="3" fillId="3" borderId="0" xfId="0" applyNumberFormat="1" applyFont="1" applyFill="1" applyBorder="1" applyAlignment="1" applyProtection="1">
      <alignment horizontal="right"/>
    </xf>
    <xf numFmtId="0" fontId="3" fillId="3" borderId="0" xfId="0" applyFont="1" applyFill="1" applyBorder="1" applyAlignment="1" applyProtection="1">
      <alignment horizontal="right" wrapText="1"/>
    </xf>
    <xf numFmtId="0" fontId="3" fillId="3" borderId="0" xfId="0" applyFont="1" applyFill="1" applyBorder="1" applyAlignment="1" applyProtection="1">
      <alignment wrapText="1"/>
    </xf>
    <xf numFmtId="1" fontId="3" fillId="3" borderId="0" xfId="0" applyNumberFormat="1" applyFont="1" applyFill="1" applyBorder="1" applyAlignment="1" applyProtection="1">
      <alignment wrapText="1"/>
    </xf>
    <xf numFmtId="4" fontId="3" fillId="3" borderId="0" xfId="0" applyNumberFormat="1" applyFont="1" applyFill="1" applyBorder="1" applyAlignment="1" applyProtection="1">
      <alignment horizontal="center"/>
    </xf>
    <xf numFmtId="49" fontId="3" fillId="3" borderId="0" xfId="0" applyNumberFormat="1" applyFont="1" applyFill="1" applyBorder="1" applyProtection="1"/>
    <xf numFmtId="164" fontId="3" fillId="3" borderId="0" xfId="0" applyNumberFormat="1" applyFont="1" applyFill="1" applyBorder="1" applyProtection="1"/>
    <xf numFmtId="0" fontId="3" fillId="3" borderId="0" xfId="0" applyFont="1" applyFill="1" applyBorder="1" applyAlignment="1" applyProtection="1">
      <alignment horizontal="left" vertical="center"/>
    </xf>
    <xf numFmtId="164" fontId="3" fillId="3" borderId="0" xfId="0" applyNumberFormat="1" applyFont="1" applyFill="1" applyAlignment="1" applyProtection="1">
      <alignment horizontal="right"/>
    </xf>
    <xf numFmtId="0" fontId="3" fillId="3" borderId="0" xfId="0" applyNumberFormat="1" applyFont="1" applyFill="1" applyProtection="1"/>
    <xf numFmtId="0" fontId="3" fillId="3" borderId="0" xfId="0" quotePrefix="1" applyFont="1" applyFill="1" applyAlignment="1" applyProtection="1">
      <alignment horizontal="left"/>
    </xf>
    <xf numFmtId="2" fontId="3" fillId="3" borderId="0" xfId="0" applyNumberFormat="1" applyFont="1" applyFill="1" applyAlignment="1" applyProtection="1">
      <alignment horizontal="right"/>
    </xf>
    <xf numFmtId="165" fontId="3" fillId="3" borderId="0" xfId="0" applyNumberFormat="1" applyFont="1" applyFill="1" applyProtection="1"/>
    <xf numFmtId="166" fontId="3" fillId="3" borderId="0" xfId="0" applyNumberFormat="1" applyFont="1" applyFill="1" applyBorder="1" applyProtection="1"/>
    <xf numFmtId="166" fontId="3" fillId="3" borderId="0" xfId="0" applyNumberFormat="1" applyFont="1" applyFill="1" applyProtection="1"/>
    <xf numFmtId="0" fontId="3" fillId="3" borderId="0" xfId="0" applyFont="1" applyFill="1" applyBorder="1" applyAlignment="1" applyProtection="1">
      <alignment horizontal="right"/>
    </xf>
    <xf numFmtId="0" fontId="12" fillId="0" borderId="0" xfId="0" applyFont="1" applyProtection="1"/>
    <xf numFmtId="3" fontId="3" fillId="3" borderId="0" xfId="0" applyNumberFormat="1" applyFont="1" applyFill="1" applyProtection="1">
      <protection locked="0"/>
    </xf>
    <xf numFmtId="0" fontId="3" fillId="3" borderId="0" xfId="0" applyFont="1" applyFill="1" applyBorder="1" applyProtection="1">
      <protection locked="0"/>
    </xf>
    <xf numFmtId="0" fontId="3" fillId="3" borderId="0" xfId="0" applyFont="1" applyFill="1" applyAlignment="1" applyProtection="1">
      <alignment horizontal="center"/>
    </xf>
    <xf numFmtId="0" fontId="3" fillId="2" borderId="0" xfId="0" applyFont="1" applyFill="1" applyAlignment="1" applyProtection="1">
      <alignment horizontal="right" vertical="center"/>
    </xf>
    <xf numFmtId="0" fontId="3" fillId="2" borderId="0" xfId="0" applyFont="1" applyFill="1" applyAlignment="1" applyProtection="1">
      <alignment horizontal="center"/>
    </xf>
    <xf numFmtId="0" fontId="3" fillId="2" borderId="0" xfId="0" applyFont="1" applyFill="1" applyAlignment="1" applyProtection="1">
      <alignment horizontal="center" vertical="center"/>
    </xf>
    <xf numFmtId="0" fontId="3" fillId="3" borderId="0" xfId="0" applyFont="1" applyFill="1" applyAlignment="1" applyProtection="1">
      <alignment horizontal="right" vertical="center"/>
    </xf>
    <xf numFmtId="0" fontId="3" fillId="3" borderId="0" xfId="0" applyFont="1" applyFill="1" applyAlignment="1" applyProtection="1">
      <alignment horizontal="center" vertical="center"/>
    </xf>
    <xf numFmtId="0" fontId="3" fillId="2" borderId="0" xfId="0" applyFont="1" applyFill="1" applyAlignment="1" applyProtection="1">
      <alignment wrapText="1"/>
    </xf>
    <xf numFmtId="0" fontId="3" fillId="3" borderId="0" xfId="0" applyFont="1" applyFill="1" applyBorder="1" applyAlignment="1" applyProtection="1">
      <alignment horizontal="right"/>
      <protection locked="0"/>
    </xf>
    <xf numFmtId="0" fontId="3" fillId="2" borderId="0" xfId="0" applyFont="1" applyFill="1" applyBorder="1" applyAlignment="1" applyProtection="1">
      <alignment horizontal="right"/>
    </xf>
    <xf numFmtId="0" fontId="3" fillId="3" borderId="0" xfId="0" applyFont="1" applyFill="1" applyAlignment="1" applyProtection="1">
      <alignment wrapText="1"/>
    </xf>
    <xf numFmtId="3" fontId="3" fillId="3" borderId="0" xfId="0" applyNumberFormat="1" applyFont="1" applyFill="1" applyBorder="1" applyProtection="1"/>
    <xf numFmtId="0" fontId="4" fillId="3" borderId="0" xfId="0" applyFont="1" applyFill="1" applyBorder="1" applyAlignment="1" applyProtection="1">
      <alignment horizontal="center" vertical="center"/>
    </xf>
    <xf numFmtId="0" fontId="3" fillId="3" borderId="0" xfId="0" applyFont="1" applyFill="1" applyBorder="1" applyAlignment="1" applyProtection="1">
      <alignment vertical="center"/>
    </xf>
    <xf numFmtId="2" fontId="3" fillId="3" borderId="0" xfId="0" applyNumberFormat="1" applyFont="1" applyFill="1" applyBorder="1" applyAlignment="1" applyProtection="1">
      <alignment vertical="center"/>
    </xf>
    <xf numFmtId="0" fontId="3" fillId="3" borderId="0" xfId="0" applyFont="1" applyFill="1" applyBorder="1" applyAlignment="1" applyProtection="1">
      <alignment vertical="top"/>
    </xf>
    <xf numFmtId="4" fontId="3" fillId="3" borderId="0" xfId="0" applyNumberFormat="1" applyFont="1" applyFill="1" applyBorder="1" applyAlignment="1" applyProtection="1"/>
    <xf numFmtId="3" fontId="3" fillId="3" borderId="0" xfId="0" applyNumberFormat="1" applyFont="1" applyFill="1" applyBorder="1" applyAlignment="1" applyProtection="1"/>
    <xf numFmtId="2" fontId="3" fillId="3" borderId="0" xfId="0" applyNumberFormat="1" applyFont="1" applyFill="1" applyAlignment="1" applyProtection="1">
      <alignment horizontal="center"/>
    </xf>
    <xf numFmtId="2" fontId="3" fillId="3" borderId="0" xfId="0" applyNumberFormat="1" applyFont="1" applyFill="1" applyAlignment="1" applyProtection="1">
      <alignment horizontal="left"/>
    </xf>
    <xf numFmtId="3" fontId="3" fillId="3" borderId="0" xfId="0" applyNumberFormat="1" applyFont="1" applyFill="1" applyAlignment="1" applyProtection="1">
      <alignment horizontal="center" vertical="center"/>
    </xf>
    <xf numFmtId="0" fontId="3" fillId="3" borderId="0" xfId="0" applyFont="1" applyFill="1" applyAlignment="1" applyProtection="1">
      <alignment vertical="center"/>
    </xf>
    <xf numFmtId="168" fontId="3" fillId="3" borderId="0" xfId="0" applyNumberFormat="1" applyFont="1" applyFill="1" applyAlignment="1" applyProtection="1">
      <alignment horizontal="center"/>
    </xf>
    <xf numFmtId="1" fontId="3" fillId="3" borderId="0" xfId="0" applyNumberFormat="1" applyFont="1" applyFill="1" applyAlignment="1" applyProtection="1">
      <alignment horizontal="right"/>
    </xf>
    <xf numFmtId="0" fontId="10" fillId="0" borderId="0" xfId="0" applyFont="1" applyFill="1" applyAlignment="1">
      <alignment horizontal="center" vertical="top" wrapText="1"/>
    </xf>
    <xf numFmtId="0" fontId="0" fillId="0" borderId="0" xfId="0" applyFont="1" applyFill="1" applyAlignment="1">
      <alignment horizontal="center"/>
    </xf>
    <xf numFmtId="0" fontId="10" fillId="0" borderId="1" xfId="0" applyFont="1" applyFill="1" applyBorder="1" applyAlignment="1">
      <alignment horizontal="center" vertical="top" wrapText="1"/>
    </xf>
    <xf numFmtId="0" fontId="0" fillId="0" borderId="1" xfId="0" applyFont="1" applyFill="1" applyBorder="1" applyAlignment="1">
      <alignment horizontal="center"/>
    </xf>
    <xf numFmtId="0" fontId="2" fillId="0" borderId="0" xfId="0" applyFont="1" applyFill="1" applyAlignment="1">
      <alignment horizontal="left"/>
    </xf>
    <xf numFmtId="0" fontId="3" fillId="3" borderId="0" xfId="0" applyFont="1" applyFill="1" applyAlignment="1" applyProtection="1">
      <alignment horizontal="left" vertical="center"/>
    </xf>
    <xf numFmtId="2" fontId="3" fillId="3" borderId="0" xfId="0" applyNumberFormat="1" applyFont="1" applyFill="1" applyAlignment="1" applyProtection="1">
      <alignment horizontal="right" vertical="center"/>
    </xf>
    <xf numFmtId="0" fontId="3" fillId="3" borderId="0" xfId="0" applyFont="1" applyFill="1" applyAlignment="1" applyProtection="1">
      <alignment horizontal="center"/>
    </xf>
    <xf numFmtId="0" fontId="2" fillId="2" borderId="0" xfId="0" applyFont="1" applyFill="1" applyBorder="1" applyAlignment="1" applyProtection="1">
      <alignment vertical="top" wrapText="1"/>
    </xf>
    <xf numFmtId="0" fontId="3" fillId="2" borderId="0" xfId="0" applyFont="1" applyFill="1" applyAlignment="1" applyProtection="1">
      <alignment horizontal="right" vertical="center"/>
    </xf>
    <xf numFmtId="0" fontId="3" fillId="2" borderId="0" xfId="0" applyFont="1" applyFill="1" applyAlignment="1" applyProtection="1">
      <alignment horizontal="center"/>
    </xf>
    <xf numFmtId="0" fontId="3" fillId="2" borderId="0" xfId="0" applyFont="1" applyFill="1" applyAlignment="1" applyProtection="1">
      <alignment horizontal="center" vertical="center"/>
    </xf>
    <xf numFmtId="0" fontId="2" fillId="3" borderId="0" xfId="0" applyFont="1" applyFill="1" applyBorder="1" applyAlignment="1" applyProtection="1">
      <alignment vertical="top" wrapText="1"/>
    </xf>
    <xf numFmtId="0" fontId="3" fillId="3" borderId="0" xfId="0" applyFont="1" applyFill="1" applyAlignment="1" applyProtection="1">
      <alignment horizontal="right" vertical="center"/>
    </xf>
    <xf numFmtId="0" fontId="3" fillId="3" borderId="0" xfId="0" applyFont="1" applyFill="1" applyAlignment="1" applyProtection="1">
      <alignment horizontal="center" vertical="center"/>
    </xf>
    <xf numFmtId="0" fontId="2" fillId="3" borderId="0" xfId="0" applyFont="1" applyFill="1" applyBorder="1" applyAlignment="1" applyProtection="1">
      <alignment horizontal="left" vertical="top" wrapText="1"/>
    </xf>
    <xf numFmtId="0" fontId="3" fillId="2" borderId="0" xfId="0" applyFont="1" applyFill="1" applyAlignment="1" applyProtection="1">
      <alignment wrapText="1"/>
    </xf>
    <xf numFmtId="0" fontId="4" fillId="3" borderId="0" xfId="0" applyFont="1" applyFill="1" applyBorder="1" applyAlignment="1" applyProtection="1">
      <alignment horizontal="center" wrapText="1"/>
    </xf>
    <xf numFmtId="3" fontId="3" fillId="3" borderId="0" xfId="0" applyNumberFormat="1" applyFont="1" applyFill="1" applyBorder="1" applyAlignment="1" applyProtection="1">
      <alignment horizontal="right"/>
    </xf>
    <xf numFmtId="0" fontId="3" fillId="3" borderId="0" xfId="0" applyFont="1" applyFill="1" applyBorder="1" applyAlignment="1" applyProtection="1">
      <alignment horizontal="right"/>
    </xf>
    <xf numFmtId="0" fontId="3" fillId="3" borderId="0" xfId="0" applyFont="1" applyFill="1" applyBorder="1" applyAlignment="1" applyProtection="1">
      <alignment vertical="top" wrapText="1"/>
    </xf>
    <xf numFmtId="0" fontId="3" fillId="3" borderId="0" xfId="0" applyFont="1" applyFill="1" applyAlignment="1" applyProtection="1">
      <alignment wrapText="1"/>
    </xf>
    <xf numFmtId="0" fontId="4" fillId="2" borderId="0" xfId="0" applyFont="1" applyFill="1" applyBorder="1" applyAlignment="1" applyProtection="1">
      <alignment horizontal="center" wrapText="1"/>
    </xf>
    <xf numFmtId="0" fontId="3" fillId="2" borderId="0" xfId="0" applyFont="1" applyFill="1" applyBorder="1" applyAlignment="1" applyProtection="1">
      <alignment horizontal="right"/>
    </xf>
    <xf numFmtId="0" fontId="3" fillId="2" borderId="0" xfId="0" applyFont="1" applyFill="1" applyBorder="1" applyAlignment="1" applyProtection="1">
      <alignment vertical="top" wrapText="1"/>
    </xf>
    <xf numFmtId="0" fontId="2" fillId="2" borderId="0" xfId="0" applyFont="1" applyFill="1" applyBorder="1" applyAlignment="1" applyProtection="1">
      <alignment horizontal="left" vertical="top" wrapText="1"/>
    </xf>
    <xf numFmtId="0" fontId="3" fillId="2" borderId="0" xfId="0" applyFont="1" applyFill="1" applyAlignment="1" applyProtection="1">
      <alignment horizontal="left" wrapText="1"/>
    </xf>
    <xf numFmtId="0" fontId="3" fillId="2" borderId="0" xfId="0" applyFont="1" applyFill="1" applyAlignment="1" applyProtection="1">
      <alignment horizontal="left" vertical="center"/>
    </xf>
    <xf numFmtId="0" fontId="3" fillId="3" borderId="0" xfId="0" applyFont="1" applyFill="1" applyAlignment="1" applyProtection="1">
      <alignment horizontal="left" wrapText="1"/>
    </xf>
    <xf numFmtId="164" fontId="3" fillId="3" borderId="0" xfId="0" applyNumberFormat="1" applyFont="1" applyFill="1" applyAlignment="1" applyProtection="1">
      <alignment horizontal="right" vertical="center"/>
    </xf>
    <xf numFmtId="0" fontId="3" fillId="3" borderId="0" xfId="0" applyFont="1" applyFill="1" applyAlignment="1" applyProtection="1">
      <alignment vertical="top" wrapText="1"/>
    </xf>
    <xf numFmtId="166" fontId="3" fillId="3" borderId="0" xfId="0" applyNumberFormat="1" applyFont="1" applyFill="1" applyBorder="1" applyAlignment="1" applyProtection="1">
      <alignment horizontal="right" vertical="center"/>
    </xf>
    <xf numFmtId="0" fontId="3" fillId="3" borderId="0" xfId="0" applyFont="1" applyFill="1" applyBorder="1" applyAlignment="1" applyProtection="1">
      <alignment horizontal="right" vertical="center"/>
    </xf>
    <xf numFmtId="2" fontId="3" fillId="3" borderId="0" xfId="0" applyNumberFormat="1" applyFont="1" applyFill="1" applyBorder="1" applyAlignment="1" applyProtection="1">
      <alignment horizontal="right" vertical="center"/>
    </xf>
    <xf numFmtId="0" fontId="0" fillId="2" borderId="0" xfId="0" applyFont="1" applyFill="1" applyAlignment="1" applyProtection="1">
      <alignment vertical="top" wrapText="1"/>
    </xf>
    <xf numFmtId="0" fontId="0" fillId="3" borderId="0" xfId="0" applyFont="1" applyFill="1" applyAlignment="1" applyProtection="1">
      <alignment vertical="top" wrapText="1"/>
    </xf>
    <xf numFmtId="0" fontId="9" fillId="2" borderId="0" xfId="0" applyFont="1" applyFill="1" applyBorder="1" applyProtection="1"/>
    <xf numFmtId="0" fontId="9" fillId="3" borderId="0" xfId="0" applyFont="1" applyFill="1" applyBorder="1" applyProtection="1"/>
    <xf numFmtId="0" fontId="3" fillId="2" borderId="0" xfId="0" applyFont="1" applyFill="1" applyAlignment="1" applyProtection="1">
      <alignment vertical="top" wrapText="1"/>
    </xf>
  </cellXfs>
  <cellStyles count="1">
    <cellStyle name="Normal" xfId="0" builtinId="0"/>
  </cellStyles>
  <dxfs count="0"/>
  <tableStyles count="0" defaultTableStyle="TableStyleMedium9" defaultPivotStyle="PivotStyleLight16"/>
  <colors>
    <mruColors>
      <color rgb="FFFDE6D3"/>
      <color rgb="FFCCFFCC"/>
      <color rgb="FFFCD5B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1576386</xdr:colOff>
      <xdr:row>18</xdr:row>
      <xdr:rowOff>38100</xdr:rowOff>
    </xdr:from>
    <xdr:ext cx="2538413" cy="363305"/>
    <mc:AlternateContent xmlns:mc="http://schemas.openxmlformats.org/markup-compatibility/2006" xmlns:a14="http://schemas.microsoft.com/office/drawing/2010/main">
      <mc:Choice Requires="a14">
        <xdr:sp macro="" textlink="">
          <xdr:nvSpPr>
            <xdr:cNvPr id="3" name="TextBox 2"/>
            <xdr:cNvSpPr txBox="1"/>
          </xdr:nvSpPr>
          <xdr:spPr>
            <a:xfrm>
              <a:off x="1576386" y="4105275"/>
              <a:ext cx="2538413"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d>
                      <m:dPr>
                        <m:begChr m:val="["/>
                        <m:endChr m:val="]"/>
                        <m:ctrlPr>
                          <a:rPr lang="en-US" sz="1100" i="1">
                            <a:latin typeface="Cambria Math"/>
                          </a:rPr>
                        </m:ctrlPr>
                      </m:dPr>
                      <m:e>
                        <m:f>
                          <m:fPr>
                            <m:ctrlPr>
                              <a:rPr lang="en-US" sz="1100" i="1">
                                <a:latin typeface="Cambria Math"/>
                              </a:rPr>
                            </m:ctrlPr>
                          </m:fPr>
                          <m:num>
                            <m:r>
                              <a:rPr lang="en-US" sz="1100" b="0" i="1">
                                <a:latin typeface="Cambria Math"/>
                              </a:rPr>
                              <m:t>                                                                    </m:t>
                            </m:r>
                          </m:num>
                          <m:den>
                            <m:r>
                              <a:rPr lang="en-US" sz="1100" b="0" i="1">
                                <a:latin typeface="Cambria Math"/>
                              </a:rPr>
                              <m:t>           </m:t>
                            </m:r>
                          </m:den>
                        </m:f>
                      </m:e>
                    </m:d>
                  </m:oMath>
                </m:oMathPara>
              </a14:m>
              <a:endParaRPr lang="en-US" sz="1100"/>
            </a:p>
          </xdr:txBody>
        </xdr:sp>
      </mc:Choice>
      <mc:Fallback xmlns="">
        <xdr:sp macro="" textlink="">
          <xdr:nvSpPr>
            <xdr:cNvPr id="3" name="TextBox 2"/>
            <xdr:cNvSpPr txBox="1"/>
          </xdr:nvSpPr>
          <xdr:spPr>
            <a:xfrm>
              <a:off x="1576386" y="4105275"/>
              <a:ext cx="2538413"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           )]</a:t>
              </a:r>
              <a:endParaRPr lang="en-US" sz="1100"/>
            </a:p>
          </xdr:txBody>
        </xdr:sp>
      </mc:Fallback>
    </mc:AlternateContent>
    <xdr:clientData/>
  </xdr:oneCellAnchor>
  <xdr:oneCellAnchor>
    <xdr:from>
      <xdr:col>8</xdr:col>
      <xdr:colOff>1576386</xdr:colOff>
      <xdr:row>18</xdr:row>
      <xdr:rowOff>38100</xdr:rowOff>
    </xdr:from>
    <xdr:ext cx="2538413" cy="363305"/>
    <mc:AlternateContent xmlns:mc="http://schemas.openxmlformats.org/markup-compatibility/2006" xmlns:a14="http://schemas.microsoft.com/office/drawing/2010/main">
      <mc:Choice Requires="a14">
        <xdr:sp macro="" textlink="">
          <xdr:nvSpPr>
            <xdr:cNvPr id="5" name="TextBox 4"/>
            <xdr:cNvSpPr txBox="1"/>
          </xdr:nvSpPr>
          <xdr:spPr>
            <a:xfrm>
              <a:off x="1576386" y="4105275"/>
              <a:ext cx="2538413"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d>
                      <m:dPr>
                        <m:begChr m:val="["/>
                        <m:endChr m:val="]"/>
                        <m:ctrlPr>
                          <a:rPr lang="en-US" sz="1100" i="1">
                            <a:latin typeface="Cambria Math"/>
                          </a:rPr>
                        </m:ctrlPr>
                      </m:dPr>
                      <m:e>
                        <m:f>
                          <m:fPr>
                            <m:ctrlPr>
                              <a:rPr lang="en-US" sz="1100" i="1">
                                <a:latin typeface="Cambria Math"/>
                              </a:rPr>
                            </m:ctrlPr>
                          </m:fPr>
                          <m:num>
                            <m:r>
                              <a:rPr lang="en-US" sz="1100" b="0" i="1">
                                <a:latin typeface="Cambria Math"/>
                              </a:rPr>
                              <m:t>                                                                    </m:t>
                            </m:r>
                          </m:num>
                          <m:den>
                            <m:r>
                              <a:rPr lang="en-US" sz="1100" b="0" i="1">
                                <a:latin typeface="Cambria Math"/>
                              </a:rPr>
                              <m:t>           </m:t>
                            </m:r>
                          </m:den>
                        </m:f>
                      </m:e>
                    </m:d>
                  </m:oMath>
                </m:oMathPara>
              </a14:m>
              <a:endParaRPr lang="en-US" sz="1100"/>
            </a:p>
          </xdr:txBody>
        </xdr:sp>
      </mc:Choice>
      <mc:Fallback xmlns="">
        <xdr:sp macro="" textlink="">
          <xdr:nvSpPr>
            <xdr:cNvPr id="5" name="TextBox 4"/>
            <xdr:cNvSpPr txBox="1"/>
          </xdr:nvSpPr>
          <xdr:spPr>
            <a:xfrm>
              <a:off x="1576386" y="4105275"/>
              <a:ext cx="2538413"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           )]</a:t>
              </a:r>
              <a:endParaRPr lang="en-US"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2</xdr:col>
      <xdr:colOff>252412</xdr:colOff>
      <xdr:row>32</xdr:row>
      <xdr:rowOff>85725</xdr:rowOff>
    </xdr:from>
    <xdr:ext cx="914400" cy="592470"/>
    <mc:AlternateContent xmlns:mc="http://schemas.openxmlformats.org/markup-compatibility/2006" xmlns:a14="http://schemas.microsoft.com/office/drawing/2010/main">
      <mc:Choice Requires="a14">
        <xdr:sp macro="" textlink="">
          <xdr:nvSpPr>
            <xdr:cNvPr id="2" name="TextBox 1"/>
            <xdr:cNvSpPr txBox="1"/>
          </xdr:nvSpPr>
          <xdr:spPr>
            <a:xfrm>
              <a:off x="1862137" y="7391400"/>
              <a:ext cx="914400"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US" sz="1100" i="1">
                            <a:latin typeface="Cambria Math"/>
                          </a:rPr>
                        </m:ctrlPr>
                      </m:radPr>
                      <m:deg/>
                      <m:e>
                        <m:f>
                          <m:fPr>
                            <m:ctrlPr>
                              <a:rPr lang="en-US" sz="1100" i="1">
                                <a:latin typeface="Cambria Math"/>
                              </a:rPr>
                            </m:ctrlPr>
                          </m:fPr>
                          <m:num>
                            <m:r>
                              <a:rPr lang="en-US" sz="1100" b="0" i="1">
                                <a:latin typeface="Cambria Math"/>
                              </a:rPr>
                              <m:t>           </m:t>
                            </m:r>
                            <m:f>
                              <m:fPr>
                                <m:ctrlPr>
                                  <a:rPr lang="en-US" sz="1100" b="0" i="1">
                                    <a:latin typeface="Cambria Math"/>
                                  </a:rPr>
                                </m:ctrlPr>
                              </m:fPr>
                              <m:num>
                                <m:r>
                                  <a:rPr lang="en-US" sz="1100" b="0" i="1">
                                    <a:latin typeface="Cambria Math"/>
                                  </a:rPr>
                                  <m:t>   </m:t>
                                </m:r>
                              </m:num>
                              <m:den>
                                <m:r>
                                  <a:rPr lang="en-US" sz="1100" b="0" i="1">
                                    <a:latin typeface="Cambria Math"/>
                                  </a:rPr>
                                  <m:t> </m:t>
                                </m:r>
                              </m:den>
                            </m:f>
                            <m:r>
                              <a:rPr lang="en-US" sz="1100" b="0" i="1">
                                <a:latin typeface="Cambria Math"/>
                              </a:rPr>
                              <m:t>                   </m:t>
                            </m:r>
                          </m:num>
                          <m:den>
                            <m:r>
                              <a:rPr lang="en-US" sz="1100" b="0" i="1">
                                <a:latin typeface="Cambria Math"/>
                              </a:rPr>
                              <m:t>          </m:t>
                            </m:r>
                          </m:den>
                        </m:f>
                      </m:e>
                    </m:rad>
                  </m:oMath>
                </m:oMathPara>
              </a14:m>
              <a:endParaRPr lang="en-US" sz="1100"/>
            </a:p>
          </xdr:txBody>
        </xdr:sp>
      </mc:Choice>
      <mc:Fallback xmlns="">
        <xdr:sp macro="" textlink="">
          <xdr:nvSpPr>
            <xdr:cNvPr id="2" name="TextBox 1"/>
            <xdr:cNvSpPr txBox="1"/>
          </xdr:nvSpPr>
          <xdr:spPr>
            <a:xfrm>
              <a:off x="1862137" y="7391400"/>
              <a:ext cx="914400"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i="0">
                  <a:latin typeface="Cambria Math"/>
                </a:rPr>
                <a:t>√((</a:t>
              </a:r>
              <a:r>
                <a:rPr lang="en-US" sz="1100" b="0" i="0">
                  <a:latin typeface="Cambria Math"/>
                </a:rPr>
                <a:t>           (   )/                     )/(          ))</a:t>
              </a:r>
              <a:endParaRPr lang="en-US" sz="1100"/>
            </a:p>
          </xdr:txBody>
        </xdr:sp>
      </mc:Fallback>
    </mc:AlternateContent>
    <xdr:clientData/>
  </xdr:oneCellAnchor>
  <xdr:oneCellAnchor>
    <xdr:from>
      <xdr:col>1</xdr:col>
      <xdr:colOff>128587</xdr:colOff>
      <xdr:row>40</xdr:row>
      <xdr:rowOff>142875</xdr:rowOff>
    </xdr:from>
    <xdr:ext cx="914400" cy="436786"/>
    <mc:AlternateContent xmlns:mc="http://schemas.openxmlformats.org/markup-compatibility/2006" xmlns:a14="http://schemas.microsoft.com/office/drawing/2010/main">
      <mc:Choice Requires="a14">
        <xdr:sp macro="" textlink="">
          <xdr:nvSpPr>
            <xdr:cNvPr id="7" name="TextBox 6"/>
            <xdr:cNvSpPr txBox="1"/>
          </xdr:nvSpPr>
          <xdr:spPr>
            <a:xfrm>
              <a:off x="1452562" y="8677275"/>
              <a:ext cx="9144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US" sz="1100" i="1">
                            <a:latin typeface="Cambria Math"/>
                          </a:rPr>
                        </m:ctrlPr>
                      </m:radPr>
                      <m:deg/>
                      <m:e>
                        <m:box>
                          <m:boxPr>
                            <m:ctrlPr>
                              <a:rPr lang="en-US" sz="1100" i="1">
                                <a:latin typeface="Cambria Math"/>
                              </a:rPr>
                            </m:ctrlPr>
                          </m:boxPr>
                          <m:e>
                            <m:argPr>
                              <m:argSz m:val="-1"/>
                            </m:argPr>
                            <m:f>
                              <m:fPr>
                                <m:ctrlPr>
                                  <a:rPr lang="en-US" sz="1100" i="1">
                                    <a:latin typeface="Cambria Math"/>
                                  </a:rPr>
                                </m:ctrlPr>
                              </m:fPr>
                              <m:num>
                                <m:m>
                                  <m:mPr>
                                    <m:mcs>
                                      <m:mc>
                                        <m:mcPr>
                                          <m:count m:val="1"/>
                                          <m:mcJc m:val="center"/>
                                        </m:mcPr>
                                      </m:mc>
                                    </m:mcs>
                                    <m:ctrlPr>
                                      <a:rPr lang="en-US" sz="1100" i="1">
                                        <a:latin typeface="Cambria Math"/>
                                      </a:rPr>
                                    </m:ctrlPr>
                                  </m:mPr>
                                  <m:mr>
                                    <m:e>
                                      <m:r>
                                        <m:rPr>
                                          <m:brk m:alnAt="7"/>
                                        </m:rPr>
                                        <a:rPr lang="en-US" sz="1100" b="0" i="1">
                                          <a:latin typeface="Cambria Math"/>
                                        </a:rPr>
                                        <m:t> </m:t>
                                      </m:r>
                                    </m:e>
                                  </m:mr>
                                  <m:mr>
                                    <m:e>
                                      <m:r>
                                        <a:rPr lang="en-US" sz="1100" b="0" i="1">
                                          <a:latin typeface="Cambria Math"/>
                                        </a:rPr>
                                        <m:t> </m:t>
                                      </m:r>
                                    </m:e>
                                  </m:mr>
                                </m:m>
                              </m:num>
                              <m:den>
                                <m:r>
                                  <a:rPr lang="en-US" sz="1100" b="0" i="1">
                                    <a:latin typeface="Cambria Math"/>
                                  </a:rPr>
                                  <m:t>                                         </m:t>
                                </m:r>
                              </m:den>
                            </m:f>
                          </m:e>
                        </m:box>
                      </m:e>
                    </m:rad>
                  </m:oMath>
                </m:oMathPara>
              </a14:m>
              <a:endParaRPr lang="en-US" sz="1100"/>
            </a:p>
          </xdr:txBody>
        </xdr:sp>
      </mc:Choice>
      <mc:Fallback xmlns="">
        <xdr:sp macro="" textlink="">
          <xdr:nvSpPr>
            <xdr:cNvPr id="7" name="TextBox 6"/>
            <xdr:cNvSpPr txBox="1"/>
          </xdr:nvSpPr>
          <xdr:spPr>
            <a:xfrm>
              <a:off x="1452562" y="8677275"/>
              <a:ext cx="9144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i="0">
                  <a:latin typeface="Cambria Math"/>
                </a:rPr>
                <a:t>√(□(64&amp;■8(</a:t>
              </a:r>
              <a:r>
                <a:rPr lang="en-US" sz="1100" b="0" i="0">
                  <a:latin typeface="Cambria Math"/>
                </a:rPr>
                <a:t> @ )/(                                         ))) </a:t>
              </a:r>
              <a:endParaRPr lang="en-US" sz="1100"/>
            </a:p>
          </xdr:txBody>
        </xdr:sp>
      </mc:Fallback>
    </mc:AlternateContent>
    <xdr:clientData/>
  </xdr:oneCellAnchor>
  <xdr:oneCellAnchor>
    <xdr:from>
      <xdr:col>1</xdr:col>
      <xdr:colOff>147636</xdr:colOff>
      <xdr:row>80</xdr:row>
      <xdr:rowOff>66675</xdr:rowOff>
    </xdr:from>
    <xdr:ext cx="2624139" cy="321050"/>
    <mc:AlternateContent xmlns:mc="http://schemas.openxmlformats.org/markup-compatibility/2006" xmlns:a14="http://schemas.microsoft.com/office/drawing/2010/main">
      <mc:Choice Requires="a14">
        <xdr:sp macro="" textlink="">
          <xdr:nvSpPr>
            <xdr:cNvPr id="8" name="TextBox 7"/>
            <xdr:cNvSpPr txBox="1"/>
          </xdr:nvSpPr>
          <xdr:spPr>
            <a:xfrm>
              <a:off x="1471611" y="16878300"/>
              <a:ext cx="2624139"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8" name="TextBox 7"/>
            <xdr:cNvSpPr txBox="1"/>
          </xdr:nvSpPr>
          <xdr:spPr>
            <a:xfrm>
              <a:off x="1471611" y="16878300"/>
              <a:ext cx="2624139"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 /(                                                                        )</a:t>
              </a:r>
              <a:endParaRPr lang="en-US" sz="1100"/>
            </a:p>
          </xdr:txBody>
        </xdr:sp>
      </mc:Fallback>
    </mc:AlternateContent>
    <xdr:clientData/>
  </xdr:oneCellAnchor>
  <xdr:oneCellAnchor>
    <xdr:from>
      <xdr:col>10</xdr:col>
      <xdr:colOff>319087</xdr:colOff>
      <xdr:row>32</xdr:row>
      <xdr:rowOff>85725</xdr:rowOff>
    </xdr:from>
    <xdr:ext cx="914400" cy="592470"/>
    <mc:AlternateContent xmlns:mc="http://schemas.openxmlformats.org/markup-compatibility/2006" xmlns:a14="http://schemas.microsoft.com/office/drawing/2010/main">
      <mc:Choice Requires="a14">
        <xdr:sp macro="" textlink="">
          <xdr:nvSpPr>
            <xdr:cNvPr id="24" name="TextBox 23"/>
            <xdr:cNvSpPr txBox="1"/>
          </xdr:nvSpPr>
          <xdr:spPr>
            <a:xfrm>
              <a:off x="7681912" y="7239000"/>
              <a:ext cx="914400"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US" sz="1100" i="1">
                            <a:latin typeface="Cambria Math"/>
                          </a:rPr>
                        </m:ctrlPr>
                      </m:radPr>
                      <m:deg/>
                      <m:e>
                        <m:f>
                          <m:fPr>
                            <m:ctrlPr>
                              <a:rPr lang="en-US" sz="1100" i="1">
                                <a:latin typeface="Cambria Math"/>
                              </a:rPr>
                            </m:ctrlPr>
                          </m:fPr>
                          <m:num>
                            <m:r>
                              <a:rPr lang="en-US" sz="1100" b="0" i="1">
                                <a:latin typeface="Cambria Math"/>
                              </a:rPr>
                              <m:t>           </m:t>
                            </m:r>
                            <m:f>
                              <m:fPr>
                                <m:ctrlPr>
                                  <a:rPr lang="en-US" sz="1100" b="0" i="1">
                                    <a:latin typeface="Cambria Math"/>
                                  </a:rPr>
                                </m:ctrlPr>
                              </m:fPr>
                              <m:num>
                                <m:r>
                                  <a:rPr lang="en-US" sz="1100" b="0" i="1">
                                    <a:latin typeface="Cambria Math"/>
                                  </a:rPr>
                                  <m:t>   </m:t>
                                </m:r>
                              </m:num>
                              <m:den>
                                <m:r>
                                  <a:rPr lang="en-US" sz="1100" b="0" i="1">
                                    <a:latin typeface="Cambria Math"/>
                                  </a:rPr>
                                  <m:t> </m:t>
                                </m:r>
                              </m:den>
                            </m:f>
                            <m:r>
                              <a:rPr lang="en-US" sz="1100" b="0" i="1">
                                <a:latin typeface="Cambria Math"/>
                              </a:rPr>
                              <m:t>                   </m:t>
                            </m:r>
                          </m:num>
                          <m:den>
                            <m:r>
                              <a:rPr lang="en-US" sz="1100" b="0" i="1">
                                <a:latin typeface="Cambria Math"/>
                              </a:rPr>
                              <m:t>          </m:t>
                            </m:r>
                          </m:den>
                        </m:f>
                      </m:e>
                    </m:rad>
                  </m:oMath>
                </m:oMathPara>
              </a14:m>
              <a:endParaRPr lang="en-US" sz="1100"/>
            </a:p>
          </xdr:txBody>
        </xdr:sp>
      </mc:Choice>
      <mc:Fallback xmlns="">
        <xdr:sp macro="" textlink="">
          <xdr:nvSpPr>
            <xdr:cNvPr id="24" name="TextBox 23"/>
            <xdr:cNvSpPr txBox="1"/>
          </xdr:nvSpPr>
          <xdr:spPr>
            <a:xfrm>
              <a:off x="7681912" y="7239000"/>
              <a:ext cx="914400"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i="0">
                  <a:latin typeface="Cambria Math"/>
                </a:rPr>
                <a:t>√((</a:t>
              </a:r>
              <a:r>
                <a:rPr lang="en-US" sz="1100" b="0" i="0">
                  <a:latin typeface="Cambria Math"/>
                </a:rPr>
                <a:t>           (   )/                     )/(          ))</a:t>
              </a:r>
              <a:endParaRPr lang="en-US" sz="1100"/>
            </a:p>
          </xdr:txBody>
        </xdr:sp>
      </mc:Fallback>
    </mc:AlternateContent>
    <xdr:clientData/>
  </xdr:oneCellAnchor>
  <xdr:oneCellAnchor>
    <xdr:from>
      <xdr:col>9</xdr:col>
      <xdr:colOff>128587</xdr:colOff>
      <xdr:row>40</xdr:row>
      <xdr:rowOff>142875</xdr:rowOff>
    </xdr:from>
    <xdr:ext cx="914400" cy="436786"/>
    <mc:AlternateContent xmlns:mc="http://schemas.openxmlformats.org/markup-compatibility/2006" xmlns:a14="http://schemas.microsoft.com/office/drawing/2010/main">
      <mc:Choice Requires="a14">
        <xdr:sp macro="" textlink="">
          <xdr:nvSpPr>
            <xdr:cNvPr id="25" name="TextBox 24"/>
            <xdr:cNvSpPr txBox="1"/>
          </xdr:nvSpPr>
          <xdr:spPr>
            <a:xfrm>
              <a:off x="1452562" y="8677275"/>
              <a:ext cx="9144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US" sz="1100" i="1">
                            <a:latin typeface="Cambria Math"/>
                          </a:rPr>
                        </m:ctrlPr>
                      </m:radPr>
                      <m:deg/>
                      <m:e>
                        <m:box>
                          <m:boxPr>
                            <m:ctrlPr>
                              <a:rPr lang="en-US" sz="1100" i="1">
                                <a:latin typeface="Cambria Math"/>
                              </a:rPr>
                            </m:ctrlPr>
                          </m:boxPr>
                          <m:e>
                            <m:argPr>
                              <m:argSz m:val="-1"/>
                            </m:argPr>
                            <m:f>
                              <m:fPr>
                                <m:ctrlPr>
                                  <a:rPr lang="en-US" sz="1100" i="1">
                                    <a:latin typeface="Cambria Math"/>
                                  </a:rPr>
                                </m:ctrlPr>
                              </m:fPr>
                              <m:num>
                                <m:m>
                                  <m:mPr>
                                    <m:mcs>
                                      <m:mc>
                                        <m:mcPr>
                                          <m:count m:val="1"/>
                                          <m:mcJc m:val="center"/>
                                        </m:mcPr>
                                      </m:mc>
                                    </m:mcs>
                                    <m:ctrlPr>
                                      <a:rPr lang="en-US" sz="1100" i="1">
                                        <a:latin typeface="Cambria Math"/>
                                      </a:rPr>
                                    </m:ctrlPr>
                                  </m:mPr>
                                  <m:mr>
                                    <m:e>
                                      <m:r>
                                        <m:rPr>
                                          <m:brk m:alnAt="7"/>
                                        </m:rPr>
                                        <a:rPr lang="en-US" sz="1100" b="0" i="1">
                                          <a:latin typeface="Cambria Math"/>
                                        </a:rPr>
                                        <m:t> </m:t>
                                      </m:r>
                                    </m:e>
                                  </m:mr>
                                  <m:mr>
                                    <m:e>
                                      <m:r>
                                        <a:rPr lang="en-US" sz="1100" b="0" i="1">
                                          <a:latin typeface="Cambria Math"/>
                                        </a:rPr>
                                        <m:t> </m:t>
                                      </m:r>
                                    </m:e>
                                  </m:mr>
                                </m:m>
                              </m:num>
                              <m:den>
                                <m:r>
                                  <a:rPr lang="en-US" sz="1100" b="0" i="1">
                                    <a:latin typeface="Cambria Math"/>
                                  </a:rPr>
                                  <m:t>                                         </m:t>
                                </m:r>
                              </m:den>
                            </m:f>
                          </m:e>
                        </m:box>
                      </m:e>
                    </m:rad>
                  </m:oMath>
                </m:oMathPara>
              </a14:m>
              <a:endParaRPr lang="en-US" sz="1100"/>
            </a:p>
          </xdr:txBody>
        </xdr:sp>
      </mc:Choice>
      <mc:Fallback xmlns="">
        <xdr:sp macro="" textlink="">
          <xdr:nvSpPr>
            <xdr:cNvPr id="25" name="TextBox 24"/>
            <xdr:cNvSpPr txBox="1"/>
          </xdr:nvSpPr>
          <xdr:spPr>
            <a:xfrm>
              <a:off x="1452562" y="8677275"/>
              <a:ext cx="9144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i="0">
                  <a:latin typeface="Cambria Math"/>
                </a:rPr>
                <a:t>√(□(64&amp;■8(</a:t>
              </a:r>
              <a:r>
                <a:rPr lang="en-US" sz="1100" b="0" i="0">
                  <a:latin typeface="Cambria Math"/>
                </a:rPr>
                <a:t> @ )/(                                         ))) </a:t>
              </a:r>
              <a:endParaRPr lang="en-US" sz="1100"/>
            </a:p>
          </xdr:txBody>
        </xdr:sp>
      </mc:Fallback>
    </mc:AlternateContent>
    <xdr:clientData/>
  </xdr:oneCellAnchor>
  <xdr:oneCellAnchor>
    <xdr:from>
      <xdr:col>9</xdr:col>
      <xdr:colOff>147636</xdr:colOff>
      <xdr:row>80</xdr:row>
      <xdr:rowOff>66675</xdr:rowOff>
    </xdr:from>
    <xdr:ext cx="2624139" cy="321050"/>
    <mc:AlternateContent xmlns:mc="http://schemas.openxmlformats.org/markup-compatibility/2006" xmlns:a14="http://schemas.microsoft.com/office/drawing/2010/main">
      <mc:Choice Requires="a14">
        <xdr:sp macro="" textlink="">
          <xdr:nvSpPr>
            <xdr:cNvPr id="26" name="TextBox 25"/>
            <xdr:cNvSpPr txBox="1"/>
          </xdr:nvSpPr>
          <xdr:spPr>
            <a:xfrm>
              <a:off x="1471611" y="16878300"/>
              <a:ext cx="2624139"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26" name="TextBox 25"/>
            <xdr:cNvSpPr txBox="1"/>
          </xdr:nvSpPr>
          <xdr:spPr>
            <a:xfrm>
              <a:off x="1471611" y="16878300"/>
              <a:ext cx="2624139"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 /(                                                                        )</a:t>
              </a:r>
              <a:endParaRPr lang="en-US"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383526</xdr:colOff>
      <xdr:row>70</xdr:row>
      <xdr:rowOff>116242</xdr:rowOff>
    </xdr:from>
    <xdr:ext cx="1375683" cy="285399"/>
    <mc:AlternateContent xmlns:mc="http://schemas.openxmlformats.org/markup-compatibility/2006" xmlns:a14="http://schemas.microsoft.com/office/drawing/2010/main">
      <mc:Choice Requires="a14">
        <xdr:sp macro="" textlink="">
          <xdr:nvSpPr>
            <xdr:cNvPr id="3" name="TextBox 2"/>
            <xdr:cNvSpPr txBox="1"/>
          </xdr:nvSpPr>
          <xdr:spPr>
            <a:xfrm>
              <a:off x="383526" y="15064660"/>
              <a:ext cx="1375683" cy="285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US" sz="1100" i="1">
                            <a:latin typeface="Cambria Math"/>
                          </a:rPr>
                        </m:ctrlPr>
                      </m:radPr>
                      <m:deg/>
                      <m:e>
                        <m:r>
                          <a:rPr lang="en-US" sz="1100" b="0" i="1">
                            <a:latin typeface="Cambria Math"/>
                          </a:rPr>
                          <m:t>                                    </m:t>
                        </m:r>
                      </m:e>
                    </m:rad>
                  </m:oMath>
                </m:oMathPara>
              </a14:m>
              <a:endParaRPr lang="en-US" sz="1100"/>
            </a:p>
          </xdr:txBody>
        </xdr:sp>
      </mc:Choice>
      <mc:Fallback xmlns="">
        <xdr:sp macro="" textlink="">
          <xdr:nvSpPr>
            <xdr:cNvPr id="3" name="TextBox 2"/>
            <xdr:cNvSpPr txBox="1"/>
          </xdr:nvSpPr>
          <xdr:spPr>
            <a:xfrm>
              <a:off x="383526" y="15064660"/>
              <a:ext cx="1375683" cy="285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a:t>
              </a:r>
              <a:endParaRPr lang="en-US" sz="1100"/>
            </a:p>
          </xdr:txBody>
        </xdr:sp>
      </mc:Fallback>
    </mc:AlternateContent>
    <xdr:clientData/>
  </xdr:oneCellAnchor>
  <xdr:oneCellAnchor>
    <xdr:from>
      <xdr:col>0</xdr:col>
      <xdr:colOff>373807</xdr:colOff>
      <xdr:row>70</xdr:row>
      <xdr:rowOff>48208</xdr:rowOff>
    </xdr:from>
    <xdr:ext cx="1492315" cy="321050"/>
    <mc:AlternateContent xmlns:mc="http://schemas.openxmlformats.org/markup-compatibility/2006" xmlns:a14="http://schemas.microsoft.com/office/drawing/2010/main">
      <mc:Choice Requires="a14">
        <xdr:sp macro="" textlink="">
          <xdr:nvSpPr>
            <xdr:cNvPr id="4" name="TextBox 3"/>
            <xdr:cNvSpPr txBox="1"/>
          </xdr:nvSpPr>
          <xdr:spPr>
            <a:xfrm>
              <a:off x="373807" y="14996626"/>
              <a:ext cx="1492315"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4" name="TextBox 3"/>
            <xdr:cNvSpPr txBox="1"/>
          </xdr:nvSpPr>
          <xdr:spPr>
            <a:xfrm>
              <a:off x="373807" y="14996626"/>
              <a:ext cx="1492315"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                                           )</a:t>
              </a:r>
              <a:endParaRPr lang="en-US" sz="1100"/>
            </a:p>
          </xdr:txBody>
        </xdr:sp>
      </mc:Fallback>
    </mc:AlternateContent>
    <xdr:clientData/>
  </xdr:oneCellAnchor>
  <xdr:oneCellAnchor>
    <xdr:from>
      <xdr:col>0</xdr:col>
      <xdr:colOff>1102761</xdr:colOff>
      <xdr:row>85</xdr:row>
      <xdr:rowOff>116244</xdr:rowOff>
    </xdr:from>
    <xdr:ext cx="1502036" cy="285399"/>
    <mc:AlternateContent xmlns:mc="http://schemas.openxmlformats.org/markup-compatibility/2006" xmlns:a14="http://schemas.microsoft.com/office/drawing/2010/main">
      <mc:Choice Requires="a14">
        <xdr:sp macro="" textlink="">
          <xdr:nvSpPr>
            <xdr:cNvPr id="5" name="TextBox 4"/>
            <xdr:cNvSpPr txBox="1"/>
          </xdr:nvSpPr>
          <xdr:spPr>
            <a:xfrm>
              <a:off x="1102761" y="17980479"/>
              <a:ext cx="1502036" cy="285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US" sz="1100" i="1">
                            <a:latin typeface="Cambria Math"/>
                          </a:rPr>
                        </m:ctrlPr>
                      </m:radPr>
                      <m:deg/>
                      <m:e>
                        <m:r>
                          <a:rPr lang="en-US" sz="1100" b="0" i="1">
                            <a:latin typeface="Cambria Math"/>
                          </a:rPr>
                          <m:t>                                       </m:t>
                        </m:r>
                      </m:e>
                    </m:rad>
                  </m:oMath>
                </m:oMathPara>
              </a14:m>
              <a:endParaRPr lang="en-US" sz="1100"/>
            </a:p>
          </xdr:txBody>
        </xdr:sp>
      </mc:Choice>
      <mc:Fallback xmlns="">
        <xdr:sp macro="" textlink="">
          <xdr:nvSpPr>
            <xdr:cNvPr id="5" name="TextBox 4"/>
            <xdr:cNvSpPr txBox="1"/>
          </xdr:nvSpPr>
          <xdr:spPr>
            <a:xfrm>
              <a:off x="1102761" y="17980479"/>
              <a:ext cx="1502036" cy="285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a:t>
              </a:r>
              <a:endParaRPr lang="en-US" sz="1100"/>
            </a:p>
          </xdr:txBody>
        </xdr:sp>
      </mc:Fallback>
    </mc:AlternateContent>
    <xdr:clientData/>
  </xdr:oneCellAnchor>
  <xdr:oneCellAnchor>
    <xdr:from>
      <xdr:col>0</xdr:col>
      <xdr:colOff>2196582</xdr:colOff>
      <xdr:row>109</xdr:row>
      <xdr:rowOff>116243</xdr:rowOff>
    </xdr:from>
    <xdr:ext cx="2468724" cy="297646"/>
    <mc:AlternateContent xmlns:mc="http://schemas.openxmlformats.org/markup-compatibility/2006" xmlns:a14="http://schemas.microsoft.com/office/drawing/2010/main">
      <mc:Choice Requires="a14">
        <xdr:sp macro="" textlink="">
          <xdr:nvSpPr>
            <xdr:cNvPr id="6" name="TextBox 5"/>
            <xdr:cNvSpPr txBox="1"/>
          </xdr:nvSpPr>
          <xdr:spPr>
            <a:xfrm>
              <a:off x="2196582" y="22713820"/>
              <a:ext cx="2468724" cy="297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a14:m>
              <a:r>
                <a:rPr lang="en-US" sz="1100"/>
                <a:t> </a:t>
              </a:r>
            </a:p>
          </xdr:txBody>
        </xdr:sp>
      </mc:Choice>
      <mc:Fallback xmlns="">
        <xdr:sp macro="" textlink="">
          <xdr:nvSpPr>
            <xdr:cNvPr id="6" name="TextBox 5"/>
            <xdr:cNvSpPr txBox="1"/>
          </xdr:nvSpPr>
          <xdr:spPr>
            <a:xfrm>
              <a:off x="2196582" y="22713820"/>
              <a:ext cx="2468724" cy="297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 </a:t>
              </a:r>
              <a:r>
                <a:rPr lang="en-US" sz="1100"/>
                <a:t> </a:t>
              </a:r>
            </a:p>
          </xdr:txBody>
        </xdr:sp>
      </mc:Fallback>
    </mc:AlternateContent>
    <xdr:clientData/>
  </xdr:oneCellAnchor>
  <xdr:oneCellAnchor>
    <xdr:from>
      <xdr:col>0</xdr:col>
      <xdr:colOff>2196582</xdr:colOff>
      <xdr:row>120</xdr:row>
      <xdr:rowOff>116243</xdr:rowOff>
    </xdr:from>
    <xdr:ext cx="2468724" cy="297646"/>
    <mc:AlternateContent xmlns:mc="http://schemas.openxmlformats.org/markup-compatibility/2006" xmlns:a14="http://schemas.microsoft.com/office/drawing/2010/main">
      <mc:Choice Requires="a14">
        <xdr:sp macro="" textlink="">
          <xdr:nvSpPr>
            <xdr:cNvPr id="8" name="TextBox 7"/>
            <xdr:cNvSpPr txBox="1"/>
          </xdr:nvSpPr>
          <xdr:spPr>
            <a:xfrm>
              <a:off x="2196582" y="22713820"/>
              <a:ext cx="2468724" cy="297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a14:m>
              <a:r>
                <a:rPr lang="en-US" sz="1100"/>
                <a:t> </a:t>
              </a:r>
            </a:p>
          </xdr:txBody>
        </xdr:sp>
      </mc:Choice>
      <mc:Fallback xmlns="">
        <xdr:sp macro="" textlink="">
          <xdr:nvSpPr>
            <xdr:cNvPr id="8" name="TextBox 7"/>
            <xdr:cNvSpPr txBox="1"/>
          </xdr:nvSpPr>
          <xdr:spPr>
            <a:xfrm>
              <a:off x="2196582" y="22713820"/>
              <a:ext cx="2468724" cy="297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 </a:t>
              </a:r>
              <a:r>
                <a:rPr lang="en-US" sz="1100"/>
                <a:t> </a:t>
              </a:r>
            </a:p>
          </xdr:txBody>
        </xdr:sp>
      </mc:Fallback>
    </mc:AlternateContent>
    <xdr:clientData/>
  </xdr:oneCellAnchor>
  <xdr:oneCellAnchor>
    <xdr:from>
      <xdr:col>8</xdr:col>
      <xdr:colOff>383526</xdr:colOff>
      <xdr:row>70</xdr:row>
      <xdr:rowOff>116242</xdr:rowOff>
    </xdr:from>
    <xdr:ext cx="1375683" cy="285399"/>
    <mc:AlternateContent xmlns:mc="http://schemas.openxmlformats.org/markup-compatibility/2006" xmlns:a14="http://schemas.microsoft.com/office/drawing/2010/main">
      <mc:Choice Requires="a14">
        <xdr:sp macro="" textlink="">
          <xdr:nvSpPr>
            <xdr:cNvPr id="14" name="TextBox 13"/>
            <xdr:cNvSpPr txBox="1"/>
          </xdr:nvSpPr>
          <xdr:spPr>
            <a:xfrm>
              <a:off x="383526" y="14967466"/>
              <a:ext cx="1375683" cy="285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US" sz="1100" i="1">
                            <a:latin typeface="Cambria Math"/>
                          </a:rPr>
                        </m:ctrlPr>
                      </m:radPr>
                      <m:deg/>
                      <m:e>
                        <m:r>
                          <a:rPr lang="en-US" sz="1100" b="0" i="1">
                            <a:latin typeface="Cambria Math"/>
                          </a:rPr>
                          <m:t>                                    </m:t>
                        </m:r>
                      </m:e>
                    </m:rad>
                  </m:oMath>
                </m:oMathPara>
              </a14:m>
              <a:endParaRPr lang="en-US" sz="1100"/>
            </a:p>
          </xdr:txBody>
        </xdr:sp>
      </mc:Choice>
      <mc:Fallback xmlns="">
        <xdr:sp macro="" textlink="">
          <xdr:nvSpPr>
            <xdr:cNvPr id="14" name="TextBox 13"/>
            <xdr:cNvSpPr txBox="1"/>
          </xdr:nvSpPr>
          <xdr:spPr>
            <a:xfrm>
              <a:off x="383526" y="14967466"/>
              <a:ext cx="1375683" cy="285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a:t>
              </a:r>
              <a:endParaRPr lang="en-US" sz="1100"/>
            </a:p>
          </xdr:txBody>
        </xdr:sp>
      </mc:Fallback>
    </mc:AlternateContent>
    <xdr:clientData/>
  </xdr:oneCellAnchor>
  <xdr:oneCellAnchor>
    <xdr:from>
      <xdr:col>8</xdr:col>
      <xdr:colOff>373807</xdr:colOff>
      <xdr:row>70</xdr:row>
      <xdr:rowOff>48208</xdr:rowOff>
    </xdr:from>
    <xdr:ext cx="1492315" cy="321050"/>
    <mc:AlternateContent xmlns:mc="http://schemas.openxmlformats.org/markup-compatibility/2006" xmlns:a14="http://schemas.microsoft.com/office/drawing/2010/main">
      <mc:Choice Requires="a14">
        <xdr:sp macro="" textlink="">
          <xdr:nvSpPr>
            <xdr:cNvPr id="15" name="TextBox 14"/>
            <xdr:cNvSpPr txBox="1"/>
          </xdr:nvSpPr>
          <xdr:spPr>
            <a:xfrm>
              <a:off x="373807" y="14899432"/>
              <a:ext cx="1492315"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5" name="TextBox 14"/>
            <xdr:cNvSpPr txBox="1"/>
          </xdr:nvSpPr>
          <xdr:spPr>
            <a:xfrm>
              <a:off x="373807" y="14899432"/>
              <a:ext cx="1492315"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                                           )</a:t>
              </a:r>
              <a:endParaRPr lang="en-US" sz="1100"/>
            </a:p>
          </xdr:txBody>
        </xdr:sp>
      </mc:Fallback>
    </mc:AlternateContent>
    <xdr:clientData/>
  </xdr:oneCellAnchor>
  <xdr:oneCellAnchor>
    <xdr:from>
      <xdr:col>8</xdr:col>
      <xdr:colOff>1102761</xdr:colOff>
      <xdr:row>85</xdr:row>
      <xdr:rowOff>116244</xdr:rowOff>
    </xdr:from>
    <xdr:ext cx="1502036" cy="285399"/>
    <mc:AlternateContent xmlns:mc="http://schemas.openxmlformats.org/markup-compatibility/2006" xmlns:a14="http://schemas.microsoft.com/office/drawing/2010/main">
      <mc:Choice Requires="a14">
        <xdr:sp macro="" textlink="">
          <xdr:nvSpPr>
            <xdr:cNvPr id="16" name="TextBox 15"/>
            <xdr:cNvSpPr txBox="1"/>
          </xdr:nvSpPr>
          <xdr:spPr>
            <a:xfrm>
              <a:off x="1102761" y="17883285"/>
              <a:ext cx="1502036" cy="285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US" sz="1100" i="1">
                            <a:latin typeface="Cambria Math"/>
                          </a:rPr>
                        </m:ctrlPr>
                      </m:radPr>
                      <m:deg/>
                      <m:e>
                        <m:r>
                          <a:rPr lang="en-US" sz="1100" b="0" i="1">
                            <a:latin typeface="Cambria Math"/>
                          </a:rPr>
                          <m:t>                                       </m:t>
                        </m:r>
                      </m:e>
                    </m:rad>
                  </m:oMath>
                </m:oMathPara>
              </a14:m>
              <a:endParaRPr lang="en-US" sz="1100"/>
            </a:p>
          </xdr:txBody>
        </xdr:sp>
      </mc:Choice>
      <mc:Fallback xmlns="">
        <xdr:sp macro="" textlink="">
          <xdr:nvSpPr>
            <xdr:cNvPr id="16" name="TextBox 15"/>
            <xdr:cNvSpPr txBox="1"/>
          </xdr:nvSpPr>
          <xdr:spPr>
            <a:xfrm>
              <a:off x="1102761" y="17883285"/>
              <a:ext cx="1502036" cy="285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a:t>
              </a:r>
              <a:endParaRPr lang="en-US" sz="1100"/>
            </a:p>
          </xdr:txBody>
        </xdr:sp>
      </mc:Fallback>
    </mc:AlternateContent>
    <xdr:clientData/>
  </xdr:oneCellAnchor>
  <xdr:oneCellAnchor>
    <xdr:from>
      <xdr:col>8</xdr:col>
      <xdr:colOff>2196582</xdr:colOff>
      <xdr:row>109</xdr:row>
      <xdr:rowOff>116243</xdr:rowOff>
    </xdr:from>
    <xdr:ext cx="2468724" cy="297646"/>
    <mc:AlternateContent xmlns:mc="http://schemas.openxmlformats.org/markup-compatibility/2006" xmlns:a14="http://schemas.microsoft.com/office/drawing/2010/main">
      <mc:Choice Requires="a14">
        <xdr:sp macro="" textlink="">
          <xdr:nvSpPr>
            <xdr:cNvPr id="17" name="TextBox 16"/>
            <xdr:cNvSpPr txBox="1"/>
          </xdr:nvSpPr>
          <xdr:spPr>
            <a:xfrm>
              <a:off x="2196582" y="22616626"/>
              <a:ext cx="2468724" cy="297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a14:m>
              <a:r>
                <a:rPr lang="en-US" sz="1100"/>
                <a:t> </a:t>
              </a:r>
            </a:p>
          </xdr:txBody>
        </xdr:sp>
      </mc:Choice>
      <mc:Fallback xmlns="">
        <xdr:sp macro="" textlink="">
          <xdr:nvSpPr>
            <xdr:cNvPr id="17" name="TextBox 16"/>
            <xdr:cNvSpPr txBox="1"/>
          </xdr:nvSpPr>
          <xdr:spPr>
            <a:xfrm>
              <a:off x="2196582" y="22616626"/>
              <a:ext cx="2468724" cy="297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 </a:t>
              </a:r>
              <a:r>
                <a:rPr lang="en-US" sz="1100"/>
                <a:t> </a:t>
              </a:r>
            </a:p>
          </xdr:txBody>
        </xdr:sp>
      </mc:Fallback>
    </mc:AlternateContent>
    <xdr:clientData/>
  </xdr:oneCellAnchor>
  <xdr:oneCellAnchor>
    <xdr:from>
      <xdr:col>8</xdr:col>
      <xdr:colOff>2196582</xdr:colOff>
      <xdr:row>120</xdr:row>
      <xdr:rowOff>116243</xdr:rowOff>
    </xdr:from>
    <xdr:ext cx="2468724" cy="297646"/>
    <mc:AlternateContent xmlns:mc="http://schemas.openxmlformats.org/markup-compatibility/2006" xmlns:a14="http://schemas.microsoft.com/office/drawing/2010/main">
      <mc:Choice Requires="a14">
        <xdr:sp macro="" textlink="">
          <xdr:nvSpPr>
            <xdr:cNvPr id="18" name="TextBox 17"/>
            <xdr:cNvSpPr txBox="1"/>
          </xdr:nvSpPr>
          <xdr:spPr>
            <a:xfrm>
              <a:off x="2196582" y="24881243"/>
              <a:ext cx="2468724" cy="297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a14:m>
              <a:r>
                <a:rPr lang="en-US" sz="1100"/>
                <a:t> </a:t>
              </a:r>
            </a:p>
          </xdr:txBody>
        </xdr:sp>
      </mc:Choice>
      <mc:Fallback xmlns="">
        <xdr:sp macro="" textlink="">
          <xdr:nvSpPr>
            <xdr:cNvPr id="18" name="TextBox 17"/>
            <xdr:cNvSpPr txBox="1"/>
          </xdr:nvSpPr>
          <xdr:spPr>
            <a:xfrm>
              <a:off x="2196582" y="24881243"/>
              <a:ext cx="2468724" cy="297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i="0">
                  <a:latin typeface="Cambria Math"/>
                </a:rPr>
                <a:t>(</a:t>
              </a:r>
              <a:r>
                <a:rPr lang="en-US" sz="1100" b="0" i="0">
                  <a:latin typeface="Cambria Math"/>
                </a:rPr>
                <a:t>                                                                                                    )/ </a:t>
              </a:r>
              <a:r>
                <a:rPr lang="en-US" sz="1100"/>
                <a:t> </a:t>
              </a:r>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1100137</xdr:colOff>
      <xdr:row>69</xdr:row>
      <xdr:rowOff>76200</xdr:rowOff>
    </xdr:from>
    <xdr:ext cx="914400" cy="321050"/>
    <mc:AlternateContent xmlns:mc="http://schemas.openxmlformats.org/markup-compatibility/2006" xmlns:a14="http://schemas.microsoft.com/office/drawing/2010/main">
      <mc:Choice Requires="a14">
        <xdr:sp macro="" textlink="">
          <xdr:nvSpPr>
            <xdr:cNvPr id="2" name="TextBox 1"/>
            <xdr:cNvSpPr txBox="1"/>
          </xdr:nvSpPr>
          <xdr:spPr>
            <a:xfrm>
              <a:off x="1100137" y="137922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2" name="TextBox 1"/>
            <xdr:cNvSpPr txBox="1"/>
          </xdr:nvSpPr>
          <xdr:spPr>
            <a:xfrm>
              <a:off x="1100137" y="137922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1</xdr:col>
      <xdr:colOff>500062</xdr:colOff>
      <xdr:row>69</xdr:row>
      <xdr:rowOff>57150</xdr:rowOff>
    </xdr:from>
    <xdr:ext cx="914400" cy="321050"/>
    <mc:AlternateContent xmlns:mc="http://schemas.openxmlformats.org/markup-compatibility/2006" xmlns:a14="http://schemas.microsoft.com/office/drawing/2010/main">
      <mc:Choice Requires="a14">
        <xdr:sp macro="" textlink="">
          <xdr:nvSpPr>
            <xdr:cNvPr id="3" name="TextBox 2"/>
            <xdr:cNvSpPr txBox="1"/>
          </xdr:nvSpPr>
          <xdr:spPr>
            <a:xfrm>
              <a:off x="2366962" y="137731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3" name="TextBox 2"/>
            <xdr:cNvSpPr txBox="1"/>
          </xdr:nvSpPr>
          <xdr:spPr>
            <a:xfrm>
              <a:off x="2366962" y="137731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0</xdr:col>
      <xdr:colOff>1100137</xdr:colOff>
      <xdr:row>104</xdr:row>
      <xdr:rowOff>76200</xdr:rowOff>
    </xdr:from>
    <xdr:ext cx="914400" cy="321050"/>
    <mc:AlternateContent xmlns:mc="http://schemas.openxmlformats.org/markup-compatibility/2006" xmlns:a14="http://schemas.microsoft.com/office/drawing/2010/main">
      <mc:Choice Requires="a14">
        <xdr:sp macro="" textlink="">
          <xdr:nvSpPr>
            <xdr:cNvPr id="6" name="TextBox 5"/>
            <xdr:cNvSpPr txBox="1"/>
          </xdr:nvSpPr>
          <xdr:spPr>
            <a:xfrm>
              <a:off x="1100137" y="137922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6" name="TextBox 5"/>
            <xdr:cNvSpPr txBox="1"/>
          </xdr:nvSpPr>
          <xdr:spPr>
            <a:xfrm>
              <a:off x="1100137" y="137922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1</xdr:col>
      <xdr:colOff>500062</xdr:colOff>
      <xdr:row>104</xdr:row>
      <xdr:rowOff>57150</xdr:rowOff>
    </xdr:from>
    <xdr:ext cx="914400" cy="321050"/>
    <mc:AlternateContent xmlns:mc="http://schemas.openxmlformats.org/markup-compatibility/2006" xmlns:a14="http://schemas.microsoft.com/office/drawing/2010/main">
      <mc:Choice Requires="a14">
        <xdr:sp macro="" textlink="">
          <xdr:nvSpPr>
            <xdr:cNvPr id="7" name="TextBox 6"/>
            <xdr:cNvSpPr txBox="1"/>
          </xdr:nvSpPr>
          <xdr:spPr>
            <a:xfrm>
              <a:off x="2366962" y="137731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7" name="TextBox 6"/>
            <xdr:cNvSpPr txBox="1"/>
          </xdr:nvSpPr>
          <xdr:spPr>
            <a:xfrm>
              <a:off x="2366962" y="137731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0</xdr:col>
      <xdr:colOff>1100137</xdr:colOff>
      <xdr:row>115</xdr:row>
      <xdr:rowOff>76200</xdr:rowOff>
    </xdr:from>
    <xdr:ext cx="914400" cy="321050"/>
    <mc:AlternateContent xmlns:mc="http://schemas.openxmlformats.org/markup-compatibility/2006" xmlns:a14="http://schemas.microsoft.com/office/drawing/2010/main">
      <mc:Choice Requires="a14">
        <xdr:sp macro="" textlink="">
          <xdr:nvSpPr>
            <xdr:cNvPr id="10" name="TextBox 9"/>
            <xdr:cNvSpPr txBox="1"/>
          </xdr:nvSpPr>
          <xdr:spPr>
            <a:xfrm>
              <a:off x="1100137" y="208216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0" name="TextBox 9"/>
            <xdr:cNvSpPr txBox="1"/>
          </xdr:nvSpPr>
          <xdr:spPr>
            <a:xfrm>
              <a:off x="1100137" y="208216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1</xdr:col>
      <xdr:colOff>500062</xdr:colOff>
      <xdr:row>115</xdr:row>
      <xdr:rowOff>57150</xdr:rowOff>
    </xdr:from>
    <xdr:ext cx="914400" cy="321050"/>
    <mc:AlternateContent xmlns:mc="http://schemas.openxmlformats.org/markup-compatibility/2006" xmlns:a14="http://schemas.microsoft.com/office/drawing/2010/main">
      <mc:Choice Requires="a14">
        <xdr:sp macro="" textlink="">
          <xdr:nvSpPr>
            <xdr:cNvPr id="11" name="TextBox 10"/>
            <xdr:cNvSpPr txBox="1"/>
          </xdr:nvSpPr>
          <xdr:spPr>
            <a:xfrm>
              <a:off x="2366962" y="208026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1" name="TextBox 10"/>
            <xdr:cNvSpPr txBox="1"/>
          </xdr:nvSpPr>
          <xdr:spPr>
            <a:xfrm>
              <a:off x="2366962" y="208026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0</xdr:col>
      <xdr:colOff>1100137</xdr:colOff>
      <xdr:row>124</xdr:row>
      <xdr:rowOff>76200</xdr:rowOff>
    </xdr:from>
    <xdr:ext cx="914400" cy="321050"/>
    <mc:AlternateContent xmlns:mc="http://schemas.openxmlformats.org/markup-compatibility/2006" xmlns:a14="http://schemas.microsoft.com/office/drawing/2010/main">
      <mc:Choice Requires="a14">
        <xdr:sp macro="" textlink="">
          <xdr:nvSpPr>
            <xdr:cNvPr id="14" name="TextBox 13"/>
            <xdr:cNvSpPr txBox="1"/>
          </xdr:nvSpPr>
          <xdr:spPr>
            <a:xfrm>
              <a:off x="1100137" y="229743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4" name="TextBox 13"/>
            <xdr:cNvSpPr txBox="1"/>
          </xdr:nvSpPr>
          <xdr:spPr>
            <a:xfrm>
              <a:off x="1100137" y="229743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1</xdr:col>
      <xdr:colOff>500062</xdr:colOff>
      <xdr:row>124</xdr:row>
      <xdr:rowOff>57150</xdr:rowOff>
    </xdr:from>
    <xdr:ext cx="914400" cy="321050"/>
    <mc:AlternateContent xmlns:mc="http://schemas.openxmlformats.org/markup-compatibility/2006" xmlns:a14="http://schemas.microsoft.com/office/drawing/2010/main">
      <mc:Choice Requires="a14">
        <xdr:sp macro="" textlink="">
          <xdr:nvSpPr>
            <xdr:cNvPr id="15" name="TextBox 14"/>
            <xdr:cNvSpPr txBox="1"/>
          </xdr:nvSpPr>
          <xdr:spPr>
            <a:xfrm>
              <a:off x="2366962" y="229552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5" name="TextBox 14"/>
            <xdr:cNvSpPr txBox="1"/>
          </xdr:nvSpPr>
          <xdr:spPr>
            <a:xfrm>
              <a:off x="2366962" y="229552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0</xdr:col>
      <xdr:colOff>1100137</xdr:colOff>
      <xdr:row>138</xdr:row>
      <xdr:rowOff>76200</xdr:rowOff>
    </xdr:from>
    <xdr:ext cx="914400" cy="321050"/>
    <mc:AlternateContent xmlns:mc="http://schemas.openxmlformats.org/markup-compatibility/2006" xmlns:a14="http://schemas.microsoft.com/office/drawing/2010/main">
      <mc:Choice Requires="a14">
        <xdr:sp macro="" textlink="">
          <xdr:nvSpPr>
            <xdr:cNvPr id="18" name="TextBox 17"/>
            <xdr:cNvSpPr txBox="1"/>
          </xdr:nvSpPr>
          <xdr:spPr>
            <a:xfrm>
              <a:off x="1100137" y="247459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8" name="TextBox 17"/>
            <xdr:cNvSpPr txBox="1"/>
          </xdr:nvSpPr>
          <xdr:spPr>
            <a:xfrm>
              <a:off x="1100137" y="247459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1</xdr:col>
      <xdr:colOff>500062</xdr:colOff>
      <xdr:row>138</xdr:row>
      <xdr:rowOff>57150</xdr:rowOff>
    </xdr:from>
    <xdr:ext cx="914400" cy="321050"/>
    <mc:AlternateContent xmlns:mc="http://schemas.openxmlformats.org/markup-compatibility/2006" xmlns:a14="http://schemas.microsoft.com/office/drawing/2010/main">
      <mc:Choice Requires="a14">
        <xdr:sp macro="" textlink="">
          <xdr:nvSpPr>
            <xdr:cNvPr id="19" name="TextBox 18"/>
            <xdr:cNvSpPr txBox="1"/>
          </xdr:nvSpPr>
          <xdr:spPr>
            <a:xfrm>
              <a:off x="2366962" y="247269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9" name="TextBox 18"/>
            <xdr:cNvSpPr txBox="1"/>
          </xdr:nvSpPr>
          <xdr:spPr>
            <a:xfrm>
              <a:off x="2366962" y="247269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r>
                <a:rPr lang="en-US" sz="1100" b="0" i="0">
                  <a:latin typeface="Cambria Math"/>
                </a:rPr>
                <a:t> /(                          )</a:t>
              </a:r>
              <a:endParaRPr lang="en-US" sz="1100"/>
            </a:p>
          </xdr:txBody>
        </xdr:sp>
      </mc:Fallback>
    </mc:AlternateContent>
    <xdr:clientData/>
  </xdr:oneCellAnchor>
  <xdr:oneCellAnchor>
    <xdr:from>
      <xdr:col>11</xdr:col>
      <xdr:colOff>1100137</xdr:colOff>
      <xdr:row>69</xdr:row>
      <xdr:rowOff>76200</xdr:rowOff>
    </xdr:from>
    <xdr:ext cx="914400" cy="321050"/>
    <mc:AlternateContent xmlns:mc="http://schemas.openxmlformats.org/markup-compatibility/2006" xmlns:a14="http://schemas.microsoft.com/office/drawing/2010/main">
      <mc:Choice Requires="a14">
        <xdr:sp macro="" textlink="">
          <xdr:nvSpPr>
            <xdr:cNvPr id="12" name="TextBox 11"/>
            <xdr:cNvSpPr txBox="1"/>
          </xdr:nvSpPr>
          <xdr:spPr>
            <a:xfrm>
              <a:off x="1100137" y="151638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2" name="TextBox 11"/>
            <xdr:cNvSpPr txBox="1"/>
          </xdr:nvSpPr>
          <xdr:spPr>
            <a:xfrm>
              <a:off x="1100137" y="151638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oneCellAnchor>
    <xdr:from>
      <xdr:col>12</xdr:col>
      <xdr:colOff>500062</xdr:colOff>
      <xdr:row>69</xdr:row>
      <xdr:rowOff>57150</xdr:rowOff>
    </xdr:from>
    <xdr:ext cx="914400" cy="321050"/>
    <mc:AlternateContent xmlns:mc="http://schemas.openxmlformats.org/markup-compatibility/2006" xmlns:a14="http://schemas.microsoft.com/office/drawing/2010/main">
      <mc:Choice Requires="a14">
        <xdr:sp macro="" textlink="">
          <xdr:nvSpPr>
            <xdr:cNvPr id="13" name="TextBox 12"/>
            <xdr:cNvSpPr txBox="1"/>
          </xdr:nvSpPr>
          <xdr:spPr>
            <a:xfrm>
              <a:off x="2366962" y="151447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3" name="TextBox 12"/>
            <xdr:cNvSpPr txBox="1"/>
          </xdr:nvSpPr>
          <xdr:spPr>
            <a:xfrm>
              <a:off x="2366962" y="151447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oneCellAnchor>
    <xdr:from>
      <xdr:col>11</xdr:col>
      <xdr:colOff>1100137</xdr:colOff>
      <xdr:row>104</xdr:row>
      <xdr:rowOff>76200</xdr:rowOff>
    </xdr:from>
    <xdr:ext cx="914400" cy="321050"/>
    <mc:AlternateContent xmlns:mc="http://schemas.openxmlformats.org/markup-compatibility/2006" xmlns:a14="http://schemas.microsoft.com/office/drawing/2010/main">
      <mc:Choice Requires="a14">
        <xdr:sp macro="" textlink="">
          <xdr:nvSpPr>
            <xdr:cNvPr id="16" name="TextBox 15"/>
            <xdr:cNvSpPr txBox="1"/>
          </xdr:nvSpPr>
          <xdr:spPr>
            <a:xfrm>
              <a:off x="1100137" y="221742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6" name="TextBox 15"/>
            <xdr:cNvSpPr txBox="1"/>
          </xdr:nvSpPr>
          <xdr:spPr>
            <a:xfrm>
              <a:off x="1100137" y="221742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oneCellAnchor>
    <xdr:from>
      <xdr:col>12</xdr:col>
      <xdr:colOff>500062</xdr:colOff>
      <xdr:row>104</xdr:row>
      <xdr:rowOff>57150</xdr:rowOff>
    </xdr:from>
    <xdr:ext cx="914400" cy="321050"/>
    <mc:AlternateContent xmlns:mc="http://schemas.openxmlformats.org/markup-compatibility/2006" xmlns:a14="http://schemas.microsoft.com/office/drawing/2010/main">
      <mc:Choice Requires="a14">
        <xdr:sp macro="" textlink="">
          <xdr:nvSpPr>
            <xdr:cNvPr id="17" name="TextBox 16"/>
            <xdr:cNvSpPr txBox="1"/>
          </xdr:nvSpPr>
          <xdr:spPr>
            <a:xfrm>
              <a:off x="2366962" y="221551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17" name="TextBox 16"/>
            <xdr:cNvSpPr txBox="1"/>
          </xdr:nvSpPr>
          <xdr:spPr>
            <a:xfrm>
              <a:off x="2366962" y="221551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oneCellAnchor>
    <xdr:from>
      <xdr:col>11</xdr:col>
      <xdr:colOff>1100137</xdr:colOff>
      <xdr:row>115</xdr:row>
      <xdr:rowOff>76200</xdr:rowOff>
    </xdr:from>
    <xdr:ext cx="914400" cy="321050"/>
    <mc:AlternateContent xmlns:mc="http://schemas.openxmlformats.org/markup-compatibility/2006" xmlns:a14="http://schemas.microsoft.com/office/drawing/2010/main">
      <mc:Choice Requires="a14">
        <xdr:sp macro="" textlink="">
          <xdr:nvSpPr>
            <xdr:cNvPr id="20" name="TextBox 19"/>
            <xdr:cNvSpPr txBox="1"/>
          </xdr:nvSpPr>
          <xdr:spPr>
            <a:xfrm>
              <a:off x="1100137" y="243268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20" name="TextBox 19"/>
            <xdr:cNvSpPr txBox="1"/>
          </xdr:nvSpPr>
          <xdr:spPr>
            <a:xfrm>
              <a:off x="1100137" y="243268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oneCellAnchor>
    <xdr:from>
      <xdr:col>12</xdr:col>
      <xdr:colOff>500062</xdr:colOff>
      <xdr:row>115</xdr:row>
      <xdr:rowOff>57150</xdr:rowOff>
    </xdr:from>
    <xdr:ext cx="914400" cy="321050"/>
    <mc:AlternateContent xmlns:mc="http://schemas.openxmlformats.org/markup-compatibility/2006" xmlns:a14="http://schemas.microsoft.com/office/drawing/2010/main">
      <mc:Choice Requires="a14">
        <xdr:sp macro="" textlink="">
          <xdr:nvSpPr>
            <xdr:cNvPr id="21" name="TextBox 20"/>
            <xdr:cNvSpPr txBox="1"/>
          </xdr:nvSpPr>
          <xdr:spPr>
            <a:xfrm>
              <a:off x="2366962" y="243078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21" name="TextBox 20"/>
            <xdr:cNvSpPr txBox="1"/>
          </xdr:nvSpPr>
          <xdr:spPr>
            <a:xfrm>
              <a:off x="2366962" y="243078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oneCellAnchor>
    <xdr:from>
      <xdr:col>11</xdr:col>
      <xdr:colOff>1100137</xdr:colOff>
      <xdr:row>124</xdr:row>
      <xdr:rowOff>76200</xdr:rowOff>
    </xdr:from>
    <xdr:ext cx="914400" cy="321050"/>
    <mc:AlternateContent xmlns:mc="http://schemas.openxmlformats.org/markup-compatibility/2006" xmlns:a14="http://schemas.microsoft.com/office/drawing/2010/main">
      <mc:Choice Requires="a14">
        <xdr:sp macro="" textlink="">
          <xdr:nvSpPr>
            <xdr:cNvPr id="22" name="TextBox 21"/>
            <xdr:cNvSpPr txBox="1"/>
          </xdr:nvSpPr>
          <xdr:spPr>
            <a:xfrm>
              <a:off x="1100137" y="260985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22" name="TextBox 21"/>
            <xdr:cNvSpPr txBox="1"/>
          </xdr:nvSpPr>
          <xdr:spPr>
            <a:xfrm>
              <a:off x="1100137" y="260985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oneCellAnchor>
    <xdr:from>
      <xdr:col>12</xdr:col>
      <xdr:colOff>500062</xdr:colOff>
      <xdr:row>124</xdr:row>
      <xdr:rowOff>57150</xdr:rowOff>
    </xdr:from>
    <xdr:ext cx="914400" cy="321050"/>
    <mc:AlternateContent xmlns:mc="http://schemas.openxmlformats.org/markup-compatibility/2006" xmlns:a14="http://schemas.microsoft.com/office/drawing/2010/main">
      <mc:Choice Requires="a14">
        <xdr:sp macro="" textlink="">
          <xdr:nvSpPr>
            <xdr:cNvPr id="23" name="TextBox 22"/>
            <xdr:cNvSpPr txBox="1"/>
          </xdr:nvSpPr>
          <xdr:spPr>
            <a:xfrm>
              <a:off x="2366962" y="260794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23" name="TextBox 22"/>
            <xdr:cNvSpPr txBox="1"/>
          </xdr:nvSpPr>
          <xdr:spPr>
            <a:xfrm>
              <a:off x="2366962" y="260794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oneCellAnchor>
    <xdr:from>
      <xdr:col>11</xdr:col>
      <xdr:colOff>1100137</xdr:colOff>
      <xdr:row>138</xdr:row>
      <xdr:rowOff>76200</xdr:rowOff>
    </xdr:from>
    <xdr:ext cx="914400" cy="321050"/>
    <mc:AlternateContent xmlns:mc="http://schemas.openxmlformats.org/markup-compatibility/2006" xmlns:a14="http://schemas.microsoft.com/office/drawing/2010/main">
      <mc:Choice Requires="a14">
        <xdr:sp macro="" textlink="">
          <xdr:nvSpPr>
            <xdr:cNvPr id="24" name="TextBox 23"/>
            <xdr:cNvSpPr txBox="1"/>
          </xdr:nvSpPr>
          <xdr:spPr>
            <a:xfrm>
              <a:off x="1100137" y="288226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24" name="TextBox 23"/>
            <xdr:cNvSpPr txBox="1"/>
          </xdr:nvSpPr>
          <xdr:spPr>
            <a:xfrm>
              <a:off x="1100137" y="2882265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oneCellAnchor>
    <xdr:from>
      <xdr:col>12</xdr:col>
      <xdr:colOff>500062</xdr:colOff>
      <xdr:row>138</xdr:row>
      <xdr:rowOff>57150</xdr:rowOff>
    </xdr:from>
    <xdr:ext cx="914400" cy="321050"/>
    <mc:AlternateContent xmlns:mc="http://schemas.openxmlformats.org/markup-compatibility/2006" xmlns:a14="http://schemas.microsoft.com/office/drawing/2010/main">
      <mc:Choice Requires="a14">
        <xdr:sp macro="" textlink="">
          <xdr:nvSpPr>
            <xdr:cNvPr id="25" name="TextBox 24"/>
            <xdr:cNvSpPr txBox="1"/>
          </xdr:nvSpPr>
          <xdr:spPr>
            <a:xfrm>
              <a:off x="2366962" y="288036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25" name="TextBox 24"/>
            <xdr:cNvSpPr txBox="1"/>
          </xdr:nvSpPr>
          <xdr:spPr>
            <a:xfrm>
              <a:off x="2366962" y="28803600"/>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b="0" i="0">
                  <a:latin typeface="Cambria Math"/>
                </a:rPr>
                <a:t> /(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80" zoomScaleNormal="80" workbookViewId="0">
      <selection activeCell="C15" sqref="C15"/>
    </sheetView>
  </sheetViews>
  <sheetFormatPr defaultColWidth="9.140625" defaultRowHeight="15" x14ac:dyDescent="0.25"/>
  <cols>
    <col min="1" max="1" width="7.42578125" style="15" bestFit="1" customWidth="1"/>
    <col min="2" max="2" width="3.5703125" style="11" customWidth="1"/>
    <col min="3" max="3" width="48.28515625" style="10" bestFit="1" customWidth="1"/>
    <col min="4" max="4" width="4.42578125" style="6" customWidth="1"/>
    <col min="5" max="5" width="6.140625" style="15" bestFit="1" customWidth="1"/>
    <col min="6" max="6" width="3.85546875" style="11" customWidth="1"/>
    <col min="7" max="7" width="54" style="10" bestFit="1" customWidth="1"/>
    <col min="8" max="16384" width="9.140625" style="1"/>
  </cols>
  <sheetData>
    <row r="1" spans="1:7" x14ac:dyDescent="0.25">
      <c r="A1" s="144" t="s">
        <v>8</v>
      </c>
      <c r="B1" s="145"/>
      <c r="C1" s="145"/>
      <c r="D1" s="145"/>
      <c r="E1" s="145"/>
      <c r="F1" s="145"/>
      <c r="G1" s="145"/>
    </row>
    <row r="2" spans="1:7" ht="15.75" thickBot="1" x14ac:dyDescent="0.3">
      <c r="A2" s="146" t="s">
        <v>0</v>
      </c>
      <c r="B2" s="147"/>
      <c r="C2" s="147"/>
      <c r="D2" s="147"/>
      <c r="E2" s="147"/>
      <c r="F2" s="147"/>
      <c r="G2" s="147"/>
    </row>
    <row r="3" spans="1:7" ht="18" x14ac:dyDescent="0.25">
      <c r="A3" s="15" t="s">
        <v>9</v>
      </c>
      <c r="B3" s="9" t="s">
        <v>1</v>
      </c>
      <c r="C3" s="10" t="s">
        <v>438</v>
      </c>
      <c r="E3" s="15" t="s">
        <v>12</v>
      </c>
      <c r="F3" s="9" t="s">
        <v>1</v>
      </c>
      <c r="G3" s="10" t="s">
        <v>23</v>
      </c>
    </row>
    <row r="4" spans="1:7" ht="18" x14ac:dyDescent="0.25">
      <c r="A4" s="15" t="s">
        <v>439</v>
      </c>
      <c r="B4" s="9" t="s">
        <v>1</v>
      </c>
      <c r="C4" s="10" t="s">
        <v>440</v>
      </c>
      <c r="E4" s="15" t="s">
        <v>66</v>
      </c>
      <c r="F4" s="9" t="s">
        <v>1</v>
      </c>
      <c r="G4" s="10" t="s">
        <v>72</v>
      </c>
    </row>
    <row r="5" spans="1:7" ht="18" x14ac:dyDescent="0.25">
      <c r="A5" s="15" t="s">
        <v>441</v>
      </c>
      <c r="B5" s="9" t="s">
        <v>1</v>
      </c>
      <c r="C5" s="10" t="s">
        <v>442</v>
      </c>
      <c r="E5" s="15" t="s">
        <v>71</v>
      </c>
      <c r="F5" s="11" t="s">
        <v>1</v>
      </c>
      <c r="G5" s="10" t="s">
        <v>67</v>
      </c>
    </row>
    <row r="6" spans="1:7" x14ac:dyDescent="0.25">
      <c r="A6" s="15" t="s">
        <v>2</v>
      </c>
      <c r="B6" s="9" t="s">
        <v>1</v>
      </c>
      <c r="C6" s="10" t="s">
        <v>17</v>
      </c>
      <c r="E6" s="15" t="s">
        <v>68</v>
      </c>
      <c r="F6" s="9" t="s">
        <v>1</v>
      </c>
      <c r="G6" s="10" t="s">
        <v>69</v>
      </c>
    </row>
    <row r="7" spans="1:7" ht="16.5" x14ac:dyDescent="0.25">
      <c r="A7" s="15" t="s">
        <v>38</v>
      </c>
      <c r="B7" s="9" t="s">
        <v>1</v>
      </c>
      <c r="C7" s="10" t="s">
        <v>39</v>
      </c>
      <c r="E7" s="15" t="s">
        <v>443</v>
      </c>
      <c r="F7" s="9" t="s">
        <v>1</v>
      </c>
      <c r="G7" s="10" t="s">
        <v>70</v>
      </c>
    </row>
    <row r="8" spans="1:7" ht="16.5" x14ac:dyDescent="0.25">
      <c r="A8" s="15" t="s">
        <v>444</v>
      </c>
      <c r="B8" s="9" t="s">
        <v>1</v>
      </c>
      <c r="C8" s="10" t="s">
        <v>40</v>
      </c>
      <c r="E8" s="15" t="s">
        <v>73</v>
      </c>
      <c r="F8" s="9" t="s">
        <v>1</v>
      </c>
      <c r="G8" s="10" t="s">
        <v>74</v>
      </c>
    </row>
    <row r="9" spans="1:7" ht="16.5" x14ac:dyDescent="0.25">
      <c r="A9" s="15" t="s">
        <v>445</v>
      </c>
      <c r="B9" s="9" t="s">
        <v>1</v>
      </c>
      <c r="C9" s="10" t="s">
        <v>41</v>
      </c>
      <c r="E9" s="15" t="s">
        <v>5</v>
      </c>
      <c r="F9" s="9" t="s">
        <v>1</v>
      </c>
      <c r="G9" s="10" t="s">
        <v>24</v>
      </c>
    </row>
    <row r="10" spans="1:7" ht="18" x14ac:dyDescent="0.25">
      <c r="A10" s="15" t="s">
        <v>446</v>
      </c>
      <c r="B10" s="9" t="s">
        <v>1</v>
      </c>
      <c r="C10" s="10" t="s">
        <v>18</v>
      </c>
      <c r="E10" s="15" t="s">
        <v>32</v>
      </c>
      <c r="F10" s="9" t="s">
        <v>1</v>
      </c>
      <c r="G10" s="10" t="s">
        <v>447</v>
      </c>
    </row>
    <row r="11" spans="1:7" ht="16.5" customHeight="1" x14ac:dyDescent="0.25">
      <c r="A11" s="15" t="s">
        <v>448</v>
      </c>
      <c r="B11" s="9" t="s">
        <v>1</v>
      </c>
      <c r="C11" s="10" t="s">
        <v>42</v>
      </c>
      <c r="E11" s="15" t="s">
        <v>449</v>
      </c>
      <c r="F11" s="9" t="s">
        <v>1</v>
      </c>
      <c r="G11" s="10" t="s">
        <v>450</v>
      </c>
    </row>
    <row r="12" spans="1:7" ht="18" x14ac:dyDescent="0.25">
      <c r="A12" s="15" t="s">
        <v>451</v>
      </c>
      <c r="B12" s="9" t="s">
        <v>1</v>
      </c>
      <c r="C12" s="10" t="s">
        <v>43</v>
      </c>
      <c r="E12" s="15" t="s">
        <v>452</v>
      </c>
      <c r="F12" s="9" t="s">
        <v>1</v>
      </c>
      <c r="G12" s="10" t="s">
        <v>453</v>
      </c>
    </row>
    <row r="13" spans="1:7" ht="30" customHeight="1" x14ac:dyDescent="0.25">
      <c r="A13" s="15" t="s">
        <v>11</v>
      </c>
      <c r="B13" s="9" t="s">
        <v>1</v>
      </c>
      <c r="C13" s="10" t="s">
        <v>454</v>
      </c>
      <c r="E13" s="15" t="s">
        <v>13</v>
      </c>
      <c r="F13" s="9" t="s">
        <v>1</v>
      </c>
      <c r="G13" s="10" t="s">
        <v>455</v>
      </c>
    </row>
    <row r="14" spans="1:7" ht="34.5" customHeight="1" x14ac:dyDescent="0.25">
      <c r="A14" s="15" t="s">
        <v>55</v>
      </c>
      <c r="B14" s="9" t="s">
        <v>1</v>
      </c>
      <c r="C14" s="10" t="s">
        <v>56</v>
      </c>
      <c r="E14" s="15" t="s">
        <v>14</v>
      </c>
      <c r="F14" s="9" t="s">
        <v>1</v>
      </c>
      <c r="G14" s="10" t="s">
        <v>25</v>
      </c>
    </row>
    <row r="15" spans="1:7" ht="18.75" x14ac:dyDescent="0.25">
      <c r="A15" s="15" t="s">
        <v>53</v>
      </c>
      <c r="B15" s="11" t="s">
        <v>1</v>
      </c>
      <c r="C15" s="10" t="s">
        <v>54</v>
      </c>
      <c r="E15" s="15" t="s">
        <v>75</v>
      </c>
      <c r="F15" s="9" t="s">
        <v>1</v>
      </c>
      <c r="G15" s="10" t="s">
        <v>456</v>
      </c>
    </row>
    <row r="16" spans="1:7" ht="16.5" x14ac:dyDescent="0.25">
      <c r="A16" s="15" t="s">
        <v>457</v>
      </c>
      <c r="B16" s="9" t="s">
        <v>1</v>
      </c>
      <c r="C16" s="10" t="s">
        <v>44</v>
      </c>
      <c r="E16" s="15" t="s">
        <v>15</v>
      </c>
      <c r="F16" s="9" t="s">
        <v>1</v>
      </c>
      <c r="G16" s="10" t="s">
        <v>458</v>
      </c>
    </row>
    <row r="17" spans="1:7" x14ac:dyDescent="0.25">
      <c r="A17" s="15" t="s">
        <v>45</v>
      </c>
      <c r="B17" s="9" t="s">
        <v>1</v>
      </c>
      <c r="C17" s="10" t="s">
        <v>46</v>
      </c>
      <c r="E17" s="15" t="s">
        <v>16</v>
      </c>
      <c r="F17" s="9" t="s">
        <v>1</v>
      </c>
      <c r="G17" s="10" t="s">
        <v>26</v>
      </c>
    </row>
    <row r="18" spans="1:7" x14ac:dyDescent="0.25">
      <c r="A18" s="15" t="s">
        <v>47</v>
      </c>
      <c r="B18" s="9" t="s">
        <v>1</v>
      </c>
      <c r="C18" s="10" t="s">
        <v>48</v>
      </c>
      <c r="E18" s="15" t="s">
        <v>76</v>
      </c>
      <c r="F18" s="9" t="s">
        <v>1</v>
      </c>
      <c r="G18" s="10" t="s">
        <v>77</v>
      </c>
    </row>
    <row r="19" spans="1:7" ht="16.5" x14ac:dyDescent="0.25">
      <c r="A19" s="15" t="s">
        <v>49</v>
      </c>
      <c r="B19" s="9" t="s">
        <v>1</v>
      </c>
      <c r="C19" s="10" t="s">
        <v>50</v>
      </c>
      <c r="E19" s="15" t="s">
        <v>459</v>
      </c>
      <c r="F19" s="9" t="s">
        <v>1</v>
      </c>
      <c r="G19" s="10" t="s">
        <v>78</v>
      </c>
    </row>
    <row r="20" spans="1:7" ht="30" x14ac:dyDescent="0.25">
      <c r="A20" s="15" t="s">
        <v>51</v>
      </c>
      <c r="B20" s="9" t="s">
        <v>1</v>
      </c>
      <c r="C20" s="10" t="s">
        <v>52</v>
      </c>
      <c r="E20" s="15" t="s">
        <v>460</v>
      </c>
      <c r="F20" s="9" t="s">
        <v>1</v>
      </c>
      <c r="G20" s="10" t="s">
        <v>79</v>
      </c>
    </row>
    <row r="21" spans="1:7" ht="18" x14ac:dyDescent="0.25">
      <c r="A21" s="15" t="s">
        <v>10</v>
      </c>
      <c r="B21" s="9" t="s">
        <v>1</v>
      </c>
      <c r="C21" s="10" t="s">
        <v>461</v>
      </c>
      <c r="E21" s="15" t="s">
        <v>462</v>
      </c>
      <c r="F21" s="9" t="s">
        <v>1</v>
      </c>
      <c r="G21" s="10" t="s">
        <v>80</v>
      </c>
    </row>
    <row r="22" spans="1:7" ht="16.5" x14ac:dyDescent="0.25">
      <c r="A22" s="15" t="s">
        <v>3</v>
      </c>
      <c r="B22" s="9" t="s">
        <v>1</v>
      </c>
      <c r="C22" s="10" t="s">
        <v>19</v>
      </c>
      <c r="E22" s="15" t="s">
        <v>463</v>
      </c>
      <c r="F22" s="9" t="s">
        <v>1</v>
      </c>
      <c r="G22" s="10" t="s">
        <v>81</v>
      </c>
    </row>
    <row r="23" spans="1:7" ht="30" x14ac:dyDescent="0.25">
      <c r="A23" s="15" t="s">
        <v>464</v>
      </c>
      <c r="B23" s="9" t="s">
        <v>1</v>
      </c>
      <c r="C23" s="10" t="s">
        <v>20</v>
      </c>
      <c r="E23" s="15" t="s">
        <v>465</v>
      </c>
      <c r="F23" s="9" t="s">
        <v>1</v>
      </c>
      <c r="G23" s="10" t="s">
        <v>82</v>
      </c>
    </row>
    <row r="24" spans="1:7" ht="31.5" x14ac:dyDescent="0.25">
      <c r="A24" s="15" t="s">
        <v>4</v>
      </c>
      <c r="B24" s="9" t="s">
        <v>1</v>
      </c>
      <c r="C24" s="10" t="s">
        <v>21</v>
      </c>
      <c r="E24" s="15" t="s">
        <v>466</v>
      </c>
      <c r="F24" s="9" t="s">
        <v>1</v>
      </c>
      <c r="G24" s="10" t="s">
        <v>467</v>
      </c>
    </row>
    <row r="25" spans="1:7" ht="30" x14ac:dyDescent="0.25">
      <c r="A25" s="15" t="s">
        <v>468</v>
      </c>
      <c r="B25" s="9" t="s">
        <v>1</v>
      </c>
      <c r="C25" s="10" t="s">
        <v>57</v>
      </c>
      <c r="E25" s="15" t="s">
        <v>469</v>
      </c>
      <c r="F25" s="9" t="s">
        <v>1</v>
      </c>
      <c r="G25" s="10" t="s">
        <v>83</v>
      </c>
    </row>
    <row r="26" spans="1:7" ht="16.5" x14ac:dyDescent="0.25">
      <c r="A26" s="15" t="s">
        <v>58</v>
      </c>
      <c r="B26" s="9" t="s">
        <v>1</v>
      </c>
      <c r="C26" s="10" t="s">
        <v>59</v>
      </c>
      <c r="E26" s="15" t="s">
        <v>470</v>
      </c>
      <c r="F26" s="9" t="s">
        <v>1</v>
      </c>
      <c r="G26" s="10" t="s">
        <v>84</v>
      </c>
    </row>
    <row r="27" spans="1:7" x14ac:dyDescent="0.25">
      <c r="A27" s="15" t="s">
        <v>60</v>
      </c>
      <c r="B27" s="9" t="s">
        <v>1</v>
      </c>
      <c r="C27" s="10" t="s">
        <v>61</v>
      </c>
      <c r="E27" s="15" t="s">
        <v>7</v>
      </c>
      <c r="F27" s="9" t="s">
        <v>1</v>
      </c>
      <c r="G27" s="10" t="s">
        <v>27</v>
      </c>
    </row>
    <row r="28" spans="1:7" x14ac:dyDescent="0.25">
      <c r="A28" s="15" t="s">
        <v>62</v>
      </c>
      <c r="B28" s="9" t="s">
        <v>1</v>
      </c>
      <c r="C28" s="10" t="s">
        <v>63</v>
      </c>
      <c r="E28" s="148" t="s">
        <v>35</v>
      </c>
      <c r="F28" s="148"/>
      <c r="G28" s="148"/>
    </row>
    <row r="29" spans="1:7" ht="30" x14ac:dyDescent="0.25">
      <c r="A29" s="15" t="s">
        <v>64</v>
      </c>
      <c r="B29" s="9" t="s">
        <v>1</v>
      </c>
      <c r="C29" s="10" t="s">
        <v>65</v>
      </c>
      <c r="E29" s="13" t="s">
        <v>86</v>
      </c>
      <c r="F29" s="13" t="s">
        <v>1</v>
      </c>
      <c r="G29" s="14" t="s">
        <v>87</v>
      </c>
    </row>
    <row r="30" spans="1:7" ht="18" x14ac:dyDescent="0.25">
      <c r="A30" s="15" t="s">
        <v>471</v>
      </c>
      <c r="B30" s="9" t="s">
        <v>1</v>
      </c>
      <c r="C30" s="10" t="s">
        <v>22</v>
      </c>
      <c r="E30" s="13" t="s">
        <v>472</v>
      </c>
      <c r="F30" s="12" t="s">
        <v>1</v>
      </c>
      <c r="G30" s="12" t="s">
        <v>473</v>
      </c>
    </row>
    <row r="31" spans="1:7" ht="18" x14ac:dyDescent="0.25">
      <c r="A31" s="16"/>
      <c r="B31" s="6"/>
      <c r="C31" s="6"/>
      <c r="E31" s="15" t="s">
        <v>474</v>
      </c>
      <c r="F31" s="9" t="s">
        <v>1</v>
      </c>
      <c r="G31" s="10" t="s">
        <v>475</v>
      </c>
    </row>
    <row r="32" spans="1:7" ht="18" x14ac:dyDescent="0.25">
      <c r="B32" s="9"/>
      <c r="E32" s="15" t="s">
        <v>476</v>
      </c>
      <c r="F32" s="9" t="s">
        <v>1</v>
      </c>
      <c r="G32" s="10" t="s">
        <v>477</v>
      </c>
    </row>
    <row r="33" spans="1:7" ht="18" x14ac:dyDescent="0.25">
      <c r="B33" s="9"/>
      <c r="E33" s="13" t="s">
        <v>269</v>
      </c>
      <c r="F33" s="12" t="s">
        <v>1</v>
      </c>
      <c r="G33" s="10" t="s">
        <v>478</v>
      </c>
    </row>
    <row r="34" spans="1:7" ht="18" x14ac:dyDescent="0.25">
      <c r="B34" s="9"/>
      <c r="E34" s="13" t="s">
        <v>271</v>
      </c>
      <c r="F34" s="12" t="s">
        <v>1</v>
      </c>
      <c r="G34" s="10" t="s">
        <v>479</v>
      </c>
    </row>
    <row r="35" spans="1:7" ht="18" x14ac:dyDescent="0.25">
      <c r="B35" s="9"/>
      <c r="E35" s="13" t="s">
        <v>125</v>
      </c>
      <c r="F35" s="12" t="s">
        <v>1</v>
      </c>
      <c r="G35" s="10" t="s">
        <v>480</v>
      </c>
    </row>
    <row r="36" spans="1:7" ht="15.75" customHeight="1" x14ac:dyDescent="0.25">
      <c r="B36" s="9"/>
      <c r="E36" s="13" t="s">
        <v>481</v>
      </c>
      <c r="F36" s="12" t="s">
        <v>1</v>
      </c>
      <c r="G36" s="10" t="s">
        <v>482</v>
      </c>
    </row>
    <row r="37" spans="1:7" ht="28.5" customHeight="1" x14ac:dyDescent="0.25">
      <c r="B37" s="9"/>
      <c r="E37" s="17" t="s">
        <v>483</v>
      </c>
      <c r="F37" s="9" t="s">
        <v>1</v>
      </c>
      <c r="G37" s="10" t="s">
        <v>85</v>
      </c>
    </row>
    <row r="38" spans="1:7" ht="16.5" x14ac:dyDescent="0.25">
      <c r="E38" s="15" t="s">
        <v>123</v>
      </c>
      <c r="F38" s="9" t="s">
        <v>1</v>
      </c>
      <c r="G38" s="10" t="s">
        <v>88</v>
      </c>
    </row>
    <row r="39" spans="1:7" ht="18.75" customHeight="1" x14ac:dyDescent="0.25">
      <c r="E39" s="18" t="s">
        <v>484</v>
      </c>
      <c r="F39" s="9" t="s">
        <v>1</v>
      </c>
      <c r="G39" s="10" t="s">
        <v>94</v>
      </c>
    </row>
    <row r="40" spans="1:7" ht="16.5" x14ac:dyDescent="0.25">
      <c r="E40" s="15" t="s">
        <v>268</v>
      </c>
      <c r="F40" s="9" t="s">
        <v>1</v>
      </c>
      <c r="G40" s="10" t="s">
        <v>89</v>
      </c>
    </row>
    <row r="41" spans="1:7" ht="16.5" x14ac:dyDescent="0.25">
      <c r="E41" s="15" t="s">
        <v>485</v>
      </c>
      <c r="F41" s="9" t="s">
        <v>1</v>
      </c>
      <c r="G41" s="10" t="s">
        <v>93</v>
      </c>
    </row>
    <row r="42" spans="1:7" x14ac:dyDescent="0.25">
      <c r="E42" s="17" t="s">
        <v>91</v>
      </c>
      <c r="F42" s="9" t="s">
        <v>1</v>
      </c>
      <c r="G42" s="10" t="s">
        <v>90</v>
      </c>
    </row>
    <row r="43" spans="1:7" x14ac:dyDescent="0.25">
      <c r="E43" s="17" t="s">
        <v>92</v>
      </c>
      <c r="F43" s="9" t="s">
        <v>1</v>
      </c>
      <c r="G43" s="10" t="s">
        <v>95</v>
      </c>
    </row>
    <row r="45" spans="1:7" x14ac:dyDescent="0.25">
      <c r="A45" s="118" t="s">
        <v>493</v>
      </c>
    </row>
    <row r="46" spans="1:7" x14ac:dyDescent="0.25">
      <c r="A46" s="118" t="s">
        <v>494</v>
      </c>
    </row>
    <row r="47" spans="1:7" ht="21" customHeight="1" x14ac:dyDescent="0.25">
      <c r="A47" s="118" t="s">
        <v>495</v>
      </c>
    </row>
    <row r="48" spans="1:7" x14ac:dyDescent="0.25">
      <c r="A48" s="118" t="s">
        <v>496</v>
      </c>
    </row>
    <row r="49" spans="1:1" x14ac:dyDescent="0.25">
      <c r="A49" s="118" t="s">
        <v>497</v>
      </c>
    </row>
  </sheetData>
  <sheetProtection password="F030" sheet="1" objects="1" scenarios="1"/>
  <mergeCells count="3">
    <mergeCell ref="A1:G1"/>
    <mergeCell ref="A2:G2"/>
    <mergeCell ref="E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zoomScale="80" zoomScaleNormal="80" workbookViewId="0">
      <selection activeCell="K7" sqref="K7"/>
    </sheetView>
  </sheetViews>
  <sheetFormatPr defaultColWidth="9.140625" defaultRowHeight="15" x14ac:dyDescent="0.25"/>
  <cols>
    <col min="1" max="1" width="26.5703125" style="2" customWidth="1"/>
    <col min="2" max="2" width="16.7109375" style="5" customWidth="1"/>
    <col min="3" max="3" width="14.42578125" style="5" customWidth="1"/>
    <col min="4" max="4" width="12.85546875" style="2" customWidth="1"/>
    <col min="5" max="6" width="9.140625" style="2"/>
    <col min="7" max="7" width="11.7109375" style="2" bestFit="1" customWidth="1"/>
    <col min="8" max="8" width="9.140625" style="2"/>
    <col min="9" max="9" width="26.5703125" style="2" customWidth="1"/>
    <col min="10" max="10" width="16" style="5" customWidth="1"/>
    <col min="11" max="11" width="19.140625" style="5" customWidth="1"/>
    <col min="12" max="12" width="11.85546875" style="2" customWidth="1"/>
    <col min="13" max="14" width="9.140625" style="2"/>
    <col min="15" max="15" width="13" style="2" customWidth="1"/>
    <col min="16" max="16384" width="9.140625" style="2"/>
  </cols>
  <sheetData>
    <row r="1" spans="1:15" ht="63.75" customHeight="1" x14ac:dyDescent="0.25">
      <c r="A1" s="152" t="s">
        <v>96</v>
      </c>
      <c r="B1" s="152"/>
      <c r="C1" s="152"/>
      <c r="D1" s="152"/>
      <c r="E1" s="152"/>
      <c r="F1" s="19"/>
      <c r="G1" s="19"/>
      <c r="H1" s="3"/>
      <c r="I1" s="156" t="s">
        <v>107</v>
      </c>
      <c r="J1" s="156"/>
      <c r="K1" s="156"/>
      <c r="L1" s="156"/>
      <c r="M1" s="156"/>
      <c r="N1" s="62"/>
      <c r="O1" s="62"/>
    </row>
    <row r="2" spans="1:15" x14ac:dyDescent="0.25">
      <c r="A2" s="20"/>
      <c r="B2" s="21"/>
      <c r="C2" s="21"/>
      <c r="D2" s="20"/>
      <c r="E2" s="19"/>
      <c r="F2" s="19"/>
      <c r="G2" s="19"/>
      <c r="H2" s="3"/>
      <c r="I2" s="63"/>
      <c r="J2" s="64"/>
      <c r="K2" s="64"/>
      <c r="L2" s="63"/>
      <c r="M2" s="62"/>
      <c r="N2" s="62"/>
      <c r="O2" s="62"/>
    </row>
    <row r="3" spans="1:15" x14ac:dyDescent="0.25">
      <c r="A3" s="22" t="s">
        <v>97</v>
      </c>
      <c r="B3" s="23"/>
      <c r="C3" s="23"/>
      <c r="D3" s="22"/>
      <c r="E3" s="22"/>
      <c r="F3" s="22"/>
      <c r="G3" s="22"/>
      <c r="H3" s="3"/>
      <c r="I3" s="65" t="s">
        <v>97</v>
      </c>
      <c r="J3" s="66"/>
      <c r="K3" s="66"/>
      <c r="L3" s="65"/>
      <c r="M3" s="65"/>
      <c r="N3" s="65"/>
      <c r="O3" s="65"/>
    </row>
    <row r="4" spans="1:15" ht="18.75" x14ac:dyDescent="0.3">
      <c r="A4" s="24" t="s">
        <v>124</v>
      </c>
      <c r="B4" s="25" t="s">
        <v>120</v>
      </c>
      <c r="C4" s="21">
        <v>2.0699999999999998</v>
      </c>
      <c r="D4" s="20" t="s">
        <v>33</v>
      </c>
      <c r="E4" s="22"/>
      <c r="F4" s="22"/>
      <c r="G4" s="22"/>
      <c r="H4" s="3"/>
      <c r="I4" s="67" t="s">
        <v>124</v>
      </c>
      <c r="J4" s="68" t="s">
        <v>120</v>
      </c>
      <c r="K4" s="69">
        <v>2.0699999999999998</v>
      </c>
      <c r="L4" s="63" t="s">
        <v>33</v>
      </c>
      <c r="M4" s="65"/>
      <c r="N4" s="65"/>
      <c r="O4" s="65"/>
    </row>
    <row r="5" spans="1:15" ht="16.5" x14ac:dyDescent="0.3">
      <c r="A5" s="26" t="s">
        <v>123</v>
      </c>
      <c r="B5" s="25" t="s">
        <v>120</v>
      </c>
      <c r="C5" s="23">
        <v>1.2E-2</v>
      </c>
      <c r="D5" s="20" t="s">
        <v>264</v>
      </c>
      <c r="E5" s="22"/>
      <c r="F5" s="22"/>
      <c r="G5" s="22"/>
      <c r="H5" s="3"/>
      <c r="I5" s="70" t="s">
        <v>123</v>
      </c>
      <c r="J5" s="68" t="s">
        <v>120</v>
      </c>
      <c r="K5" s="71">
        <v>1.2E-2</v>
      </c>
      <c r="L5" s="63" t="s">
        <v>264</v>
      </c>
      <c r="M5" s="65"/>
      <c r="N5" s="65"/>
      <c r="O5" s="65"/>
    </row>
    <row r="6" spans="1:15" ht="18.75" x14ac:dyDescent="0.3">
      <c r="A6" s="24" t="s">
        <v>265</v>
      </c>
      <c r="B6" s="25" t="s">
        <v>1</v>
      </c>
      <c r="C6" s="23">
        <v>31.2</v>
      </c>
      <c r="D6" s="20" t="s">
        <v>33</v>
      </c>
      <c r="E6" s="22"/>
      <c r="F6" s="22"/>
      <c r="G6" s="22"/>
      <c r="H6" s="3"/>
      <c r="I6" s="67" t="s">
        <v>265</v>
      </c>
      <c r="J6" s="68" t="s">
        <v>1</v>
      </c>
      <c r="K6" s="71">
        <v>31.2</v>
      </c>
      <c r="L6" s="63" t="s">
        <v>33</v>
      </c>
      <c r="M6" s="65"/>
      <c r="N6" s="65"/>
      <c r="O6" s="65"/>
    </row>
    <row r="7" spans="1:15" ht="15" customHeight="1" x14ac:dyDescent="0.3">
      <c r="A7" s="22"/>
      <c r="B7" s="23"/>
      <c r="C7" s="23"/>
      <c r="D7" s="22"/>
      <c r="E7" s="22"/>
      <c r="F7" s="22"/>
      <c r="G7" s="22"/>
      <c r="H7" s="3"/>
      <c r="I7" s="70" t="s">
        <v>389</v>
      </c>
      <c r="J7" s="66" t="s">
        <v>1</v>
      </c>
      <c r="K7" s="71">
        <v>150</v>
      </c>
      <c r="L7" s="65" t="s">
        <v>390</v>
      </c>
      <c r="M7" s="65"/>
      <c r="N7" s="65"/>
      <c r="O7" s="65"/>
    </row>
    <row r="8" spans="1:15" ht="16.5" x14ac:dyDescent="0.3">
      <c r="A8" s="22" t="s">
        <v>99</v>
      </c>
      <c r="B8" s="23"/>
      <c r="C8" s="23" t="s">
        <v>1</v>
      </c>
      <c r="D8" s="22" t="s">
        <v>388</v>
      </c>
      <c r="E8" s="22"/>
      <c r="F8" s="22"/>
      <c r="G8" s="22"/>
      <c r="H8" s="3"/>
      <c r="I8" s="65" t="s">
        <v>99</v>
      </c>
      <c r="J8" s="66"/>
      <c r="K8" s="66" t="s">
        <v>1</v>
      </c>
      <c r="L8" s="72">
        <f>K7*0.00003937/12</f>
        <v>4.9212499999999994E-4</v>
      </c>
      <c r="M8" s="65" t="s">
        <v>31</v>
      </c>
      <c r="N8" s="65"/>
      <c r="O8" s="65"/>
    </row>
    <row r="9" spans="1:15" x14ac:dyDescent="0.25">
      <c r="A9" s="27"/>
      <c r="B9" s="23"/>
      <c r="C9" s="23"/>
      <c r="D9" s="22"/>
      <c r="E9" s="22"/>
      <c r="F9" s="22"/>
      <c r="G9" s="22"/>
      <c r="H9" s="3"/>
      <c r="I9" s="73"/>
      <c r="J9" s="70"/>
      <c r="K9" s="74"/>
      <c r="L9" s="65"/>
      <c r="M9" s="65"/>
      <c r="N9" s="65"/>
      <c r="O9" s="65"/>
    </row>
    <row r="10" spans="1:15" x14ac:dyDescent="0.25">
      <c r="A10" s="22"/>
      <c r="B10" s="23"/>
      <c r="C10" s="23"/>
      <c r="D10" s="22"/>
      <c r="E10" s="22"/>
      <c r="F10" s="22"/>
      <c r="G10" s="22"/>
      <c r="H10" s="3"/>
      <c r="I10" s="65"/>
      <c r="J10" s="66"/>
      <c r="K10" s="66"/>
      <c r="L10" s="65"/>
      <c r="M10" s="65"/>
      <c r="N10" s="65"/>
      <c r="O10" s="65"/>
    </row>
    <row r="11" spans="1:15" x14ac:dyDescent="0.25">
      <c r="A11" s="22" t="s">
        <v>98</v>
      </c>
      <c r="B11" s="23"/>
      <c r="C11" s="23"/>
      <c r="D11" s="22"/>
      <c r="E11" s="22"/>
      <c r="F11" s="22"/>
      <c r="G11" s="22"/>
      <c r="H11" s="3"/>
      <c r="I11" s="65" t="s">
        <v>98</v>
      </c>
      <c r="J11" s="66"/>
      <c r="K11" s="66"/>
      <c r="L11" s="65"/>
      <c r="M11" s="65"/>
      <c r="N11" s="65"/>
      <c r="O11" s="65"/>
    </row>
    <row r="12" spans="1:15" ht="18" x14ac:dyDescent="0.25">
      <c r="A12" s="22" t="s">
        <v>102</v>
      </c>
      <c r="B12" s="23"/>
      <c r="C12" s="23"/>
      <c r="D12" s="22"/>
      <c r="E12" s="22"/>
      <c r="F12" s="22"/>
      <c r="G12" s="22"/>
      <c r="H12" s="3"/>
      <c r="I12" s="65" t="s">
        <v>102</v>
      </c>
      <c r="J12" s="66"/>
      <c r="K12" s="66"/>
      <c r="L12" s="65"/>
      <c r="M12" s="65"/>
      <c r="N12" s="65"/>
      <c r="O12" s="65"/>
    </row>
    <row r="13" spans="1:15" x14ac:dyDescent="0.25">
      <c r="A13" s="22"/>
      <c r="B13" s="23"/>
      <c r="C13" s="28" t="s">
        <v>392</v>
      </c>
      <c r="D13" s="22"/>
      <c r="E13" s="22"/>
      <c r="F13" s="22"/>
      <c r="G13" s="22"/>
      <c r="H13" s="3"/>
      <c r="I13" s="65"/>
      <c r="J13" s="70" t="s">
        <v>1</v>
      </c>
      <c r="K13" s="75">
        <f>0.95*100000000*K4*(L8^3)*(K6-K4)/(K5^2)</f>
        <v>4741.3086358635155</v>
      </c>
      <c r="L13" s="65"/>
      <c r="M13" s="65"/>
      <c r="N13" s="65"/>
      <c r="O13" s="65"/>
    </row>
    <row r="14" spans="1:15" x14ac:dyDescent="0.25">
      <c r="A14" s="22"/>
      <c r="B14" s="23"/>
      <c r="C14" s="23"/>
      <c r="D14" s="22"/>
      <c r="E14" s="22"/>
      <c r="F14" s="22"/>
      <c r="G14" s="22"/>
      <c r="H14" s="3"/>
      <c r="I14" s="65"/>
      <c r="J14" s="66"/>
      <c r="K14" s="66"/>
      <c r="L14" s="65"/>
      <c r="M14" s="65"/>
      <c r="N14" s="65"/>
      <c r="O14" s="65"/>
    </row>
    <row r="15" spans="1:15" ht="13.9" customHeight="1" x14ac:dyDescent="0.25">
      <c r="A15" s="22" t="s">
        <v>100</v>
      </c>
      <c r="B15" s="23"/>
      <c r="C15" s="23"/>
      <c r="D15" s="22"/>
      <c r="E15" s="22"/>
      <c r="F15" s="22"/>
      <c r="G15" s="22"/>
      <c r="H15" s="3"/>
      <c r="I15" s="65" t="s">
        <v>391</v>
      </c>
      <c r="J15" s="66"/>
      <c r="K15" s="71">
        <v>1.4</v>
      </c>
      <c r="L15" s="65"/>
      <c r="M15" s="65"/>
      <c r="N15" s="65"/>
      <c r="O15" s="65"/>
    </row>
    <row r="16" spans="1:15" x14ac:dyDescent="0.25">
      <c r="A16" s="22"/>
      <c r="B16" s="23"/>
      <c r="C16" s="23"/>
      <c r="D16" s="22"/>
      <c r="E16" s="22"/>
      <c r="F16" s="22"/>
      <c r="G16" s="22"/>
      <c r="H16" s="3"/>
      <c r="I16" s="65"/>
      <c r="J16" s="66"/>
      <c r="K16" s="66"/>
      <c r="L16" s="65"/>
      <c r="M16" s="65"/>
      <c r="N16" s="65"/>
      <c r="O16" s="65"/>
    </row>
    <row r="17" spans="1:15" x14ac:dyDescent="0.25">
      <c r="A17" s="22" t="s">
        <v>101</v>
      </c>
      <c r="B17" s="23"/>
      <c r="C17" s="23"/>
      <c r="D17" s="22"/>
      <c r="E17" s="22"/>
      <c r="F17" s="22"/>
      <c r="G17" s="22"/>
      <c r="H17" s="3"/>
      <c r="I17" s="65" t="s">
        <v>101</v>
      </c>
      <c r="J17" s="66"/>
      <c r="K17" s="66"/>
      <c r="L17" s="65"/>
      <c r="M17" s="65"/>
      <c r="N17" s="65"/>
      <c r="O17" s="65"/>
    </row>
    <row r="18" spans="1:15" x14ac:dyDescent="0.25">
      <c r="A18" s="22"/>
      <c r="B18" s="23"/>
      <c r="C18" s="23"/>
      <c r="D18" s="22"/>
      <c r="E18" s="22"/>
      <c r="F18" s="22"/>
      <c r="G18" s="22"/>
      <c r="H18" s="3"/>
      <c r="I18" s="65"/>
      <c r="J18" s="66"/>
      <c r="K18" s="66"/>
      <c r="L18" s="65"/>
      <c r="M18" s="65"/>
      <c r="N18" s="65"/>
      <c r="O18" s="65"/>
    </row>
    <row r="19" spans="1:15" ht="18" x14ac:dyDescent="0.25">
      <c r="A19" s="153" t="s">
        <v>106</v>
      </c>
      <c r="B19" s="29" t="s">
        <v>103</v>
      </c>
      <c r="C19" s="23"/>
      <c r="D19" s="22"/>
      <c r="E19" s="155" t="s">
        <v>1</v>
      </c>
      <c r="F19" s="155" t="s">
        <v>105</v>
      </c>
      <c r="G19" s="22"/>
      <c r="H19" s="3"/>
      <c r="I19" s="157" t="s">
        <v>106</v>
      </c>
      <c r="J19" s="74" t="s">
        <v>103</v>
      </c>
      <c r="K19" s="66"/>
      <c r="L19" s="158" t="s">
        <v>1</v>
      </c>
      <c r="M19" s="150">
        <f>((4*32.2*L8*(K6-K4))/(3*K4*K15))^0.5</f>
        <v>0.4608462626275468</v>
      </c>
      <c r="N19" s="149" t="s">
        <v>34</v>
      </c>
      <c r="O19" s="65"/>
    </row>
    <row r="20" spans="1:15" ht="13.9" customHeight="1" x14ac:dyDescent="0.25">
      <c r="A20" s="153"/>
      <c r="B20" s="154" t="s">
        <v>104</v>
      </c>
      <c r="C20" s="154"/>
      <c r="D20" s="22"/>
      <c r="E20" s="155"/>
      <c r="F20" s="155"/>
      <c r="G20" s="22"/>
      <c r="H20" s="3"/>
      <c r="I20" s="157"/>
      <c r="J20" s="151" t="s">
        <v>104</v>
      </c>
      <c r="K20" s="151"/>
      <c r="L20" s="158"/>
      <c r="M20" s="150"/>
      <c r="N20" s="149"/>
      <c r="O20" s="65"/>
    </row>
    <row r="21" spans="1:15" x14ac:dyDescent="0.25">
      <c r="A21" s="30"/>
      <c r="B21" s="31"/>
      <c r="C21" s="31"/>
      <c r="D21" s="30"/>
      <c r="E21" s="30"/>
      <c r="F21" s="30"/>
      <c r="G21" s="30"/>
      <c r="H21" s="3"/>
      <c r="I21" s="61"/>
      <c r="J21" s="61"/>
      <c r="K21" s="61"/>
      <c r="L21" s="61"/>
      <c r="M21" s="61"/>
      <c r="N21" s="61"/>
      <c r="O21" s="61"/>
    </row>
    <row r="22" spans="1:15" x14ac:dyDescent="0.25">
      <c r="H22" s="3"/>
      <c r="J22" s="2"/>
      <c r="K22" s="2"/>
    </row>
    <row r="23" spans="1:15" x14ac:dyDescent="0.25">
      <c r="A23" s="118" t="s">
        <v>493</v>
      </c>
      <c r="H23" s="3"/>
      <c r="J23" s="2"/>
      <c r="K23" s="2"/>
    </row>
    <row r="24" spans="1:15" ht="15" customHeight="1" x14ac:dyDescent="0.25">
      <c r="A24" s="118" t="s">
        <v>494</v>
      </c>
      <c r="H24" s="3"/>
      <c r="J24" s="2"/>
      <c r="K24" s="2"/>
    </row>
    <row r="25" spans="1:15" x14ac:dyDescent="0.25">
      <c r="A25" s="118" t="s">
        <v>495</v>
      </c>
      <c r="H25" s="3"/>
      <c r="J25" s="2"/>
      <c r="K25" s="2"/>
    </row>
    <row r="26" spans="1:15" x14ac:dyDescent="0.25">
      <c r="A26" s="118" t="s">
        <v>496</v>
      </c>
      <c r="H26" s="3"/>
      <c r="J26" s="2"/>
      <c r="K26" s="2"/>
    </row>
    <row r="27" spans="1:15" x14ac:dyDescent="0.25">
      <c r="A27" s="118" t="s">
        <v>497</v>
      </c>
      <c r="H27" s="3"/>
      <c r="J27" s="2"/>
      <c r="K27" s="2"/>
    </row>
    <row r="28" spans="1:15" ht="13.9" customHeight="1" x14ac:dyDescent="0.25">
      <c r="H28" s="3"/>
      <c r="J28" s="2"/>
      <c r="K28" s="2"/>
    </row>
    <row r="29" spans="1:15" x14ac:dyDescent="0.25">
      <c r="H29" s="3"/>
      <c r="J29" s="2"/>
      <c r="K29" s="2"/>
    </row>
    <row r="30" spans="1:15" x14ac:dyDescent="0.25">
      <c r="H30" s="3"/>
      <c r="J30" s="2"/>
      <c r="K30" s="2"/>
    </row>
    <row r="31" spans="1:15" x14ac:dyDescent="0.25">
      <c r="H31" s="3"/>
      <c r="J31" s="2"/>
      <c r="K31" s="2"/>
    </row>
    <row r="32" spans="1:15" ht="13.9" customHeight="1" x14ac:dyDescent="0.25">
      <c r="H32" s="3"/>
      <c r="J32" s="2"/>
      <c r="K32" s="2"/>
    </row>
    <row r="33" spans="8:11" x14ac:dyDescent="0.25">
      <c r="H33" s="3"/>
      <c r="J33" s="2"/>
      <c r="K33" s="2"/>
    </row>
    <row r="34" spans="8:11" x14ac:dyDescent="0.25">
      <c r="H34" s="3"/>
      <c r="J34" s="2"/>
      <c r="K34" s="2"/>
    </row>
    <row r="35" spans="8:11" x14ac:dyDescent="0.25">
      <c r="H35" s="3"/>
      <c r="J35" s="2"/>
      <c r="K35" s="2"/>
    </row>
    <row r="36" spans="8:11" x14ac:dyDescent="0.25">
      <c r="H36" s="3"/>
      <c r="J36" s="2"/>
      <c r="K36" s="2"/>
    </row>
    <row r="37" spans="8:11" x14ac:dyDescent="0.25">
      <c r="H37" s="3"/>
      <c r="J37" s="2"/>
      <c r="K37" s="2"/>
    </row>
    <row r="38" spans="8:11" x14ac:dyDescent="0.25">
      <c r="H38" s="3"/>
      <c r="J38" s="2"/>
      <c r="K38" s="2"/>
    </row>
    <row r="39" spans="8:11" x14ac:dyDescent="0.25">
      <c r="H39" s="3"/>
      <c r="J39" s="2"/>
      <c r="K39" s="2"/>
    </row>
    <row r="40" spans="8:11" x14ac:dyDescent="0.25">
      <c r="H40" s="3"/>
      <c r="J40" s="2"/>
      <c r="K40" s="2"/>
    </row>
    <row r="41" spans="8:11" x14ac:dyDescent="0.25">
      <c r="H41" s="3"/>
      <c r="J41" s="2"/>
      <c r="K41" s="2"/>
    </row>
    <row r="42" spans="8:11" x14ac:dyDescent="0.25">
      <c r="H42" s="3"/>
      <c r="J42" s="2"/>
      <c r="K42" s="2"/>
    </row>
    <row r="43" spans="8:11" x14ac:dyDescent="0.25">
      <c r="H43" s="3"/>
      <c r="J43" s="2"/>
      <c r="K43" s="2"/>
    </row>
    <row r="44" spans="8:11" x14ac:dyDescent="0.25">
      <c r="H44" s="3"/>
      <c r="J44" s="2"/>
      <c r="K44" s="2"/>
    </row>
    <row r="45" spans="8:11" x14ac:dyDescent="0.25">
      <c r="H45" s="3"/>
      <c r="J45" s="2"/>
      <c r="K45" s="2"/>
    </row>
    <row r="46" spans="8:11" x14ac:dyDescent="0.25">
      <c r="H46" s="3"/>
      <c r="J46" s="2"/>
      <c r="K46" s="2"/>
    </row>
    <row r="47" spans="8:11" x14ac:dyDescent="0.25">
      <c r="H47" s="3"/>
      <c r="J47" s="2"/>
      <c r="K47" s="2"/>
    </row>
    <row r="48" spans="8:11" x14ac:dyDescent="0.25">
      <c r="H48" s="3"/>
      <c r="J48" s="2"/>
      <c r="K48" s="2"/>
    </row>
    <row r="49" spans="8:11" x14ac:dyDescent="0.25">
      <c r="H49" s="3"/>
      <c r="J49" s="2"/>
      <c r="K49" s="2"/>
    </row>
    <row r="50" spans="8:11" x14ac:dyDescent="0.25">
      <c r="H50" s="3"/>
      <c r="J50" s="2"/>
      <c r="K50" s="2"/>
    </row>
    <row r="51" spans="8:11" x14ac:dyDescent="0.25">
      <c r="H51" s="3"/>
      <c r="J51" s="2"/>
      <c r="K51" s="2"/>
    </row>
    <row r="52" spans="8:11" x14ac:dyDescent="0.25">
      <c r="H52" s="3"/>
      <c r="J52" s="2"/>
      <c r="K52" s="2"/>
    </row>
    <row r="53" spans="8:11" x14ac:dyDescent="0.25">
      <c r="H53" s="3"/>
      <c r="J53" s="2"/>
      <c r="K53" s="2"/>
    </row>
    <row r="54" spans="8:11" x14ac:dyDescent="0.25">
      <c r="H54" s="3"/>
      <c r="J54" s="2"/>
      <c r="K54" s="2"/>
    </row>
    <row r="55" spans="8:11" x14ac:dyDescent="0.25">
      <c r="H55" s="3"/>
      <c r="J55" s="2"/>
      <c r="K55" s="2"/>
    </row>
    <row r="56" spans="8:11" x14ac:dyDescent="0.25">
      <c r="H56" s="3"/>
      <c r="J56" s="2"/>
      <c r="K56" s="2"/>
    </row>
    <row r="57" spans="8:11" x14ac:dyDescent="0.25">
      <c r="H57" s="3"/>
      <c r="J57" s="2"/>
      <c r="K57" s="2"/>
    </row>
    <row r="58" spans="8:11" x14ac:dyDescent="0.25">
      <c r="H58" s="3"/>
      <c r="J58" s="2"/>
      <c r="K58" s="2"/>
    </row>
    <row r="59" spans="8:11" x14ac:dyDescent="0.25">
      <c r="H59" s="3"/>
      <c r="J59" s="2"/>
      <c r="K59" s="2"/>
    </row>
    <row r="60" spans="8:11" x14ac:dyDescent="0.25">
      <c r="H60" s="3"/>
      <c r="J60" s="2"/>
      <c r="K60" s="2"/>
    </row>
    <row r="61" spans="8:11" x14ac:dyDescent="0.25">
      <c r="H61" s="3"/>
      <c r="J61" s="2"/>
      <c r="K61" s="2"/>
    </row>
    <row r="62" spans="8:11" x14ac:dyDescent="0.25">
      <c r="H62" s="3"/>
      <c r="J62" s="2"/>
      <c r="K62" s="2"/>
    </row>
    <row r="63" spans="8:11" x14ac:dyDescent="0.25">
      <c r="H63" s="3"/>
      <c r="J63" s="2"/>
      <c r="K63" s="2"/>
    </row>
  </sheetData>
  <sheetProtection password="F030" sheet="1" objects="1" scenarios="1"/>
  <mergeCells count="11">
    <mergeCell ref="N19:N20"/>
    <mergeCell ref="M19:M20"/>
    <mergeCell ref="J20:K20"/>
    <mergeCell ref="A1:E1"/>
    <mergeCell ref="A19:A20"/>
    <mergeCell ref="B20:C20"/>
    <mergeCell ref="E19:E20"/>
    <mergeCell ref="F19:F20"/>
    <mergeCell ref="I1:M1"/>
    <mergeCell ref="I19:I20"/>
    <mergeCell ref="L19:L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tabSelected="1" topLeftCell="A25" zoomScale="80" zoomScaleNormal="80" workbookViewId="0">
      <selection activeCell="K40" sqref="K40"/>
    </sheetView>
  </sheetViews>
  <sheetFormatPr defaultColWidth="9.140625" defaultRowHeight="15" x14ac:dyDescent="0.25"/>
  <cols>
    <col min="1" max="1" width="25.42578125" style="3" customWidth="1"/>
    <col min="2" max="2" width="4.28515625" style="4" customWidth="1"/>
    <col min="3" max="3" width="8.42578125" style="4" customWidth="1"/>
    <col min="4" max="4" width="8.5703125" style="3" customWidth="1"/>
    <col min="5" max="5" width="6.5703125" style="3" customWidth="1"/>
    <col min="6" max="6" width="7.85546875" style="3" customWidth="1"/>
    <col min="7" max="7" width="35.42578125" style="3" customWidth="1"/>
    <col min="8" max="8" width="9.140625" style="3"/>
    <col min="9" max="9" width="19.85546875" style="3" customWidth="1"/>
    <col min="10" max="10" width="6.42578125" style="4" customWidth="1"/>
    <col min="11" max="11" width="10" style="4" customWidth="1"/>
    <col min="12" max="12" width="9.5703125" style="3" customWidth="1"/>
    <col min="13" max="13" width="7.140625" style="3" customWidth="1"/>
    <col min="14" max="14" width="6.7109375" style="3" customWidth="1"/>
    <col min="15" max="15" width="37" style="3" customWidth="1"/>
    <col min="16" max="16384" width="9.140625" style="3"/>
  </cols>
  <sheetData>
    <row r="1" spans="1:15" ht="63" customHeight="1" x14ac:dyDescent="0.25">
      <c r="A1" s="169" t="s">
        <v>108</v>
      </c>
      <c r="B1" s="169"/>
      <c r="C1" s="169"/>
      <c r="D1" s="169"/>
      <c r="E1" s="169"/>
      <c r="F1" s="169"/>
      <c r="G1" s="169"/>
      <c r="I1" s="159" t="s">
        <v>188</v>
      </c>
      <c r="J1" s="159"/>
      <c r="K1" s="159"/>
      <c r="L1" s="159"/>
      <c r="M1" s="159"/>
      <c r="N1" s="159"/>
      <c r="O1" s="159"/>
    </row>
    <row r="2" spans="1:15" x14ac:dyDescent="0.25">
      <c r="A2" s="20" t="s">
        <v>115</v>
      </c>
      <c r="B2" s="21"/>
      <c r="C2" s="21"/>
      <c r="D2" s="20"/>
      <c r="E2" s="19"/>
      <c r="F2" s="19"/>
      <c r="G2" s="19"/>
      <c r="I2" s="63" t="s">
        <v>115</v>
      </c>
      <c r="J2" s="64"/>
      <c r="K2" s="64"/>
      <c r="L2" s="63"/>
      <c r="M2" s="62"/>
      <c r="N2" s="62"/>
      <c r="O2" s="62"/>
    </row>
    <row r="3" spans="1:15" x14ac:dyDescent="0.25">
      <c r="A3" s="20"/>
      <c r="B3" s="21"/>
      <c r="C3" s="21"/>
      <c r="D3" s="20"/>
      <c r="E3" s="19"/>
      <c r="F3" s="19"/>
      <c r="G3" s="19"/>
      <c r="I3" s="63"/>
      <c r="J3" s="64"/>
      <c r="K3" s="64"/>
      <c r="L3" s="63"/>
      <c r="M3" s="62"/>
      <c r="N3" s="62"/>
      <c r="O3" s="62"/>
    </row>
    <row r="4" spans="1:15" ht="13.9" customHeight="1" x14ac:dyDescent="0.25">
      <c r="A4" s="129" t="s">
        <v>109</v>
      </c>
      <c r="B4" s="21" t="s">
        <v>1</v>
      </c>
      <c r="C4" s="21">
        <v>120</v>
      </c>
      <c r="D4" s="20" t="s">
        <v>29</v>
      </c>
      <c r="E4" s="19"/>
      <c r="F4" s="19"/>
      <c r="G4" s="19"/>
      <c r="I4" s="117" t="s">
        <v>109</v>
      </c>
      <c r="J4" s="64" t="s">
        <v>1</v>
      </c>
      <c r="K4" s="69">
        <v>120</v>
      </c>
      <c r="L4" s="63" t="s">
        <v>29</v>
      </c>
      <c r="M4" s="62"/>
      <c r="N4" s="62"/>
      <c r="O4" s="62"/>
    </row>
    <row r="5" spans="1:15" x14ac:dyDescent="0.25">
      <c r="A5" s="129" t="s">
        <v>110</v>
      </c>
      <c r="B5" s="21" t="s">
        <v>1</v>
      </c>
      <c r="C5" s="21">
        <v>500</v>
      </c>
      <c r="D5" s="20" t="s">
        <v>30</v>
      </c>
      <c r="E5" s="19"/>
      <c r="F5" s="19"/>
      <c r="G5" s="19"/>
      <c r="I5" s="117" t="s">
        <v>110</v>
      </c>
      <c r="J5" s="64" t="s">
        <v>1</v>
      </c>
      <c r="K5" s="69">
        <v>500</v>
      </c>
      <c r="L5" s="63" t="s">
        <v>30</v>
      </c>
      <c r="M5" s="62"/>
      <c r="N5" s="62"/>
      <c r="O5" s="62"/>
    </row>
    <row r="6" spans="1:15" x14ac:dyDescent="0.25">
      <c r="A6" s="129" t="s">
        <v>113</v>
      </c>
      <c r="B6" s="21" t="s">
        <v>1</v>
      </c>
      <c r="C6" s="21">
        <v>150</v>
      </c>
      <c r="D6" s="22" t="s">
        <v>117</v>
      </c>
      <c r="E6" s="20" t="s">
        <v>111</v>
      </c>
      <c r="F6" s="19"/>
      <c r="G6" s="19"/>
      <c r="I6" s="117" t="s">
        <v>113</v>
      </c>
      <c r="J6" s="64" t="s">
        <v>1</v>
      </c>
      <c r="K6" s="76">
        <v>289200</v>
      </c>
      <c r="L6" s="65" t="s">
        <v>251</v>
      </c>
      <c r="M6" s="63" t="s">
        <v>385</v>
      </c>
      <c r="N6" s="62"/>
      <c r="O6" s="62"/>
    </row>
    <row r="7" spans="1:15" x14ac:dyDescent="0.25">
      <c r="A7" s="129" t="s">
        <v>112</v>
      </c>
      <c r="B7" s="21" t="s">
        <v>1</v>
      </c>
      <c r="C7" s="21">
        <v>100</v>
      </c>
      <c r="D7" s="22" t="s">
        <v>118</v>
      </c>
      <c r="E7" s="20" t="s">
        <v>114</v>
      </c>
      <c r="F7" s="19"/>
      <c r="G7" s="19"/>
      <c r="I7" s="117" t="s">
        <v>112</v>
      </c>
      <c r="J7" s="64" t="s">
        <v>1</v>
      </c>
      <c r="K7" s="69">
        <v>100</v>
      </c>
      <c r="L7" s="65" t="s">
        <v>118</v>
      </c>
      <c r="M7" s="131">
        <v>35850</v>
      </c>
      <c r="N7" s="132" t="s">
        <v>251</v>
      </c>
      <c r="O7" s="62"/>
    </row>
    <row r="8" spans="1:15" x14ac:dyDescent="0.25">
      <c r="A8" s="129" t="s">
        <v>398</v>
      </c>
      <c r="B8" s="21" t="s">
        <v>1</v>
      </c>
      <c r="C8" s="21"/>
      <c r="D8" s="22" t="s">
        <v>399</v>
      </c>
      <c r="E8" s="20"/>
      <c r="F8" s="19"/>
      <c r="G8" s="19"/>
      <c r="I8" s="117" t="s">
        <v>398</v>
      </c>
      <c r="J8" s="64" t="s">
        <v>1</v>
      </c>
      <c r="K8" s="69">
        <v>10</v>
      </c>
      <c r="L8" s="65" t="s">
        <v>399</v>
      </c>
      <c r="M8" s="131"/>
      <c r="N8" s="132"/>
      <c r="O8" s="62"/>
    </row>
    <row r="9" spans="1:15" x14ac:dyDescent="0.25">
      <c r="A9" s="22"/>
      <c r="B9" s="123"/>
      <c r="C9" s="123"/>
      <c r="D9" s="22"/>
      <c r="E9" s="22"/>
      <c r="F9" s="22"/>
      <c r="G9" s="19"/>
      <c r="I9" s="65"/>
      <c r="J9" s="121"/>
      <c r="K9" s="121"/>
      <c r="L9" s="65"/>
      <c r="M9" s="65"/>
      <c r="N9" s="65"/>
      <c r="O9" s="62"/>
    </row>
    <row r="10" spans="1:15" x14ac:dyDescent="0.25">
      <c r="A10" s="32" t="s">
        <v>116</v>
      </c>
      <c r="B10" s="21"/>
      <c r="C10" s="21"/>
      <c r="D10" s="20"/>
      <c r="E10" s="19"/>
      <c r="F10" s="19"/>
      <c r="G10" s="19"/>
      <c r="I10" s="77" t="s">
        <v>116</v>
      </c>
      <c r="J10" s="64"/>
      <c r="K10" s="64"/>
      <c r="L10" s="63"/>
      <c r="M10" s="62"/>
      <c r="N10" s="62"/>
      <c r="O10" s="62"/>
    </row>
    <row r="11" spans="1:15" ht="18.75" x14ac:dyDescent="0.3">
      <c r="A11" s="129" t="s">
        <v>124</v>
      </c>
      <c r="B11" s="25" t="s">
        <v>120</v>
      </c>
      <c r="C11" s="21">
        <v>1.552</v>
      </c>
      <c r="D11" s="20" t="s">
        <v>33</v>
      </c>
      <c r="E11" s="19"/>
      <c r="F11" s="19"/>
      <c r="G11" s="19"/>
      <c r="I11" s="117" t="s">
        <v>124</v>
      </c>
      <c r="J11" s="68" t="s">
        <v>120</v>
      </c>
      <c r="K11" s="69">
        <v>1.552</v>
      </c>
      <c r="L11" s="63" t="s">
        <v>33</v>
      </c>
      <c r="M11" s="62"/>
      <c r="N11" s="62"/>
      <c r="O11" s="62"/>
    </row>
    <row r="12" spans="1:15" ht="16.5" x14ac:dyDescent="0.3">
      <c r="A12" s="26" t="s">
        <v>123</v>
      </c>
      <c r="B12" s="25" t="s">
        <v>120</v>
      </c>
      <c r="C12" s="123">
        <v>1.2999999999999999E-2</v>
      </c>
      <c r="D12" s="20" t="s">
        <v>264</v>
      </c>
      <c r="E12" s="19"/>
      <c r="F12" s="19"/>
      <c r="G12" s="19"/>
      <c r="I12" s="70" t="s">
        <v>123</v>
      </c>
      <c r="J12" s="68" t="s">
        <v>120</v>
      </c>
      <c r="K12" s="71">
        <v>1.2999999999999999E-2</v>
      </c>
      <c r="L12" s="63" t="s">
        <v>264</v>
      </c>
      <c r="M12" s="62"/>
      <c r="N12" s="62"/>
      <c r="O12" s="62"/>
    </row>
    <row r="13" spans="1:15" ht="16.5" x14ac:dyDescent="0.3">
      <c r="A13" s="26" t="s">
        <v>267</v>
      </c>
      <c r="B13" s="25" t="s">
        <v>1</v>
      </c>
      <c r="C13" s="25">
        <v>0.57399999999999995</v>
      </c>
      <c r="D13" s="20" t="s">
        <v>121</v>
      </c>
      <c r="E13" s="19"/>
      <c r="F13" s="19"/>
      <c r="G13" s="19"/>
      <c r="I13" s="70" t="s">
        <v>267</v>
      </c>
      <c r="J13" s="68" t="s">
        <v>1</v>
      </c>
      <c r="K13" s="78">
        <v>0.57399999999999995</v>
      </c>
      <c r="L13" s="63" t="s">
        <v>498</v>
      </c>
      <c r="M13" s="62"/>
      <c r="N13" s="62"/>
      <c r="O13" s="62"/>
    </row>
    <row r="14" spans="1:15" ht="18.75" x14ac:dyDescent="0.3">
      <c r="A14" s="129" t="s">
        <v>125</v>
      </c>
      <c r="B14" s="25" t="s">
        <v>1</v>
      </c>
      <c r="C14" s="21">
        <v>1.75</v>
      </c>
      <c r="D14" s="20" t="s">
        <v>33</v>
      </c>
      <c r="E14" s="166"/>
      <c r="F14" s="166"/>
      <c r="G14" s="166"/>
      <c r="I14" s="117" t="s">
        <v>125</v>
      </c>
      <c r="J14" s="68" t="s">
        <v>1</v>
      </c>
      <c r="K14" s="69">
        <v>1.75</v>
      </c>
      <c r="L14" s="63" t="s">
        <v>33</v>
      </c>
      <c r="M14" s="161"/>
      <c r="N14" s="161"/>
      <c r="O14" s="161"/>
    </row>
    <row r="15" spans="1:15" ht="18.75" x14ac:dyDescent="0.3">
      <c r="A15" s="129" t="s">
        <v>265</v>
      </c>
      <c r="B15" s="25" t="s">
        <v>1</v>
      </c>
      <c r="C15" s="123">
        <v>44.68</v>
      </c>
      <c r="D15" s="20" t="s">
        <v>33</v>
      </c>
      <c r="E15" s="166"/>
      <c r="F15" s="166"/>
      <c r="G15" s="166"/>
      <c r="I15" s="117" t="s">
        <v>406</v>
      </c>
      <c r="J15" s="68" t="s">
        <v>1</v>
      </c>
      <c r="K15" s="71">
        <v>44.68</v>
      </c>
      <c r="L15" s="63" t="s">
        <v>33</v>
      </c>
      <c r="M15" s="161"/>
      <c r="N15" s="161"/>
      <c r="O15" s="161"/>
    </row>
    <row r="16" spans="1:15" ht="16.149999999999999" customHeight="1" x14ac:dyDescent="0.25">
      <c r="A16" s="20"/>
      <c r="B16" s="21"/>
      <c r="C16" s="21"/>
      <c r="D16" s="20"/>
      <c r="E16" s="19"/>
      <c r="F16" s="19"/>
      <c r="G16" s="19"/>
      <c r="I16" s="63"/>
      <c r="J16" s="64"/>
      <c r="K16" s="64"/>
      <c r="L16" s="63"/>
      <c r="M16" s="62"/>
      <c r="N16" s="62"/>
      <c r="O16" s="62"/>
    </row>
    <row r="17" spans="1:15" x14ac:dyDescent="0.25">
      <c r="A17" s="22" t="s">
        <v>126</v>
      </c>
      <c r="B17" s="123"/>
      <c r="C17" s="123"/>
      <c r="D17" s="22"/>
      <c r="E17" s="22"/>
      <c r="F17" s="22"/>
      <c r="G17" s="22"/>
      <c r="I17" s="65" t="s">
        <v>126</v>
      </c>
      <c r="J17" s="121"/>
      <c r="K17" s="121"/>
      <c r="L17" s="65"/>
      <c r="M17" s="65"/>
      <c r="N17" s="65"/>
      <c r="O17" s="65"/>
    </row>
    <row r="18" spans="1:15" x14ac:dyDescent="0.25">
      <c r="A18" s="22"/>
      <c r="B18" s="123"/>
      <c r="C18" s="123"/>
      <c r="D18" s="22"/>
      <c r="E18" s="22"/>
      <c r="F18" s="22"/>
      <c r="G18" s="22"/>
      <c r="I18" s="65"/>
      <c r="J18" s="121"/>
      <c r="K18" s="121"/>
      <c r="L18" s="65"/>
      <c r="M18" s="65"/>
      <c r="N18" s="65"/>
      <c r="O18" s="65"/>
    </row>
    <row r="19" spans="1:15" ht="15" customHeight="1" x14ac:dyDescent="0.25">
      <c r="A19" s="33" t="s">
        <v>127</v>
      </c>
      <c r="B19" s="34"/>
      <c r="C19" s="34"/>
      <c r="D19" s="34"/>
      <c r="E19" s="19"/>
      <c r="F19" s="19"/>
      <c r="G19" s="19"/>
      <c r="I19" s="79" t="s">
        <v>127</v>
      </c>
      <c r="J19" s="80"/>
      <c r="K19" s="80"/>
      <c r="L19" s="80"/>
      <c r="M19" s="62"/>
      <c r="N19" s="62"/>
      <c r="O19" s="62"/>
    </row>
    <row r="20" spans="1:15" x14ac:dyDescent="0.25">
      <c r="A20" s="22"/>
      <c r="B20" s="123"/>
      <c r="C20" s="123"/>
      <c r="D20" s="22"/>
      <c r="E20" s="22"/>
      <c r="F20" s="22"/>
      <c r="G20" s="22"/>
      <c r="I20" s="65"/>
      <c r="J20" s="121"/>
      <c r="K20" s="121"/>
      <c r="L20" s="65"/>
      <c r="M20" s="65"/>
      <c r="N20" s="65"/>
      <c r="O20" s="65"/>
    </row>
    <row r="21" spans="1:15" x14ac:dyDescent="0.25">
      <c r="A21" s="22" t="s">
        <v>128</v>
      </c>
      <c r="B21" s="123"/>
      <c r="C21" s="123"/>
      <c r="D21" s="22"/>
      <c r="E21" s="22"/>
      <c r="F21" s="22"/>
      <c r="G21" s="22"/>
      <c r="I21" s="65" t="s">
        <v>128</v>
      </c>
      <c r="J21" s="121"/>
      <c r="K21" s="121"/>
      <c r="L21" s="65"/>
      <c r="M21" s="65"/>
      <c r="N21" s="65"/>
      <c r="O21" s="65"/>
    </row>
    <row r="22" spans="1:15" x14ac:dyDescent="0.25">
      <c r="A22" s="22"/>
      <c r="B22" s="123"/>
      <c r="C22" s="123"/>
      <c r="D22" s="22"/>
      <c r="E22" s="22"/>
      <c r="F22" s="22"/>
      <c r="G22" s="22"/>
      <c r="I22" s="65"/>
      <c r="J22" s="121"/>
      <c r="K22" s="121"/>
      <c r="L22" s="65"/>
      <c r="M22" s="65"/>
      <c r="N22" s="65"/>
      <c r="O22" s="65"/>
    </row>
    <row r="23" spans="1:15" x14ac:dyDescent="0.25">
      <c r="A23" s="22" t="s">
        <v>129</v>
      </c>
      <c r="B23" s="123"/>
      <c r="C23" s="123"/>
      <c r="D23" s="22"/>
      <c r="E23" s="22"/>
      <c r="F23" s="22"/>
      <c r="G23" s="22"/>
      <c r="I23" s="65" t="s">
        <v>129</v>
      </c>
      <c r="J23" s="121"/>
      <c r="K23" s="121"/>
      <c r="L23" s="65"/>
      <c r="M23" s="65"/>
      <c r="N23" s="65"/>
      <c r="O23" s="65"/>
    </row>
    <row r="24" spans="1:15" x14ac:dyDescent="0.25">
      <c r="A24" s="22" t="s">
        <v>130</v>
      </c>
      <c r="B24" s="123"/>
      <c r="C24" s="123"/>
      <c r="D24" s="22"/>
      <c r="E24" s="22"/>
      <c r="F24" s="22"/>
      <c r="G24" s="22"/>
      <c r="I24" s="65" t="s">
        <v>130</v>
      </c>
      <c r="J24" s="121"/>
      <c r="K24" s="121"/>
      <c r="L24" s="65"/>
      <c r="M24" s="65"/>
      <c r="N24" s="65"/>
      <c r="O24" s="65"/>
    </row>
    <row r="25" spans="1:15" x14ac:dyDescent="0.25">
      <c r="A25" s="22"/>
      <c r="B25" s="123"/>
      <c r="C25" s="123"/>
      <c r="D25" s="22"/>
      <c r="E25" s="22"/>
      <c r="F25" s="22"/>
      <c r="G25" s="22"/>
      <c r="I25" s="65"/>
      <c r="J25" s="121"/>
      <c r="K25" s="121"/>
      <c r="L25" s="65"/>
      <c r="M25" s="65"/>
      <c r="N25" s="65"/>
      <c r="O25" s="65"/>
    </row>
    <row r="26" spans="1:15" x14ac:dyDescent="0.25">
      <c r="A26" s="22" t="s">
        <v>131</v>
      </c>
      <c r="B26" s="123"/>
      <c r="C26" s="123"/>
      <c r="D26" s="22"/>
      <c r="E26" s="22"/>
      <c r="F26" s="22"/>
      <c r="G26" s="22"/>
      <c r="I26" s="65" t="s">
        <v>131</v>
      </c>
      <c r="J26" s="121"/>
      <c r="K26" s="121"/>
      <c r="L26" s="65"/>
      <c r="M26" s="65"/>
      <c r="N26" s="65"/>
      <c r="O26" s="65"/>
    </row>
    <row r="27" spans="1:15" x14ac:dyDescent="0.25">
      <c r="A27" s="20"/>
      <c r="B27" s="21"/>
      <c r="C27" s="123"/>
      <c r="D27" s="35"/>
      <c r="E27" s="35"/>
      <c r="F27" s="19"/>
      <c r="G27" s="19"/>
      <c r="I27" s="63"/>
      <c r="J27" s="64"/>
      <c r="K27" s="121"/>
      <c r="L27" s="133"/>
      <c r="M27" s="133"/>
      <c r="N27" s="62"/>
      <c r="O27" s="62"/>
    </row>
    <row r="28" spans="1:15" ht="18" x14ac:dyDescent="0.3">
      <c r="A28" s="129" t="s">
        <v>32</v>
      </c>
      <c r="B28" s="21" t="s">
        <v>1</v>
      </c>
      <c r="C28" s="167">
        <v>289200</v>
      </c>
      <c r="D28" s="167"/>
      <c r="E28" s="35" t="s">
        <v>133</v>
      </c>
      <c r="F28" s="19"/>
      <c r="G28" s="19"/>
      <c r="I28" s="117" t="s">
        <v>32</v>
      </c>
      <c r="J28" s="64" t="s">
        <v>1</v>
      </c>
      <c r="K28" s="162">
        <f>K6</f>
        <v>289200</v>
      </c>
      <c r="L28" s="163"/>
      <c r="M28" s="133" t="s">
        <v>393</v>
      </c>
      <c r="N28" s="62"/>
      <c r="O28" s="62"/>
    </row>
    <row r="29" spans="1:15" ht="18" x14ac:dyDescent="0.25">
      <c r="A29" s="129"/>
      <c r="B29" s="21" t="s">
        <v>1</v>
      </c>
      <c r="C29" s="35">
        <v>56.94</v>
      </c>
      <c r="D29" s="35" t="s">
        <v>132</v>
      </c>
      <c r="E29" s="35"/>
      <c r="F29" s="20"/>
      <c r="G29" s="19"/>
      <c r="I29" s="117"/>
      <c r="J29" s="64" t="s">
        <v>1</v>
      </c>
      <c r="K29" s="134">
        <f>K6*(1/K11)*(1/3600)*1.1</f>
        <v>56.937285223367695</v>
      </c>
      <c r="L29" s="133" t="s">
        <v>132</v>
      </c>
      <c r="M29" s="133"/>
      <c r="N29" s="63"/>
      <c r="O29" s="62"/>
    </row>
    <row r="30" spans="1:15" ht="15" customHeight="1" x14ac:dyDescent="0.25">
      <c r="A30" s="129" t="s">
        <v>3</v>
      </c>
      <c r="B30" s="21" t="s">
        <v>1</v>
      </c>
      <c r="C30" s="21">
        <v>0.35</v>
      </c>
      <c r="D30" s="20" t="s">
        <v>134</v>
      </c>
      <c r="E30" s="168" t="s">
        <v>135</v>
      </c>
      <c r="F30" s="168"/>
      <c r="G30" s="168"/>
      <c r="I30" s="117" t="s">
        <v>3</v>
      </c>
      <c r="J30" s="64" t="s">
        <v>1</v>
      </c>
      <c r="K30" s="64">
        <v>0.35</v>
      </c>
      <c r="L30" s="63" t="s">
        <v>134</v>
      </c>
      <c r="M30" s="164" t="s">
        <v>135</v>
      </c>
      <c r="N30" s="164"/>
      <c r="O30" s="164"/>
    </row>
    <row r="31" spans="1:15" x14ac:dyDescent="0.25">
      <c r="A31" s="20"/>
      <c r="B31" s="21"/>
      <c r="C31" s="21"/>
      <c r="D31" s="20"/>
      <c r="E31" s="168"/>
      <c r="F31" s="168"/>
      <c r="G31" s="168"/>
      <c r="I31" s="63"/>
      <c r="J31" s="64"/>
      <c r="K31" s="64"/>
      <c r="L31" s="63"/>
      <c r="M31" s="164"/>
      <c r="N31" s="164"/>
      <c r="O31" s="164"/>
    </row>
    <row r="32" spans="1:15" x14ac:dyDescent="0.25">
      <c r="A32" s="36" t="s">
        <v>136</v>
      </c>
      <c r="B32" s="20"/>
      <c r="C32" s="36"/>
      <c r="D32" s="20"/>
      <c r="E32" s="21" t="s">
        <v>395</v>
      </c>
      <c r="F32" s="37">
        <f>C30*0.817</f>
        <v>0.28594999999999998</v>
      </c>
      <c r="G32" s="36"/>
      <c r="I32" s="81" t="s">
        <v>136</v>
      </c>
      <c r="J32" s="63"/>
      <c r="K32" s="81"/>
      <c r="L32" s="63"/>
      <c r="M32" s="64" t="s">
        <v>394</v>
      </c>
      <c r="N32" s="82">
        <f>K30*0.817</f>
        <v>0.28594999999999998</v>
      </c>
      <c r="O32" s="81"/>
    </row>
    <row r="33" spans="1:15" x14ac:dyDescent="0.25">
      <c r="A33" s="20"/>
      <c r="B33" s="21"/>
      <c r="C33" s="36"/>
      <c r="D33" s="20"/>
      <c r="E33" s="21"/>
      <c r="F33" s="37"/>
      <c r="G33" s="38"/>
      <c r="I33" s="63"/>
      <c r="J33" s="64"/>
      <c r="K33" s="81"/>
      <c r="L33" s="63"/>
      <c r="M33" s="64"/>
      <c r="N33" s="82"/>
      <c r="O33" s="83"/>
    </row>
    <row r="34" spans="1:15" ht="16.5" x14ac:dyDescent="0.3">
      <c r="A34" s="129" t="s">
        <v>137</v>
      </c>
      <c r="B34" s="21" t="s">
        <v>1</v>
      </c>
      <c r="C34" s="39" t="s">
        <v>141</v>
      </c>
      <c r="D34" s="40" t="s">
        <v>138</v>
      </c>
      <c r="E34" s="21"/>
      <c r="F34" s="37"/>
      <c r="G34" s="36"/>
      <c r="I34" s="117" t="s">
        <v>137</v>
      </c>
      <c r="J34" s="64" t="s">
        <v>1</v>
      </c>
      <c r="K34" s="84" t="s">
        <v>141</v>
      </c>
      <c r="L34" s="135" t="s">
        <v>138</v>
      </c>
      <c r="M34" s="64"/>
      <c r="N34" s="82"/>
      <c r="O34" s="81"/>
    </row>
    <row r="35" spans="1:15" x14ac:dyDescent="0.25">
      <c r="A35" s="129"/>
      <c r="B35" s="21"/>
      <c r="C35" s="39"/>
      <c r="D35" s="40"/>
      <c r="E35" s="21"/>
      <c r="F35" s="37"/>
      <c r="G35" s="36"/>
      <c r="I35" s="117"/>
      <c r="J35" s="64"/>
      <c r="K35" s="84"/>
      <c r="L35" s="135"/>
      <c r="M35" s="64"/>
      <c r="N35" s="82"/>
      <c r="O35" s="81"/>
    </row>
    <row r="36" spans="1:15" x14ac:dyDescent="0.25">
      <c r="A36" s="20"/>
      <c r="B36" s="21"/>
      <c r="C36" s="36"/>
      <c r="D36" s="21">
        <v>1.552</v>
      </c>
      <c r="E36" s="21"/>
      <c r="F36" s="38"/>
      <c r="G36" s="38"/>
      <c r="I36" s="63"/>
      <c r="J36" s="64"/>
      <c r="K36" s="81"/>
      <c r="L36" s="64">
        <v>1.552</v>
      </c>
      <c r="M36" s="64"/>
      <c r="N36" s="83"/>
      <c r="O36" s="83"/>
    </row>
    <row r="37" spans="1:15" ht="16.5" x14ac:dyDescent="0.3">
      <c r="A37" s="129" t="s">
        <v>137</v>
      </c>
      <c r="B37" s="21" t="s">
        <v>1</v>
      </c>
      <c r="C37" s="41">
        <v>1.51</v>
      </c>
      <c r="D37" s="42" t="s">
        <v>34</v>
      </c>
      <c r="E37" s="36" t="s">
        <v>139</v>
      </c>
      <c r="F37" s="43"/>
      <c r="G37" s="39"/>
      <c r="I37" s="117" t="s">
        <v>137</v>
      </c>
      <c r="J37" s="64" t="s">
        <v>1</v>
      </c>
      <c r="K37" s="136">
        <f>N32*((K15-K11)/K11)^0.5</f>
        <v>1.5073840022689611</v>
      </c>
      <c r="L37" s="137" t="s">
        <v>34</v>
      </c>
      <c r="M37" s="81" t="s">
        <v>139</v>
      </c>
      <c r="N37" s="85"/>
      <c r="O37" s="84"/>
    </row>
    <row r="38" spans="1:15" x14ac:dyDescent="0.25">
      <c r="A38" s="20"/>
      <c r="B38" s="21"/>
      <c r="C38" s="36"/>
      <c r="D38" s="20"/>
      <c r="E38" s="21"/>
      <c r="F38" s="38"/>
      <c r="G38" s="38"/>
      <c r="I38" s="63"/>
      <c r="J38" s="64"/>
      <c r="K38" s="81"/>
      <c r="L38" s="63"/>
      <c r="M38" s="64"/>
      <c r="N38" s="83"/>
      <c r="O38" s="83"/>
    </row>
    <row r="39" spans="1:15" x14ac:dyDescent="0.25">
      <c r="A39" s="129" t="s">
        <v>9</v>
      </c>
      <c r="B39" s="21" t="s">
        <v>1</v>
      </c>
      <c r="C39" s="36" t="s">
        <v>140</v>
      </c>
      <c r="D39" s="20"/>
      <c r="E39" s="21"/>
      <c r="F39" s="44"/>
      <c r="G39" s="38"/>
      <c r="H39" s="7"/>
      <c r="I39" s="117" t="s">
        <v>9</v>
      </c>
      <c r="J39" s="64" t="s">
        <v>1</v>
      </c>
      <c r="K39" s="81" t="s">
        <v>140</v>
      </c>
      <c r="L39" s="63"/>
      <c r="M39" s="64"/>
      <c r="N39" s="86"/>
      <c r="O39" s="83"/>
    </row>
    <row r="40" spans="1:15" ht="18" x14ac:dyDescent="0.25">
      <c r="A40" s="129"/>
      <c r="B40" s="21"/>
      <c r="C40" s="45">
        <f>56.94/1.51</f>
        <v>37.70860927152318</v>
      </c>
      <c r="D40" s="20" t="s">
        <v>37</v>
      </c>
      <c r="E40" s="21"/>
      <c r="F40" s="44"/>
      <c r="G40" s="38"/>
      <c r="H40" s="7"/>
      <c r="I40" s="117"/>
      <c r="J40" s="117"/>
      <c r="K40" s="86">
        <f>K29/K37</f>
        <v>37.772249896286503</v>
      </c>
      <c r="L40" s="84" t="s">
        <v>37</v>
      </c>
      <c r="M40" s="64"/>
      <c r="N40" s="83"/>
      <c r="O40" s="83"/>
    </row>
    <row r="41" spans="1:15" x14ac:dyDescent="0.25">
      <c r="A41" s="22"/>
      <c r="B41" s="123"/>
      <c r="C41" s="22"/>
      <c r="D41" s="22"/>
      <c r="E41" s="22"/>
      <c r="F41" s="22"/>
      <c r="G41" s="22"/>
      <c r="I41" s="65"/>
      <c r="J41" s="121"/>
      <c r="K41" s="138"/>
      <c r="L41" s="65"/>
      <c r="M41" s="65"/>
      <c r="N41" s="83"/>
      <c r="O41" s="65"/>
    </row>
    <row r="42" spans="1:15" ht="17.45" customHeight="1" x14ac:dyDescent="0.25">
      <c r="A42" s="26" t="s">
        <v>38</v>
      </c>
      <c r="B42" s="123" t="s">
        <v>1</v>
      </c>
      <c r="C42" s="29" t="s">
        <v>148</v>
      </c>
      <c r="D42" s="22"/>
      <c r="E42" s="27" t="s">
        <v>144</v>
      </c>
      <c r="F42" s="22" t="s">
        <v>143</v>
      </c>
      <c r="G42" s="22" t="s">
        <v>145</v>
      </c>
      <c r="I42" s="70" t="s">
        <v>38</v>
      </c>
      <c r="J42" s="121" t="s">
        <v>1</v>
      </c>
      <c r="K42" s="74" t="s">
        <v>148</v>
      </c>
      <c r="L42" s="87" t="s">
        <v>396</v>
      </c>
      <c r="M42" s="85">
        <f>(4*K29/3.14159/K37)^0.5+J45</f>
        <v>7.2649234230903712</v>
      </c>
      <c r="N42" s="65" t="s">
        <v>31</v>
      </c>
      <c r="O42" s="121" t="s">
        <v>145</v>
      </c>
    </row>
    <row r="43" spans="1:15" ht="12.75" customHeight="1" x14ac:dyDescent="0.25">
      <c r="A43" s="22"/>
      <c r="B43" s="123"/>
      <c r="C43" s="29" t="s">
        <v>142</v>
      </c>
      <c r="D43" s="22"/>
      <c r="E43" s="22"/>
      <c r="F43" s="22"/>
      <c r="G43" s="22"/>
      <c r="I43" s="65"/>
      <c r="J43" s="121"/>
      <c r="K43" s="74" t="s">
        <v>142</v>
      </c>
      <c r="L43" s="65"/>
      <c r="M43" s="65"/>
      <c r="N43" s="65"/>
      <c r="O43" s="65"/>
    </row>
    <row r="44" spans="1:15" x14ac:dyDescent="0.25">
      <c r="A44" s="22"/>
      <c r="B44" s="123"/>
      <c r="C44" s="123"/>
      <c r="D44" s="22"/>
      <c r="E44" s="22"/>
      <c r="F44" s="22"/>
      <c r="G44" s="22"/>
      <c r="I44" s="65"/>
      <c r="J44" s="121"/>
      <c r="K44" s="121"/>
      <c r="L44" s="65"/>
      <c r="M44" s="65"/>
      <c r="N44" s="65"/>
      <c r="O44" s="65"/>
    </row>
    <row r="45" spans="1:15" x14ac:dyDescent="0.25">
      <c r="A45" s="22"/>
      <c r="B45" s="29" t="s">
        <v>146</v>
      </c>
      <c r="C45" s="123"/>
      <c r="D45" s="22"/>
      <c r="E45" s="22"/>
      <c r="F45" s="22"/>
      <c r="G45" s="22"/>
      <c r="I45" s="65"/>
      <c r="J45" s="139">
        <v>0.33</v>
      </c>
      <c r="K45" s="74" t="s">
        <v>397</v>
      </c>
      <c r="L45" s="65"/>
      <c r="M45" s="65"/>
      <c r="N45" s="65"/>
      <c r="O45" s="65"/>
    </row>
    <row r="46" spans="1:15" x14ac:dyDescent="0.25">
      <c r="A46" s="22" t="s">
        <v>147</v>
      </c>
      <c r="B46" s="123"/>
      <c r="C46" s="123"/>
      <c r="D46" s="22"/>
      <c r="E46" s="22"/>
      <c r="F46" s="22"/>
      <c r="G46" s="22"/>
      <c r="I46" s="65" t="s">
        <v>147</v>
      </c>
      <c r="J46" s="121"/>
      <c r="K46" s="121"/>
      <c r="L46" s="65"/>
      <c r="M46" s="65"/>
      <c r="N46" s="65"/>
      <c r="O46" s="65"/>
    </row>
    <row r="47" spans="1:15" x14ac:dyDescent="0.25">
      <c r="A47" s="22"/>
      <c r="B47" s="123"/>
      <c r="C47" s="123"/>
      <c r="D47" s="22"/>
      <c r="E47" s="22"/>
      <c r="F47" s="22"/>
      <c r="G47" s="22"/>
      <c r="I47" s="65"/>
      <c r="J47" s="121"/>
      <c r="K47" s="121"/>
      <c r="L47" s="65"/>
      <c r="M47" s="65"/>
      <c r="N47" s="65"/>
      <c r="O47" s="65"/>
    </row>
    <row r="48" spans="1:15" x14ac:dyDescent="0.25">
      <c r="A48" s="26" t="s">
        <v>38</v>
      </c>
      <c r="B48" s="123" t="s">
        <v>1</v>
      </c>
      <c r="C48" s="123">
        <v>7.5</v>
      </c>
      <c r="D48" s="22" t="s">
        <v>31</v>
      </c>
      <c r="E48" s="22"/>
      <c r="F48" s="22"/>
      <c r="G48" s="22"/>
      <c r="I48" s="70" t="s">
        <v>38</v>
      </c>
      <c r="J48" s="121" t="s">
        <v>1</v>
      </c>
      <c r="K48" s="64">
        <v>7.5</v>
      </c>
      <c r="L48" s="65" t="s">
        <v>31</v>
      </c>
      <c r="M48" s="65"/>
      <c r="N48" s="65"/>
      <c r="O48" s="65"/>
    </row>
    <row r="49" spans="1:15" ht="18" x14ac:dyDescent="0.25">
      <c r="A49" s="26" t="s">
        <v>9</v>
      </c>
      <c r="B49" s="123" t="s">
        <v>1</v>
      </c>
      <c r="C49" s="123">
        <v>44.2</v>
      </c>
      <c r="D49" s="22" t="s">
        <v>37</v>
      </c>
      <c r="E49" s="22"/>
      <c r="F49" s="22"/>
      <c r="G49" s="22"/>
      <c r="I49" s="70" t="s">
        <v>9</v>
      </c>
      <c r="J49" s="121" t="s">
        <v>1</v>
      </c>
      <c r="K49" s="88">
        <f>3.14159*(K48/2)^2</f>
        <v>44.178609375000001</v>
      </c>
      <c r="L49" s="65" t="s">
        <v>37</v>
      </c>
      <c r="M49" s="65"/>
      <c r="N49" s="65"/>
      <c r="O49" s="65"/>
    </row>
    <row r="50" spans="1:15" x14ac:dyDescent="0.25">
      <c r="A50" s="22" t="s">
        <v>149</v>
      </c>
      <c r="B50" s="123"/>
      <c r="C50" s="123"/>
      <c r="D50" s="22"/>
      <c r="E50" s="22"/>
      <c r="F50" s="22"/>
      <c r="G50" s="22"/>
      <c r="I50" s="65" t="s">
        <v>149</v>
      </c>
      <c r="J50" s="121"/>
      <c r="K50" s="121"/>
      <c r="L50" s="65"/>
      <c r="M50" s="65"/>
      <c r="N50" s="65"/>
      <c r="O50" s="65"/>
    </row>
    <row r="51" spans="1:15" x14ac:dyDescent="0.25">
      <c r="A51" s="22"/>
      <c r="B51" s="123"/>
      <c r="C51" s="123"/>
      <c r="D51" s="22"/>
      <c r="E51" s="22"/>
      <c r="F51" s="22"/>
      <c r="G51" s="22"/>
      <c r="I51" s="65"/>
      <c r="J51" s="121"/>
      <c r="K51" s="121"/>
      <c r="L51" s="65"/>
      <c r="M51" s="65"/>
      <c r="N51" s="65"/>
      <c r="O51" s="65"/>
    </row>
    <row r="52" spans="1:15" ht="18" x14ac:dyDescent="0.25">
      <c r="A52" s="122" t="s">
        <v>6</v>
      </c>
      <c r="B52" s="124" t="s">
        <v>1</v>
      </c>
      <c r="C52" s="124">
        <v>35850</v>
      </c>
      <c r="D52" s="46" t="s">
        <v>150</v>
      </c>
      <c r="E52" s="46"/>
      <c r="F52" s="46"/>
      <c r="G52" s="46"/>
      <c r="I52" s="125" t="s">
        <v>6</v>
      </c>
      <c r="J52" s="126" t="s">
        <v>1</v>
      </c>
      <c r="K52" s="140">
        <f>M7</f>
        <v>35850</v>
      </c>
      <c r="L52" s="141" t="s">
        <v>150</v>
      </c>
      <c r="M52" s="141"/>
      <c r="N52" s="141"/>
      <c r="O52" s="141"/>
    </row>
    <row r="53" spans="1:15" ht="18" x14ac:dyDescent="0.25">
      <c r="A53" s="22"/>
      <c r="B53" s="124" t="s">
        <v>1</v>
      </c>
      <c r="C53" s="26">
        <v>14.71</v>
      </c>
      <c r="D53" s="22" t="s">
        <v>386</v>
      </c>
      <c r="E53" s="22"/>
      <c r="F53" s="22"/>
      <c r="G53" s="22"/>
      <c r="I53" s="65"/>
      <c r="J53" s="126" t="s">
        <v>1</v>
      </c>
      <c r="K53" s="70">
        <f>M7*1/K15*1/60*(1+K8/100)</f>
        <v>14.710161145926591</v>
      </c>
      <c r="L53" s="65" t="s">
        <v>387</v>
      </c>
      <c r="M53" s="65"/>
      <c r="N53" s="65"/>
      <c r="O53" s="65"/>
    </row>
    <row r="54" spans="1:15" x14ac:dyDescent="0.25">
      <c r="A54" s="22" t="s">
        <v>151</v>
      </c>
      <c r="B54" s="123"/>
      <c r="C54" s="123"/>
      <c r="D54" s="22"/>
      <c r="E54" s="22"/>
      <c r="F54" s="22"/>
      <c r="G54" s="22"/>
      <c r="I54" s="65" t="s">
        <v>151</v>
      </c>
      <c r="J54" s="121"/>
      <c r="K54" s="121"/>
      <c r="L54" s="65"/>
      <c r="M54" s="65"/>
      <c r="N54" s="65"/>
      <c r="O54" s="65"/>
    </row>
    <row r="55" spans="1:15" x14ac:dyDescent="0.25">
      <c r="A55" s="22"/>
      <c r="B55" s="123"/>
      <c r="C55" s="123"/>
      <c r="D55" s="22"/>
      <c r="E55" s="22"/>
      <c r="F55" s="22"/>
      <c r="G55" s="22"/>
      <c r="I55" s="65"/>
      <c r="J55" s="121"/>
      <c r="K55" s="121"/>
      <c r="L55" s="65"/>
      <c r="M55" s="65"/>
      <c r="N55" s="65"/>
      <c r="O55" s="65"/>
    </row>
    <row r="56" spans="1:15" x14ac:dyDescent="0.25">
      <c r="A56" s="22" t="s">
        <v>152</v>
      </c>
      <c r="B56" s="123"/>
      <c r="C56" s="123"/>
      <c r="D56" s="22"/>
      <c r="E56" s="22"/>
      <c r="F56" s="22"/>
      <c r="G56" s="22"/>
      <c r="I56" s="65" t="s">
        <v>152</v>
      </c>
      <c r="J56" s="121"/>
      <c r="K56" s="121"/>
      <c r="L56" s="65"/>
      <c r="M56" s="65"/>
      <c r="N56" s="65"/>
      <c r="O56" s="65"/>
    </row>
    <row r="57" spans="1:15" ht="18" x14ac:dyDescent="0.25">
      <c r="A57" s="22" t="s">
        <v>153</v>
      </c>
      <c r="B57" s="123"/>
      <c r="C57" s="123"/>
      <c r="D57" s="22"/>
      <c r="E57" s="22"/>
      <c r="F57" s="22">
        <v>20</v>
      </c>
      <c r="G57" s="22" t="s">
        <v>28</v>
      </c>
      <c r="I57" s="65" t="s">
        <v>400</v>
      </c>
      <c r="J57" s="121"/>
      <c r="K57" s="121"/>
      <c r="L57" s="89">
        <f>K53/K49*5*12</f>
        <v>19.978213013989766</v>
      </c>
      <c r="M57" s="70" t="s">
        <v>401</v>
      </c>
      <c r="N57" s="64">
        <v>20</v>
      </c>
      <c r="O57" s="65" t="s">
        <v>28</v>
      </c>
    </row>
    <row r="58" spans="1:15" x14ac:dyDescent="0.25">
      <c r="A58" s="22"/>
      <c r="B58" s="123"/>
      <c r="C58" s="123"/>
      <c r="D58" s="22"/>
      <c r="E58" s="22"/>
      <c r="F58" s="22"/>
      <c r="G58" s="22"/>
      <c r="I58" s="65"/>
      <c r="J58" s="121"/>
      <c r="K58" s="121"/>
      <c r="L58" s="65"/>
      <c r="M58" s="65"/>
      <c r="N58" s="65"/>
      <c r="O58" s="65"/>
    </row>
    <row r="59" spans="1:15" x14ac:dyDescent="0.25">
      <c r="A59" s="22" t="s">
        <v>154</v>
      </c>
      <c r="B59" s="123"/>
      <c r="C59" s="123"/>
      <c r="D59" s="22"/>
      <c r="E59" s="22"/>
      <c r="F59" s="22"/>
      <c r="G59" s="22"/>
      <c r="I59" s="65" t="s">
        <v>154</v>
      </c>
      <c r="J59" s="121"/>
      <c r="K59" s="121"/>
      <c r="L59" s="65"/>
      <c r="M59" s="65"/>
      <c r="N59" s="65"/>
      <c r="O59" s="65"/>
    </row>
    <row r="60" spans="1:15" ht="18" x14ac:dyDescent="0.25">
      <c r="A60" s="22" t="s">
        <v>155</v>
      </c>
      <c r="B60" s="123"/>
      <c r="C60" s="123"/>
      <c r="D60" s="22"/>
      <c r="E60" s="22"/>
      <c r="F60" s="22">
        <v>4</v>
      </c>
      <c r="G60" s="22" t="s">
        <v>28</v>
      </c>
      <c r="I60" s="65" t="s">
        <v>402</v>
      </c>
      <c r="J60" s="121"/>
      <c r="K60" s="121"/>
      <c r="L60" s="89">
        <f>K53/K49*1*12</f>
        <v>3.9956426027979539</v>
      </c>
      <c r="M60" s="65" t="s">
        <v>403</v>
      </c>
      <c r="N60" s="64">
        <v>4</v>
      </c>
      <c r="O60" s="65" t="s">
        <v>28</v>
      </c>
    </row>
    <row r="61" spans="1:15" x14ac:dyDescent="0.25">
      <c r="A61" s="22"/>
      <c r="B61" s="123"/>
      <c r="C61" s="123"/>
      <c r="D61" s="22"/>
      <c r="E61" s="22"/>
      <c r="F61" s="22"/>
      <c r="G61" s="22"/>
      <c r="I61" s="65"/>
      <c r="J61" s="121"/>
      <c r="K61" s="121"/>
      <c r="L61" s="65"/>
      <c r="M61" s="65"/>
      <c r="N61" s="65"/>
      <c r="O61" s="65"/>
    </row>
    <row r="62" spans="1:15" x14ac:dyDescent="0.25">
      <c r="A62" s="22" t="s">
        <v>156</v>
      </c>
      <c r="B62" s="123"/>
      <c r="C62" s="123"/>
      <c r="D62" s="22"/>
      <c r="E62" s="22"/>
      <c r="F62" s="22">
        <v>2.5</v>
      </c>
      <c r="G62" s="22" t="s">
        <v>31</v>
      </c>
      <c r="I62" s="65" t="s">
        <v>404</v>
      </c>
      <c r="J62" s="121"/>
      <c r="K62" s="138">
        <f>(N60+N57+4)/12</f>
        <v>2.3333333333333335</v>
      </c>
      <c r="L62" s="65"/>
      <c r="M62" s="65" t="s">
        <v>405</v>
      </c>
      <c r="N62" s="65">
        <v>2.5</v>
      </c>
      <c r="O62" s="65" t="s">
        <v>31</v>
      </c>
    </row>
    <row r="63" spans="1:15" x14ac:dyDescent="0.25">
      <c r="A63" s="22"/>
      <c r="B63" s="123"/>
      <c r="C63" s="123"/>
      <c r="D63" s="22"/>
      <c r="E63" s="22"/>
      <c r="F63" s="22"/>
      <c r="G63" s="22"/>
      <c r="I63" s="65"/>
      <c r="J63" s="121"/>
      <c r="K63" s="121"/>
      <c r="L63" s="65"/>
      <c r="M63" s="65"/>
      <c r="N63" s="65"/>
      <c r="O63" s="65"/>
    </row>
    <row r="64" spans="1:15" x14ac:dyDescent="0.25">
      <c r="A64" s="22" t="s">
        <v>157</v>
      </c>
      <c r="B64" s="123"/>
      <c r="C64" s="123"/>
      <c r="D64" s="22"/>
      <c r="E64" s="22"/>
      <c r="F64" s="22"/>
      <c r="G64" s="22"/>
      <c r="I64" s="65" t="s">
        <v>157</v>
      </c>
      <c r="J64" s="121"/>
      <c r="K64" s="121"/>
      <c r="L64" s="65"/>
      <c r="M64" s="65"/>
      <c r="N64" s="65"/>
      <c r="O64" s="65"/>
    </row>
    <row r="65" spans="1:15" x14ac:dyDescent="0.25">
      <c r="A65" s="22"/>
      <c r="B65" s="123"/>
      <c r="C65" s="123"/>
      <c r="D65" s="22"/>
      <c r="E65" s="22"/>
      <c r="F65" s="22"/>
      <c r="G65" s="22"/>
      <c r="I65" s="65"/>
      <c r="J65" s="121"/>
      <c r="K65" s="121"/>
      <c r="L65" s="65"/>
      <c r="M65" s="65"/>
      <c r="N65" s="65"/>
      <c r="O65" s="65"/>
    </row>
    <row r="66" spans="1:15" x14ac:dyDescent="0.25">
      <c r="A66" s="22" t="s">
        <v>158</v>
      </c>
      <c r="B66" s="123"/>
      <c r="C66" s="123"/>
      <c r="D66" s="22"/>
      <c r="E66" s="22"/>
      <c r="F66" s="22"/>
      <c r="G66" s="22"/>
      <c r="I66" s="65" t="s">
        <v>158</v>
      </c>
      <c r="J66" s="121"/>
      <c r="K66" s="121"/>
      <c r="L66" s="65"/>
      <c r="M66" s="65"/>
      <c r="N66" s="65"/>
      <c r="O66" s="65"/>
    </row>
    <row r="67" spans="1:15" ht="18.75" x14ac:dyDescent="0.3">
      <c r="A67" s="22" t="s">
        <v>161</v>
      </c>
      <c r="B67" s="123"/>
      <c r="C67" s="123"/>
      <c r="D67" s="22"/>
      <c r="E67" s="22"/>
      <c r="F67" s="22">
        <v>5.5500000000000002E-3</v>
      </c>
      <c r="G67" s="22" t="s">
        <v>34</v>
      </c>
      <c r="I67" s="65" t="s">
        <v>161</v>
      </c>
      <c r="J67" s="121"/>
      <c r="K67" s="121"/>
      <c r="L67" s="65"/>
      <c r="M67" s="65"/>
      <c r="N67" s="65">
        <f>K53/K49*1/60</f>
        <v>5.5495036149971581E-3</v>
      </c>
      <c r="O67" s="65" t="s">
        <v>34</v>
      </c>
    </row>
    <row r="68" spans="1:15" x14ac:dyDescent="0.25">
      <c r="A68" s="22"/>
      <c r="B68" s="123"/>
      <c r="C68" s="123"/>
      <c r="D68" s="22"/>
      <c r="E68" s="22"/>
      <c r="F68" s="22"/>
      <c r="G68" s="22"/>
      <c r="I68" s="65"/>
      <c r="J68" s="121"/>
      <c r="K68" s="121"/>
      <c r="L68" s="65"/>
      <c r="M68" s="65"/>
      <c r="N68" s="65"/>
      <c r="O68" s="65"/>
    </row>
    <row r="69" spans="1:15" x14ac:dyDescent="0.25">
      <c r="A69" s="22" t="s">
        <v>159</v>
      </c>
      <c r="B69" s="123"/>
      <c r="C69" s="123"/>
      <c r="D69" s="22"/>
      <c r="E69" s="22"/>
      <c r="F69" s="22"/>
      <c r="G69" s="22"/>
      <c r="I69" s="65" t="s">
        <v>159</v>
      </c>
      <c r="J69" s="121"/>
      <c r="K69" s="121"/>
      <c r="L69" s="65"/>
      <c r="M69" s="65"/>
      <c r="N69" s="65"/>
      <c r="O69" s="65"/>
    </row>
    <row r="70" spans="1:15" ht="18.75" x14ac:dyDescent="0.3">
      <c r="A70" s="22" t="s">
        <v>160</v>
      </c>
      <c r="B70" s="123"/>
      <c r="C70" s="123"/>
      <c r="D70" s="22"/>
      <c r="E70" s="22"/>
      <c r="F70" s="22">
        <v>8.5999999999999993E-2</v>
      </c>
      <c r="G70" s="22" t="s">
        <v>34</v>
      </c>
      <c r="I70" s="65" t="s">
        <v>407</v>
      </c>
      <c r="J70" s="121"/>
      <c r="K70" s="121"/>
      <c r="L70" s="65"/>
      <c r="M70" s="65"/>
      <c r="N70" s="90">
        <f>((0.001145*((K15-K11)/K13)))</f>
        <v>8.6030592334494782E-2</v>
      </c>
      <c r="O70" s="65" t="s">
        <v>34</v>
      </c>
    </row>
    <row r="71" spans="1:15" x14ac:dyDescent="0.25">
      <c r="A71" s="22"/>
      <c r="B71" s="123"/>
      <c r="C71" s="123"/>
      <c r="D71" s="22"/>
      <c r="E71" s="22"/>
      <c r="F71" s="22"/>
      <c r="G71" s="22"/>
      <c r="I71" s="65"/>
      <c r="J71" s="121"/>
      <c r="K71" s="121"/>
      <c r="L71" s="65"/>
      <c r="M71" s="65"/>
      <c r="N71" s="65"/>
      <c r="O71" s="65"/>
    </row>
    <row r="72" spans="1:15" ht="16.5" x14ac:dyDescent="0.3">
      <c r="A72" s="22" t="s">
        <v>162</v>
      </c>
      <c r="B72" s="123"/>
      <c r="C72" s="123"/>
      <c r="D72" s="22"/>
      <c r="E72" s="22"/>
      <c r="F72" s="22"/>
      <c r="G72" s="22"/>
      <c r="I72" s="65" t="s">
        <v>162</v>
      </c>
      <c r="J72" s="121"/>
      <c r="K72" s="121"/>
      <c r="L72" s="65"/>
      <c r="M72" s="65"/>
      <c r="N72" s="65"/>
      <c r="O72" s="65"/>
    </row>
    <row r="73" spans="1:15" x14ac:dyDescent="0.25">
      <c r="A73" s="22"/>
      <c r="B73" s="123"/>
      <c r="C73" s="123"/>
      <c r="D73" s="22"/>
      <c r="E73" s="22"/>
      <c r="F73" s="22"/>
      <c r="G73" s="22"/>
      <c r="I73" s="65"/>
      <c r="J73" s="121"/>
      <c r="K73" s="121"/>
      <c r="L73" s="65"/>
      <c r="M73" s="65"/>
      <c r="N73" s="65"/>
      <c r="O73" s="65"/>
    </row>
    <row r="74" spans="1:15" x14ac:dyDescent="0.25">
      <c r="A74" s="22" t="s">
        <v>163</v>
      </c>
      <c r="B74" s="123"/>
      <c r="C74" s="123"/>
      <c r="D74" s="22"/>
      <c r="E74" s="22"/>
      <c r="F74" s="22"/>
      <c r="G74" s="22"/>
      <c r="I74" s="65" t="s">
        <v>163</v>
      </c>
      <c r="J74" s="121"/>
      <c r="K74" s="121"/>
      <c r="L74" s="65"/>
      <c r="M74" s="65"/>
      <c r="N74" s="65"/>
      <c r="O74" s="65"/>
    </row>
    <row r="75" spans="1:15" x14ac:dyDescent="0.25">
      <c r="A75" s="22"/>
      <c r="B75" s="123"/>
      <c r="C75" s="123"/>
      <c r="D75" s="22"/>
      <c r="E75" s="22"/>
      <c r="F75" s="22"/>
      <c r="G75" s="22"/>
      <c r="I75" s="65"/>
      <c r="J75" s="121"/>
      <c r="K75" s="121"/>
      <c r="L75" s="65"/>
      <c r="M75" s="65"/>
      <c r="N75" s="65"/>
      <c r="O75" s="65"/>
    </row>
    <row r="76" spans="1:15" x14ac:dyDescent="0.25">
      <c r="A76" s="22" t="s">
        <v>164</v>
      </c>
      <c r="B76" s="123"/>
      <c r="C76" s="123"/>
      <c r="D76" s="22"/>
      <c r="E76" s="22"/>
      <c r="F76" s="22"/>
      <c r="G76" s="22"/>
      <c r="I76" s="65" t="s">
        <v>408</v>
      </c>
      <c r="J76" s="121"/>
      <c r="K76" s="121"/>
      <c r="L76" s="64">
        <v>16.876000000000001</v>
      </c>
      <c r="M76" s="87" t="s">
        <v>409</v>
      </c>
      <c r="N76" s="65"/>
      <c r="O76" s="65"/>
    </row>
    <row r="77" spans="1:15" x14ac:dyDescent="0.25">
      <c r="A77" s="22"/>
      <c r="B77" s="123"/>
      <c r="C77" s="123"/>
      <c r="D77" s="22"/>
      <c r="E77" s="22"/>
      <c r="F77" s="22"/>
      <c r="G77" s="22"/>
      <c r="I77" s="65"/>
      <c r="J77" s="121"/>
      <c r="K77" s="121"/>
      <c r="L77" s="65"/>
      <c r="M77" s="65"/>
      <c r="N77" s="65"/>
      <c r="O77" s="65"/>
    </row>
    <row r="78" spans="1:15" ht="15" customHeight="1" x14ac:dyDescent="0.25">
      <c r="A78" s="160" t="s">
        <v>165</v>
      </c>
      <c r="B78" s="160"/>
      <c r="C78" s="160"/>
      <c r="D78" s="160"/>
      <c r="E78" s="160"/>
      <c r="F78" s="160"/>
      <c r="G78" s="160"/>
      <c r="I78" s="165" t="s">
        <v>165</v>
      </c>
      <c r="J78" s="165"/>
      <c r="K78" s="165"/>
      <c r="L78" s="165"/>
      <c r="M78" s="165"/>
      <c r="N78" s="165"/>
      <c r="O78" s="165"/>
    </row>
    <row r="79" spans="1:15" x14ac:dyDescent="0.25">
      <c r="A79" s="160"/>
      <c r="B79" s="160"/>
      <c r="C79" s="160"/>
      <c r="D79" s="160"/>
      <c r="E79" s="160"/>
      <c r="F79" s="160"/>
      <c r="G79" s="160"/>
      <c r="I79" s="165"/>
      <c r="J79" s="165"/>
      <c r="K79" s="165"/>
      <c r="L79" s="165"/>
      <c r="M79" s="165"/>
      <c r="N79" s="165"/>
      <c r="O79" s="165"/>
    </row>
    <row r="80" spans="1:15" x14ac:dyDescent="0.25">
      <c r="A80" s="22"/>
      <c r="B80" s="123"/>
      <c r="C80" s="123"/>
      <c r="D80" s="22"/>
      <c r="E80" s="22"/>
      <c r="F80" s="22"/>
      <c r="G80" s="22"/>
      <c r="I80" s="65"/>
      <c r="J80" s="121"/>
      <c r="K80" s="121"/>
      <c r="L80" s="65"/>
      <c r="M80" s="65"/>
      <c r="N80" s="65"/>
      <c r="O80" s="65"/>
    </row>
    <row r="81" spans="1:15" x14ac:dyDescent="0.25">
      <c r="A81" s="153" t="s">
        <v>76</v>
      </c>
      <c r="B81" s="155" t="s">
        <v>1</v>
      </c>
      <c r="C81" s="29" t="s">
        <v>166</v>
      </c>
      <c r="D81" s="22"/>
      <c r="E81" s="22"/>
      <c r="F81" s="22"/>
      <c r="G81" s="22"/>
      <c r="I81" s="157" t="s">
        <v>76</v>
      </c>
      <c r="J81" s="158" t="s">
        <v>1</v>
      </c>
      <c r="K81" s="74" t="s">
        <v>166</v>
      </c>
      <c r="L81" s="65"/>
      <c r="M81" s="65"/>
      <c r="N81" s="65"/>
      <c r="O81" s="65"/>
    </row>
    <row r="82" spans="1:15" ht="15.75" customHeight="1" x14ac:dyDescent="0.25">
      <c r="A82" s="153"/>
      <c r="B82" s="155"/>
      <c r="C82" s="29" t="s">
        <v>167</v>
      </c>
      <c r="D82" s="22"/>
      <c r="E82" s="22"/>
      <c r="F82" s="22"/>
      <c r="G82" s="22"/>
      <c r="I82" s="157"/>
      <c r="J82" s="158"/>
      <c r="K82" s="74" t="s">
        <v>167</v>
      </c>
      <c r="L82" s="65"/>
      <c r="M82" s="65"/>
      <c r="N82" s="65"/>
      <c r="O82" s="65"/>
    </row>
    <row r="83" spans="1:15" x14ac:dyDescent="0.25">
      <c r="A83" s="22"/>
      <c r="B83" s="123" t="s">
        <v>1</v>
      </c>
      <c r="C83" s="123">
        <v>33.200000000000003</v>
      </c>
      <c r="D83" s="22" t="s">
        <v>34</v>
      </c>
      <c r="E83" s="22"/>
      <c r="F83" s="22"/>
      <c r="G83" s="22"/>
      <c r="I83" s="65"/>
      <c r="J83" s="121" t="s">
        <v>1</v>
      </c>
      <c r="K83" s="142">
        <f>(K6+M7)*144*1/K14/3.14159/(L76/2)^2/3600</f>
        <v>33.215711908786865</v>
      </c>
      <c r="L83" s="65" t="s">
        <v>34</v>
      </c>
      <c r="M83" s="65"/>
      <c r="N83" s="65"/>
      <c r="O83" s="65"/>
    </row>
    <row r="84" spans="1:15" x14ac:dyDescent="0.25">
      <c r="A84" s="22" t="s">
        <v>168</v>
      </c>
      <c r="B84" s="123"/>
      <c r="C84" s="123"/>
      <c r="D84" s="22"/>
      <c r="E84" s="22"/>
      <c r="F84" s="22"/>
      <c r="G84" s="22"/>
      <c r="I84" s="65" t="s">
        <v>168</v>
      </c>
      <c r="J84" s="121"/>
      <c r="K84" s="121"/>
      <c r="L84" s="65"/>
      <c r="M84" s="65"/>
      <c r="N84" s="65"/>
      <c r="O84" s="65"/>
    </row>
    <row r="85" spans="1:15" ht="18.75" x14ac:dyDescent="0.3">
      <c r="A85" s="22" t="s">
        <v>169</v>
      </c>
      <c r="B85" s="123"/>
      <c r="C85" s="26">
        <v>1931</v>
      </c>
      <c r="D85" s="22" t="s">
        <v>171</v>
      </c>
      <c r="E85" s="26" t="s">
        <v>170</v>
      </c>
      <c r="F85" s="22">
        <v>6000</v>
      </c>
      <c r="G85" s="22" t="s">
        <v>171</v>
      </c>
      <c r="I85" s="65" t="s">
        <v>169</v>
      </c>
      <c r="J85" s="121"/>
      <c r="K85" s="143">
        <f>K14*K83^2</f>
        <v>1930.7461558131695</v>
      </c>
      <c r="L85" s="65" t="s">
        <v>171</v>
      </c>
      <c r="M85" s="70" t="s">
        <v>170</v>
      </c>
      <c r="N85" s="65">
        <v>6000</v>
      </c>
      <c r="O85" s="65" t="s">
        <v>171</v>
      </c>
    </row>
    <row r="86" spans="1:15" x14ac:dyDescent="0.25">
      <c r="A86" s="22" t="s">
        <v>172</v>
      </c>
      <c r="B86" s="123"/>
      <c r="C86" s="123"/>
      <c r="D86" s="22"/>
      <c r="E86" s="22"/>
      <c r="F86" s="22"/>
      <c r="G86" s="22"/>
      <c r="I86" s="65" t="s">
        <v>172</v>
      </c>
      <c r="J86" s="121"/>
      <c r="K86" s="121"/>
      <c r="L86" s="65"/>
      <c r="M86" s="65"/>
      <c r="N86" s="65"/>
      <c r="O86" s="65"/>
    </row>
    <row r="87" spans="1:15" x14ac:dyDescent="0.25">
      <c r="A87" s="22" t="s">
        <v>173</v>
      </c>
      <c r="B87" s="123"/>
      <c r="C87" s="123"/>
      <c r="D87" s="22"/>
      <c r="E87" s="22"/>
      <c r="F87" s="22"/>
      <c r="G87" s="22"/>
      <c r="I87" s="65" t="s">
        <v>173</v>
      </c>
      <c r="J87" s="121"/>
      <c r="K87" s="121"/>
      <c r="L87" s="65"/>
      <c r="M87" s="65"/>
      <c r="N87" s="65"/>
      <c r="O87" s="65"/>
    </row>
    <row r="88" spans="1:15" x14ac:dyDescent="0.25">
      <c r="A88" s="22" t="s">
        <v>174</v>
      </c>
      <c r="B88" s="123"/>
      <c r="C88" s="123"/>
      <c r="D88" s="22"/>
      <c r="E88" s="22"/>
      <c r="F88" s="22"/>
      <c r="G88" s="22"/>
      <c r="I88" s="65" t="s">
        <v>174</v>
      </c>
      <c r="J88" s="121"/>
      <c r="K88" s="121"/>
      <c r="L88" s="65"/>
      <c r="M88" s="65"/>
      <c r="N88" s="65"/>
      <c r="O88" s="65"/>
    </row>
    <row r="89" spans="1:15" x14ac:dyDescent="0.25">
      <c r="A89" s="22"/>
      <c r="B89" s="123"/>
      <c r="C89" s="123"/>
      <c r="D89" s="22"/>
      <c r="E89" s="22"/>
      <c r="F89" s="22"/>
      <c r="G89" s="22"/>
      <c r="I89" s="65"/>
      <c r="J89" s="121"/>
      <c r="K89" s="121"/>
      <c r="L89" s="65"/>
      <c r="M89" s="65"/>
      <c r="N89" s="65"/>
      <c r="O89" s="65"/>
    </row>
    <row r="90" spans="1:15" x14ac:dyDescent="0.25">
      <c r="A90" s="22" t="s">
        <v>175</v>
      </c>
      <c r="B90" s="123"/>
      <c r="C90" s="26"/>
      <c r="D90" s="22"/>
      <c r="E90" s="22">
        <v>4</v>
      </c>
      <c r="F90" s="22" t="s">
        <v>31</v>
      </c>
      <c r="G90" s="22"/>
      <c r="I90" s="65" t="s">
        <v>175</v>
      </c>
      <c r="J90" s="121"/>
      <c r="K90" s="70"/>
      <c r="L90" s="65"/>
      <c r="M90" s="64">
        <v>4</v>
      </c>
      <c r="N90" s="65" t="s">
        <v>31</v>
      </c>
      <c r="O90" s="65"/>
    </row>
    <row r="91" spans="1:15" x14ac:dyDescent="0.25">
      <c r="A91" s="22" t="s">
        <v>176</v>
      </c>
      <c r="B91" s="123"/>
      <c r="C91" s="123"/>
      <c r="D91" s="22"/>
      <c r="E91" s="22">
        <v>2</v>
      </c>
      <c r="F91" s="22" t="s">
        <v>31</v>
      </c>
      <c r="G91" s="22" t="s">
        <v>177</v>
      </c>
      <c r="I91" s="65" t="s">
        <v>176</v>
      </c>
      <c r="J91" s="121"/>
      <c r="K91" s="121"/>
      <c r="L91" s="65"/>
      <c r="M91" s="64">
        <v>2</v>
      </c>
      <c r="N91" s="65" t="s">
        <v>31</v>
      </c>
      <c r="O91" s="65" t="s">
        <v>177</v>
      </c>
    </row>
    <row r="92" spans="1:15" x14ac:dyDescent="0.25">
      <c r="A92" s="22" t="s">
        <v>178</v>
      </c>
      <c r="B92" s="123"/>
      <c r="C92" s="123"/>
      <c r="D92" s="22"/>
      <c r="E92" s="22">
        <v>1.5</v>
      </c>
      <c r="F92" s="22" t="s">
        <v>31</v>
      </c>
      <c r="G92" s="22"/>
      <c r="I92" s="65" t="s">
        <v>178</v>
      </c>
      <c r="J92" s="121"/>
      <c r="K92" s="121"/>
      <c r="L92" s="65"/>
      <c r="M92" s="64">
        <v>1.5</v>
      </c>
      <c r="N92" s="65" t="s">
        <v>31</v>
      </c>
      <c r="O92" s="65"/>
    </row>
    <row r="93" spans="1:15" x14ac:dyDescent="0.25">
      <c r="A93" s="22" t="s">
        <v>179</v>
      </c>
      <c r="B93" s="123"/>
      <c r="C93" s="123"/>
      <c r="D93" s="22"/>
      <c r="E93" s="22">
        <v>3</v>
      </c>
      <c r="F93" s="22" t="s">
        <v>31</v>
      </c>
      <c r="G93" s="22"/>
      <c r="I93" s="65" t="s">
        <v>179</v>
      </c>
      <c r="J93" s="121"/>
      <c r="K93" s="121"/>
      <c r="L93" s="65"/>
      <c r="M93" s="64">
        <v>3</v>
      </c>
      <c r="N93" s="65" t="s">
        <v>31</v>
      </c>
      <c r="O93" s="65"/>
    </row>
    <row r="94" spans="1:15" x14ac:dyDescent="0.25">
      <c r="A94" s="22" t="s">
        <v>180</v>
      </c>
      <c r="B94" s="123"/>
      <c r="C94" s="123"/>
      <c r="D94" s="22"/>
      <c r="E94" s="22">
        <v>0.5</v>
      </c>
      <c r="F94" s="22" t="s">
        <v>31</v>
      </c>
      <c r="G94" s="22"/>
      <c r="I94" s="65" t="s">
        <v>180</v>
      </c>
      <c r="J94" s="121"/>
      <c r="K94" s="121"/>
      <c r="L94" s="65"/>
      <c r="M94" s="64">
        <v>0.5</v>
      </c>
      <c r="N94" s="65" t="s">
        <v>31</v>
      </c>
      <c r="O94" s="65"/>
    </row>
    <row r="95" spans="1:15" x14ac:dyDescent="0.25">
      <c r="A95" s="22" t="s">
        <v>181</v>
      </c>
      <c r="B95" s="123"/>
      <c r="C95" s="123"/>
      <c r="D95" s="22">
        <v>2.75</v>
      </c>
      <c r="E95" s="22" t="s">
        <v>182</v>
      </c>
      <c r="F95" s="22"/>
      <c r="G95" s="22"/>
      <c r="I95" s="65" t="s">
        <v>181</v>
      </c>
      <c r="J95" s="121"/>
      <c r="K95" s="121"/>
      <c r="L95" s="65">
        <v>2.75</v>
      </c>
      <c r="M95" s="65" t="s">
        <v>182</v>
      </c>
      <c r="N95" s="65"/>
      <c r="O95" s="65"/>
    </row>
    <row r="96" spans="1:15" x14ac:dyDescent="0.25">
      <c r="A96" s="26" t="s">
        <v>183</v>
      </c>
      <c r="B96" s="123"/>
      <c r="C96" s="123"/>
      <c r="D96" s="22"/>
      <c r="E96" s="22">
        <v>3</v>
      </c>
      <c r="F96" s="22" t="s">
        <v>31</v>
      </c>
      <c r="G96" s="22"/>
      <c r="I96" s="70" t="s">
        <v>183</v>
      </c>
      <c r="J96" s="121"/>
      <c r="K96" s="121"/>
      <c r="L96" s="65"/>
      <c r="M96" s="64">
        <v>3</v>
      </c>
      <c r="N96" s="65" t="s">
        <v>31</v>
      </c>
      <c r="O96" s="65"/>
    </row>
    <row r="97" spans="1:15" x14ac:dyDescent="0.25">
      <c r="A97" s="22" t="s">
        <v>184</v>
      </c>
      <c r="B97" s="123"/>
      <c r="C97" s="123"/>
      <c r="D97" s="22"/>
      <c r="E97" s="22">
        <v>1</v>
      </c>
      <c r="F97" s="22" t="s">
        <v>31</v>
      </c>
      <c r="G97" s="22"/>
      <c r="I97" s="65" t="s">
        <v>184</v>
      </c>
      <c r="J97" s="121"/>
      <c r="K97" s="121"/>
      <c r="L97" s="65"/>
      <c r="M97" s="64">
        <v>1</v>
      </c>
      <c r="N97" s="65" t="s">
        <v>31</v>
      </c>
      <c r="O97" s="65"/>
    </row>
    <row r="98" spans="1:15" x14ac:dyDescent="0.25">
      <c r="A98" s="22" t="s">
        <v>185</v>
      </c>
      <c r="B98" s="123"/>
      <c r="C98" s="123"/>
      <c r="D98" s="22"/>
      <c r="E98" s="22"/>
      <c r="F98" s="22"/>
      <c r="G98" s="22"/>
      <c r="I98" s="65" t="s">
        <v>185</v>
      </c>
      <c r="J98" s="121"/>
      <c r="K98" s="121"/>
      <c r="L98" s="65"/>
      <c r="M98" s="65"/>
      <c r="N98" s="65"/>
      <c r="O98" s="65"/>
    </row>
    <row r="99" spans="1:15" x14ac:dyDescent="0.25">
      <c r="A99" s="22"/>
      <c r="B99" s="123"/>
      <c r="C99" s="123"/>
      <c r="D99" s="22"/>
      <c r="E99" s="22"/>
      <c r="F99" s="22"/>
      <c r="G99" s="22"/>
      <c r="I99" s="65"/>
      <c r="J99" s="121"/>
      <c r="K99" s="121"/>
      <c r="L99" s="65"/>
      <c r="M99" s="65"/>
      <c r="N99" s="65"/>
      <c r="O99" s="65"/>
    </row>
    <row r="100" spans="1:15" x14ac:dyDescent="0.25">
      <c r="A100" s="22" t="s">
        <v>186</v>
      </c>
      <c r="B100" s="123" t="s">
        <v>1</v>
      </c>
      <c r="C100" s="123">
        <v>12</v>
      </c>
      <c r="D100" s="22" t="s">
        <v>187</v>
      </c>
      <c r="E100" s="22"/>
      <c r="F100" s="22"/>
      <c r="G100" s="22"/>
      <c r="I100" s="65" t="s">
        <v>186</v>
      </c>
      <c r="J100" s="121" t="s">
        <v>1</v>
      </c>
      <c r="K100" s="121">
        <f>M90+M91+M92+M93+M94+M97</f>
        <v>12</v>
      </c>
      <c r="L100" s="65" t="s">
        <v>187</v>
      </c>
      <c r="M100" s="65"/>
      <c r="N100" s="65"/>
      <c r="O100" s="65"/>
    </row>
    <row r="101" spans="1:15" x14ac:dyDescent="0.25">
      <c r="A101" s="22"/>
      <c r="B101" s="123"/>
      <c r="C101" s="123"/>
      <c r="D101" s="22"/>
      <c r="E101" s="22"/>
      <c r="F101" s="22"/>
      <c r="G101" s="22"/>
      <c r="I101" s="65"/>
      <c r="J101" s="121"/>
      <c r="K101" s="121"/>
      <c r="L101" s="65"/>
      <c r="M101" s="65"/>
      <c r="N101" s="65"/>
      <c r="O101" s="65"/>
    </row>
    <row r="102" spans="1:15" x14ac:dyDescent="0.25">
      <c r="A102" s="22"/>
      <c r="B102" s="123"/>
      <c r="C102" s="123"/>
      <c r="D102" s="22"/>
      <c r="E102" s="22"/>
      <c r="F102" s="22"/>
      <c r="G102" s="22"/>
      <c r="I102" s="65"/>
      <c r="J102" s="121"/>
      <c r="K102" s="121"/>
      <c r="L102" s="65"/>
      <c r="M102" s="65"/>
      <c r="N102" s="65"/>
      <c r="O102" s="65"/>
    </row>
    <row r="103" spans="1:15" x14ac:dyDescent="0.25">
      <c r="A103" s="7"/>
      <c r="B103" s="8"/>
      <c r="C103" s="8"/>
      <c r="D103" s="7"/>
      <c r="E103" s="7"/>
      <c r="F103" s="7"/>
      <c r="G103" s="7"/>
    </row>
    <row r="104" spans="1:15" x14ac:dyDescent="0.25">
      <c r="A104" s="118" t="s">
        <v>493</v>
      </c>
      <c r="B104" s="8"/>
      <c r="C104" s="8"/>
      <c r="D104" s="7"/>
      <c r="E104" s="7"/>
      <c r="F104" s="7"/>
      <c r="G104" s="7"/>
    </row>
    <row r="105" spans="1:15" x14ac:dyDescent="0.25">
      <c r="A105" s="118" t="s">
        <v>494</v>
      </c>
      <c r="B105" s="8"/>
      <c r="C105" s="8"/>
      <c r="D105" s="7"/>
      <c r="E105" s="7"/>
      <c r="F105" s="7"/>
      <c r="G105" s="7"/>
    </row>
    <row r="106" spans="1:15" x14ac:dyDescent="0.25">
      <c r="A106" s="118" t="s">
        <v>495</v>
      </c>
      <c r="B106" s="8"/>
      <c r="C106" s="8"/>
      <c r="D106" s="7"/>
      <c r="E106" s="7"/>
      <c r="F106" s="7"/>
      <c r="G106" s="7"/>
    </row>
    <row r="107" spans="1:15" x14ac:dyDescent="0.25">
      <c r="A107" s="118" t="s">
        <v>496</v>
      </c>
      <c r="B107" s="8"/>
      <c r="C107" s="8"/>
      <c r="D107" s="7"/>
      <c r="E107" s="7"/>
      <c r="F107" s="7"/>
      <c r="G107" s="7"/>
    </row>
    <row r="108" spans="1:15" x14ac:dyDescent="0.25">
      <c r="A108" s="118" t="s">
        <v>497</v>
      </c>
    </row>
  </sheetData>
  <sheetProtection password="F030" sheet="1" objects="1" scenarios="1"/>
  <mergeCells count="14">
    <mergeCell ref="I1:O1"/>
    <mergeCell ref="A78:G79"/>
    <mergeCell ref="A81:A82"/>
    <mergeCell ref="B81:B82"/>
    <mergeCell ref="M14:O15"/>
    <mergeCell ref="K28:L28"/>
    <mergeCell ref="M30:O31"/>
    <mergeCell ref="I78:O79"/>
    <mergeCell ref="I81:I82"/>
    <mergeCell ref="J81:J82"/>
    <mergeCell ref="E14:G15"/>
    <mergeCell ref="C28:D28"/>
    <mergeCell ref="E30:G31"/>
    <mergeCell ref="A1:G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9"/>
  <sheetViews>
    <sheetView zoomScale="80" zoomScaleNormal="80" workbookViewId="0">
      <selection activeCell="J4" sqref="J4"/>
    </sheetView>
  </sheetViews>
  <sheetFormatPr defaultColWidth="9.140625" defaultRowHeight="15" x14ac:dyDescent="0.25"/>
  <cols>
    <col min="1" max="1" width="33.85546875" style="3" customWidth="1"/>
    <col min="2" max="2" width="6.7109375" style="4" customWidth="1"/>
    <col min="3" max="3" width="9.42578125" style="4" customWidth="1"/>
    <col min="4" max="4" width="7.140625" style="3" customWidth="1"/>
    <col min="5" max="5" width="41.5703125" style="3" customWidth="1"/>
    <col min="6" max="6" width="4.85546875" style="3" customWidth="1"/>
    <col min="7" max="7" width="14.5703125" style="3" customWidth="1"/>
    <col min="8" max="8" width="4.140625" style="3" customWidth="1"/>
    <col min="9" max="9" width="33.85546875" style="3" customWidth="1"/>
    <col min="10" max="11" width="9.5703125" style="4" customWidth="1"/>
    <col min="12" max="12" width="9" style="3" customWidth="1"/>
    <col min="13" max="13" width="34.5703125" style="3" customWidth="1"/>
    <col min="14" max="14" width="4.85546875" style="3" customWidth="1"/>
    <col min="15" max="15" width="18.28515625" style="3" customWidth="1"/>
    <col min="16" max="16384" width="9.140625" style="3"/>
  </cols>
  <sheetData>
    <row r="1" spans="1:15" ht="38.25" customHeight="1" x14ac:dyDescent="0.25">
      <c r="A1" s="169" t="s">
        <v>189</v>
      </c>
      <c r="B1" s="169"/>
      <c r="C1" s="169"/>
      <c r="D1" s="169"/>
      <c r="E1" s="169"/>
      <c r="F1" s="169"/>
      <c r="G1" s="169"/>
      <c r="I1" s="159" t="s">
        <v>309</v>
      </c>
      <c r="J1" s="159"/>
      <c r="K1" s="159"/>
      <c r="L1" s="159"/>
      <c r="M1" s="159"/>
      <c r="N1" s="159"/>
      <c r="O1" s="159"/>
    </row>
    <row r="2" spans="1:15" x14ac:dyDescent="0.25">
      <c r="A2" s="22" t="s">
        <v>115</v>
      </c>
      <c r="B2" s="123"/>
      <c r="C2" s="123"/>
      <c r="D2" s="22"/>
      <c r="E2" s="22"/>
      <c r="F2" s="22"/>
      <c r="G2" s="22"/>
      <c r="I2" s="65" t="s">
        <v>115</v>
      </c>
      <c r="J2" s="121"/>
      <c r="K2" s="121"/>
      <c r="L2" s="65"/>
      <c r="M2" s="65"/>
      <c r="N2" s="65"/>
      <c r="O2" s="65"/>
    </row>
    <row r="3" spans="1:15" x14ac:dyDescent="0.25">
      <c r="A3" s="22"/>
      <c r="B3" s="123"/>
      <c r="C3" s="123"/>
      <c r="D3" s="22"/>
      <c r="E3" s="22"/>
      <c r="F3" s="22"/>
      <c r="G3" s="22"/>
      <c r="I3" s="65"/>
      <c r="J3" s="121"/>
      <c r="K3" s="121"/>
      <c r="L3" s="65"/>
      <c r="M3" s="65"/>
      <c r="N3" s="65"/>
      <c r="O3" s="65"/>
    </row>
    <row r="4" spans="1:15" x14ac:dyDescent="0.25">
      <c r="A4" s="22" t="s">
        <v>190</v>
      </c>
      <c r="B4" s="47">
        <v>120</v>
      </c>
      <c r="C4" s="29" t="s">
        <v>486</v>
      </c>
      <c r="D4" s="22"/>
      <c r="E4" s="22"/>
      <c r="F4" s="22"/>
      <c r="G4" s="22"/>
      <c r="I4" s="65" t="s">
        <v>190</v>
      </c>
      <c r="J4" s="91">
        <v>120</v>
      </c>
      <c r="K4" s="74" t="s">
        <v>486</v>
      </c>
      <c r="L4" s="65"/>
      <c r="M4" s="65"/>
      <c r="N4" s="65"/>
      <c r="O4" s="65"/>
    </row>
    <row r="5" spans="1:15" x14ac:dyDescent="0.25">
      <c r="A5" s="22" t="s">
        <v>191</v>
      </c>
      <c r="B5" s="47">
        <v>250</v>
      </c>
      <c r="C5" s="29" t="s">
        <v>30</v>
      </c>
      <c r="D5" s="22"/>
      <c r="E5" s="22"/>
      <c r="F5" s="22"/>
      <c r="G5" s="22"/>
      <c r="I5" s="65" t="s">
        <v>191</v>
      </c>
      <c r="J5" s="91">
        <v>250</v>
      </c>
      <c r="K5" s="74" t="s">
        <v>30</v>
      </c>
      <c r="L5" s="65"/>
      <c r="M5" s="65"/>
      <c r="N5" s="65"/>
      <c r="O5" s="65"/>
    </row>
    <row r="6" spans="1:15" ht="15" customHeight="1" x14ac:dyDescent="0.25">
      <c r="A6" s="22" t="s">
        <v>192</v>
      </c>
      <c r="B6" s="47">
        <v>15</v>
      </c>
      <c r="C6" s="29" t="s">
        <v>117</v>
      </c>
      <c r="D6" s="22" t="s">
        <v>193</v>
      </c>
      <c r="E6" s="22"/>
      <c r="F6" s="22"/>
      <c r="G6" s="22"/>
      <c r="I6" s="65" t="s">
        <v>192</v>
      </c>
      <c r="J6" s="91">
        <v>15</v>
      </c>
      <c r="K6" s="74" t="s">
        <v>117</v>
      </c>
      <c r="L6" s="119">
        <v>28910</v>
      </c>
      <c r="M6" s="65" t="s">
        <v>251</v>
      </c>
      <c r="N6" s="65"/>
      <c r="O6" s="65"/>
    </row>
    <row r="7" spans="1:15" ht="16.899999999999999" customHeight="1" x14ac:dyDescent="0.25">
      <c r="A7" s="22" t="s">
        <v>194</v>
      </c>
      <c r="B7" s="47">
        <v>25000</v>
      </c>
      <c r="C7" s="29" t="s">
        <v>196</v>
      </c>
      <c r="D7" s="22" t="s">
        <v>195</v>
      </c>
      <c r="E7" s="22"/>
      <c r="F7" s="22"/>
      <c r="G7" s="22"/>
      <c r="I7" s="65" t="s">
        <v>194</v>
      </c>
      <c r="J7" s="92">
        <v>268200</v>
      </c>
      <c r="K7" s="74" t="s">
        <v>251</v>
      </c>
      <c r="L7" s="65" t="s">
        <v>382</v>
      </c>
      <c r="M7" s="65"/>
      <c r="N7" s="65"/>
      <c r="O7" s="65"/>
    </row>
    <row r="8" spans="1:15" x14ac:dyDescent="0.25">
      <c r="A8" s="22"/>
      <c r="B8" s="123"/>
      <c r="C8" s="29"/>
      <c r="D8" s="22"/>
      <c r="E8" s="22"/>
      <c r="F8" s="22"/>
      <c r="G8" s="22"/>
      <c r="I8" s="65"/>
      <c r="J8" s="121"/>
      <c r="K8" s="74"/>
      <c r="L8" s="65"/>
      <c r="M8" s="65"/>
      <c r="N8" s="65"/>
      <c r="O8" s="65"/>
    </row>
    <row r="9" spans="1:15" ht="14.25" customHeight="1" x14ac:dyDescent="0.25">
      <c r="A9" s="32" t="s">
        <v>116</v>
      </c>
      <c r="B9" s="21"/>
      <c r="C9" s="21"/>
      <c r="D9" s="20"/>
      <c r="E9" s="19"/>
      <c r="F9" s="19"/>
      <c r="G9" s="19"/>
      <c r="I9" s="77" t="s">
        <v>116</v>
      </c>
      <c r="J9" s="64"/>
      <c r="K9" s="64"/>
      <c r="L9" s="63"/>
      <c r="M9" s="62"/>
      <c r="N9" s="62"/>
      <c r="O9" s="62"/>
    </row>
    <row r="10" spans="1:15" ht="18.75" x14ac:dyDescent="0.3">
      <c r="A10" s="129" t="s">
        <v>124</v>
      </c>
      <c r="B10" s="25" t="s">
        <v>120</v>
      </c>
      <c r="C10" s="21">
        <v>0.77400000000000002</v>
      </c>
      <c r="D10" s="20" t="s">
        <v>33</v>
      </c>
      <c r="E10" s="19"/>
      <c r="F10" s="19"/>
      <c r="G10" s="19"/>
      <c r="I10" s="117" t="s">
        <v>124</v>
      </c>
      <c r="J10" s="68" t="s">
        <v>120</v>
      </c>
      <c r="K10" s="69">
        <v>0.77400000000000002</v>
      </c>
      <c r="L10" s="63" t="s">
        <v>33</v>
      </c>
      <c r="M10" s="62"/>
      <c r="N10" s="62"/>
      <c r="O10" s="62"/>
    </row>
    <row r="11" spans="1:15" ht="18.75" x14ac:dyDescent="0.3">
      <c r="A11" s="26" t="s">
        <v>123</v>
      </c>
      <c r="B11" s="25" t="s">
        <v>120</v>
      </c>
      <c r="C11" s="123">
        <v>1.2E-2</v>
      </c>
      <c r="D11" s="20" t="s">
        <v>264</v>
      </c>
      <c r="E11" s="19"/>
      <c r="F11" s="19"/>
      <c r="G11" s="19"/>
      <c r="I11" s="70" t="s">
        <v>123</v>
      </c>
      <c r="J11" s="68" t="s">
        <v>120</v>
      </c>
      <c r="K11" s="71">
        <v>1.2E-2</v>
      </c>
      <c r="L11" s="63" t="s">
        <v>33</v>
      </c>
      <c r="M11" s="62"/>
      <c r="N11" s="62"/>
      <c r="O11" s="62"/>
    </row>
    <row r="12" spans="1:15" ht="18" customHeight="1" x14ac:dyDescent="0.3">
      <c r="A12" s="26" t="s">
        <v>266</v>
      </c>
      <c r="B12" s="25" t="s">
        <v>1</v>
      </c>
      <c r="C12" s="25">
        <v>0.57299999999999995</v>
      </c>
      <c r="D12" s="20" t="s">
        <v>121</v>
      </c>
      <c r="E12" s="19"/>
      <c r="F12" s="19"/>
      <c r="G12" s="19"/>
      <c r="I12" s="70" t="s">
        <v>122</v>
      </c>
      <c r="J12" s="68" t="s">
        <v>1</v>
      </c>
      <c r="K12" s="78">
        <v>0.57299999999999995</v>
      </c>
      <c r="L12" s="63" t="s">
        <v>121</v>
      </c>
      <c r="M12" s="62"/>
      <c r="N12" s="62"/>
      <c r="O12" s="62"/>
    </row>
    <row r="13" spans="1:15" ht="16.149999999999999" customHeight="1" x14ac:dyDescent="0.3">
      <c r="A13" s="129" t="s">
        <v>125</v>
      </c>
      <c r="B13" s="25" t="s">
        <v>1</v>
      </c>
      <c r="C13" s="21">
        <v>6.87</v>
      </c>
      <c r="D13" s="20" t="s">
        <v>33</v>
      </c>
      <c r="E13" s="166"/>
      <c r="F13" s="166"/>
      <c r="G13" s="166"/>
      <c r="I13" s="117" t="s">
        <v>125</v>
      </c>
      <c r="J13" s="68" t="s">
        <v>1</v>
      </c>
      <c r="K13" s="69">
        <v>6.87</v>
      </c>
      <c r="L13" s="63" t="s">
        <v>119</v>
      </c>
      <c r="M13" s="161"/>
      <c r="N13" s="161"/>
      <c r="O13" s="161"/>
    </row>
    <row r="14" spans="1:15" ht="18.75" x14ac:dyDescent="0.3">
      <c r="A14" s="129" t="s">
        <v>265</v>
      </c>
      <c r="B14" s="25" t="s">
        <v>1</v>
      </c>
      <c r="C14" s="123">
        <v>44.58</v>
      </c>
      <c r="D14" s="20" t="s">
        <v>33</v>
      </c>
      <c r="E14" s="166"/>
      <c r="F14" s="166"/>
      <c r="G14" s="166"/>
      <c r="I14" s="117" t="s">
        <v>265</v>
      </c>
      <c r="J14" s="68" t="s">
        <v>1</v>
      </c>
      <c r="K14" s="71">
        <v>44.58</v>
      </c>
      <c r="L14" s="63" t="s">
        <v>119</v>
      </c>
      <c r="M14" s="161"/>
      <c r="N14" s="161"/>
      <c r="O14" s="161"/>
    </row>
    <row r="15" spans="1:15" ht="15" customHeight="1" x14ac:dyDescent="0.25">
      <c r="A15" s="20"/>
      <c r="B15" s="21"/>
      <c r="C15" s="21"/>
      <c r="D15" s="20"/>
      <c r="E15" s="19"/>
      <c r="F15" s="19"/>
      <c r="G15" s="19"/>
      <c r="I15" s="63"/>
      <c r="J15" s="64"/>
      <c r="K15" s="64"/>
      <c r="L15" s="63"/>
      <c r="M15" s="62"/>
      <c r="N15" s="62"/>
      <c r="O15" s="62"/>
    </row>
    <row r="16" spans="1:15" x14ac:dyDescent="0.25">
      <c r="A16" s="22" t="s">
        <v>126</v>
      </c>
      <c r="B16" s="123"/>
      <c r="C16" s="123"/>
      <c r="D16" s="22"/>
      <c r="E16" s="22"/>
      <c r="F16" s="22"/>
      <c r="G16" s="22"/>
      <c r="I16" s="65" t="s">
        <v>126</v>
      </c>
      <c r="J16" s="121"/>
      <c r="K16" s="121"/>
      <c r="L16" s="65"/>
      <c r="M16" s="65"/>
      <c r="N16" s="65"/>
      <c r="O16" s="65"/>
    </row>
    <row r="17" spans="1:15" x14ac:dyDescent="0.25">
      <c r="A17" s="22"/>
      <c r="B17" s="123"/>
      <c r="C17" s="123"/>
      <c r="D17" s="22"/>
      <c r="E17" s="22"/>
      <c r="F17" s="22"/>
      <c r="G17" s="22"/>
      <c r="I17" s="65"/>
      <c r="J17" s="121"/>
      <c r="K17" s="121"/>
      <c r="L17" s="65"/>
      <c r="M17" s="65"/>
      <c r="N17" s="65"/>
      <c r="O17" s="65"/>
    </row>
    <row r="18" spans="1:15" x14ac:dyDescent="0.25">
      <c r="A18" s="33" t="s">
        <v>197</v>
      </c>
      <c r="B18" s="34"/>
      <c r="C18" s="34"/>
      <c r="D18" s="34"/>
      <c r="E18" s="19"/>
      <c r="F18" s="19"/>
      <c r="G18" s="19"/>
      <c r="I18" s="79" t="s">
        <v>197</v>
      </c>
      <c r="J18" s="80"/>
      <c r="K18" s="80"/>
      <c r="L18" s="80"/>
      <c r="M18" s="62"/>
      <c r="N18" s="62"/>
      <c r="O18" s="62"/>
    </row>
    <row r="19" spans="1:15" x14ac:dyDescent="0.25">
      <c r="A19" s="22"/>
      <c r="B19" s="123"/>
      <c r="C19" s="123"/>
      <c r="D19" s="22"/>
      <c r="E19" s="22"/>
      <c r="F19" s="22"/>
      <c r="G19" s="22"/>
      <c r="I19" s="65"/>
      <c r="J19" s="121"/>
      <c r="K19" s="121"/>
      <c r="L19" s="65"/>
      <c r="M19" s="65"/>
      <c r="N19" s="65"/>
      <c r="O19" s="65"/>
    </row>
    <row r="20" spans="1:15" ht="15" customHeight="1" x14ac:dyDescent="0.25">
      <c r="A20" s="160" t="s">
        <v>198</v>
      </c>
      <c r="B20" s="160"/>
      <c r="C20" s="160"/>
      <c r="D20" s="160"/>
      <c r="E20" s="160"/>
      <c r="F20" s="160"/>
      <c r="G20" s="160"/>
      <c r="I20" s="165" t="s">
        <v>198</v>
      </c>
      <c r="J20" s="165"/>
      <c r="K20" s="165"/>
      <c r="L20" s="165"/>
      <c r="M20" s="165"/>
      <c r="N20" s="165"/>
      <c r="O20" s="165"/>
    </row>
    <row r="21" spans="1:15" x14ac:dyDescent="0.25">
      <c r="A21" s="160"/>
      <c r="B21" s="160"/>
      <c r="C21" s="160"/>
      <c r="D21" s="160"/>
      <c r="E21" s="160"/>
      <c r="F21" s="160"/>
      <c r="G21" s="160"/>
      <c r="I21" s="165"/>
      <c r="J21" s="165"/>
      <c r="K21" s="165"/>
      <c r="L21" s="165"/>
      <c r="M21" s="165"/>
      <c r="N21" s="165"/>
      <c r="O21" s="165"/>
    </row>
    <row r="22" spans="1:15" x14ac:dyDescent="0.25">
      <c r="A22" s="22"/>
      <c r="B22" s="123"/>
      <c r="C22" s="123"/>
      <c r="D22" s="22"/>
      <c r="E22" s="22"/>
      <c r="F22" s="22"/>
      <c r="G22" s="22"/>
      <c r="I22" s="65"/>
      <c r="J22" s="121"/>
      <c r="K22" s="121"/>
      <c r="L22" s="65"/>
      <c r="M22" s="65"/>
      <c r="N22" s="65"/>
      <c r="O22" s="65"/>
    </row>
    <row r="23" spans="1:15" ht="15" customHeight="1" x14ac:dyDescent="0.25">
      <c r="A23" s="160" t="s">
        <v>272</v>
      </c>
      <c r="B23" s="160"/>
      <c r="C23" s="160"/>
      <c r="D23" s="160"/>
      <c r="E23" s="160"/>
      <c r="F23" s="160"/>
      <c r="G23" s="160"/>
      <c r="I23" s="165" t="s">
        <v>199</v>
      </c>
      <c r="J23" s="165"/>
      <c r="K23" s="165"/>
      <c r="L23" s="165"/>
      <c r="M23" s="165"/>
      <c r="N23" s="165"/>
      <c r="O23" s="165"/>
    </row>
    <row r="24" spans="1:15" x14ac:dyDescent="0.25">
      <c r="A24" s="160"/>
      <c r="B24" s="160"/>
      <c r="C24" s="160"/>
      <c r="D24" s="160"/>
      <c r="E24" s="160"/>
      <c r="F24" s="160"/>
      <c r="G24" s="160"/>
      <c r="I24" s="165"/>
      <c r="J24" s="165"/>
      <c r="K24" s="165"/>
      <c r="L24" s="165"/>
      <c r="M24" s="165"/>
      <c r="N24" s="165"/>
      <c r="O24" s="165"/>
    </row>
    <row r="25" spans="1:15" x14ac:dyDescent="0.25">
      <c r="A25" s="160"/>
      <c r="B25" s="160"/>
      <c r="C25" s="160"/>
      <c r="D25" s="160"/>
      <c r="E25" s="160"/>
      <c r="F25" s="160"/>
      <c r="G25" s="160"/>
      <c r="I25" s="165"/>
      <c r="J25" s="165"/>
      <c r="K25" s="165"/>
      <c r="L25" s="165"/>
      <c r="M25" s="165"/>
      <c r="N25" s="165"/>
      <c r="O25" s="165"/>
    </row>
    <row r="26" spans="1:15" x14ac:dyDescent="0.25">
      <c r="A26" s="22"/>
      <c r="B26" s="123"/>
      <c r="C26" s="123"/>
      <c r="D26" s="22"/>
      <c r="E26" s="22"/>
      <c r="F26" s="22"/>
      <c r="G26" s="22"/>
      <c r="I26" s="65"/>
      <c r="J26" s="121"/>
      <c r="K26" s="121"/>
      <c r="L26" s="65"/>
      <c r="M26" s="65"/>
      <c r="N26" s="65"/>
      <c r="O26" s="65"/>
    </row>
    <row r="27" spans="1:15" ht="15" customHeight="1" x14ac:dyDescent="0.25">
      <c r="A27" s="160" t="s">
        <v>487</v>
      </c>
      <c r="B27" s="160"/>
      <c r="C27" s="160"/>
      <c r="D27" s="160"/>
      <c r="E27" s="160"/>
      <c r="F27" s="160"/>
      <c r="G27" s="160"/>
      <c r="I27" s="165" t="s">
        <v>487</v>
      </c>
      <c r="J27" s="165"/>
      <c r="K27" s="165"/>
      <c r="L27" s="165"/>
      <c r="M27" s="165"/>
      <c r="N27" s="165"/>
      <c r="O27" s="165"/>
    </row>
    <row r="28" spans="1:15" x14ac:dyDescent="0.25">
      <c r="A28" s="160"/>
      <c r="B28" s="160"/>
      <c r="C28" s="160"/>
      <c r="D28" s="160"/>
      <c r="E28" s="160"/>
      <c r="F28" s="160"/>
      <c r="G28" s="160"/>
      <c r="I28" s="165"/>
      <c r="J28" s="165"/>
      <c r="K28" s="165"/>
      <c r="L28" s="165"/>
      <c r="M28" s="165"/>
      <c r="N28" s="165"/>
      <c r="O28" s="165"/>
    </row>
    <row r="29" spans="1:15" ht="16.899999999999999" customHeight="1" x14ac:dyDescent="0.25">
      <c r="A29" s="127"/>
      <c r="B29" s="26" t="s">
        <v>413</v>
      </c>
      <c r="C29" s="127">
        <v>18</v>
      </c>
      <c r="D29" s="127" t="s">
        <v>414</v>
      </c>
      <c r="E29" s="127"/>
      <c r="F29" s="127"/>
      <c r="G29" s="127"/>
      <c r="I29" s="130"/>
      <c r="J29" s="70" t="s">
        <v>413</v>
      </c>
      <c r="K29" s="121">
        <v>18</v>
      </c>
      <c r="L29" s="130" t="s">
        <v>414</v>
      </c>
      <c r="M29" s="130"/>
      <c r="N29" s="130"/>
      <c r="O29" s="130"/>
    </row>
    <row r="30" spans="1:15" x14ac:dyDescent="0.25">
      <c r="A30" s="22"/>
      <c r="B30" s="26" t="s">
        <v>383</v>
      </c>
      <c r="C30" s="127">
        <v>7</v>
      </c>
      <c r="D30" s="127" t="s">
        <v>262</v>
      </c>
      <c r="E30" s="22"/>
      <c r="F30" s="22"/>
      <c r="G30" s="22"/>
      <c r="I30" s="65"/>
      <c r="J30" s="70" t="s">
        <v>383</v>
      </c>
      <c r="K30" s="121">
        <v>7</v>
      </c>
      <c r="L30" s="65" t="s">
        <v>262</v>
      </c>
      <c r="M30" s="65"/>
      <c r="N30" s="65"/>
      <c r="O30" s="65"/>
    </row>
    <row r="31" spans="1:15" ht="15" customHeight="1" x14ac:dyDescent="0.25">
      <c r="A31" s="160" t="s">
        <v>200</v>
      </c>
      <c r="B31" s="160"/>
      <c r="C31" s="160"/>
      <c r="D31" s="160"/>
      <c r="E31" s="160"/>
      <c r="F31" s="160"/>
      <c r="G31" s="160"/>
      <c r="I31" s="165" t="s">
        <v>200</v>
      </c>
      <c r="J31" s="165"/>
      <c r="K31" s="165"/>
      <c r="L31" s="165"/>
      <c r="M31" s="165"/>
      <c r="N31" s="165"/>
      <c r="O31" s="165"/>
    </row>
    <row r="32" spans="1:15" x14ac:dyDescent="0.25">
      <c r="A32" s="160"/>
      <c r="B32" s="160"/>
      <c r="C32" s="160"/>
      <c r="D32" s="160"/>
      <c r="E32" s="160"/>
      <c r="F32" s="160"/>
      <c r="G32" s="160"/>
      <c r="I32" s="165"/>
      <c r="J32" s="165"/>
      <c r="K32" s="165"/>
      <c r="L32" s="165"/>
      <c r="M32" s="165"/>
      <c r="N32" s="165"/>
      <c r="O32" s="165"/>
    </row>
    <row r="33" spans="1:15" x14ac:dyDescent="0.25">
      <c r="A33" s="22"/>
      <c r="B33" s="123"/>
      <c r="C33" s="123"/>
      <c r="D33" s="22"/>
      <c r="E33" s="22"/>
      <c r="F33" s="22"/>
      <c r="G33" s="22"/>
      <c r="H33" s="7"/>
      <c r="I33" s="65"/>
      <c r="J33" s="121" t="s">
        <v>384</v>
      </c>
      <c r="K33" s="121">
        <v>0.6</v>
      </c>
      <c r="L33" s="65"/>
      <c r="M33" s="65"/>
      <c r="N33" s="65"/>
      <c r="O33" s="65"/>
    </row>
    <row r="34" spans="1:15" x14ac:dyDescent="0.25">
      <c r="A34" s="22" t="s">
        <v>201</v>
      </c>
      <c r="B34" s="123"/>
      <c r="C34" s="123"/>
      <c r="D34" s="22"/>
      <c r="E34" s="22"/>
      <c r="F34" s="22"/>
      <c r="G34" s="22"/>
      <c r="I34" s="65" t="s">
        <v>201</v>
      </c>
      <c r="J34" s="121"/>
      <c r="K34" s="121"/>
      <c r="L34" s="65"/>
      <c r="M34" s="65"/>
      <c r="N34" s="65"/>
      <c r="O34" s="65"/>
    </row>
    <row r="35" spans="1:15" ht="18" x14ac:dyDescent="0.25">
      <c r="A35" s="22" t="s">
        <v>202</v>
      </c>
      <c r="B35" s="123"/>
      <c r="C35" s="123"/>
      <c r="D35" s="22">
        <v>1170</v>
      </c>
      <c r="E35" s="22" t="s">
        <v>203</v>
      </c>
      <c r="F35" s="22"/>
      <c r="G35" s="22"/>
      <c r="I35" s="65" t="s">
        <v>202</v>
      </c>
      <c r="J35" s="121"/>
      <c r="K35" s="121"/>
      <c r="L35" s="93">
        <f>J7/60/K14*K30/K33</f>
        <v>1169.8070883804398</v>
      </c>
      <c r="M35" s="65" t="s">
        <v>203</v>
      </c>
      <c r="N35" s="65"/>
      <c r="O35" s="65"/>
    </row>
    <row r="36" spans="1:15" x14ac:dyDescent="0.25">
      <c r="A36" s="22"/>
      <c r="B36" s="123"/>
      <c r="C36" s="123"/>
      <c r="D36" s="22"/>
      <c r="E36" s="22"/>
      <c r="F36" s="22"/>
      <c r="G36" s="22"/>
      <c r="I36" s="65"/>
      <c r="J36" s="121"/>
      <c r="K36" s="121"/>
      <c r="L36" s="65"/>
      <c r="M36" s="65"/>
      <c r="N36" s="65"/>
      <c r="O36" s="65"/>
    </row>
    <row r="37" spans="1:15" x14ac:dyDescent="0.25">
      <c r="A37" s="22" t="s">
        <v>204</v>
      </c>
      <c r="B37" s="123"/>
      <c r="C37" s="123"/>
      <c r="D37" s="22"/>
      <c r="E37" s="22"/>
      <c r="F37" s="22"/>
      <c r="G37" s="22"/>
      <c r="I37" s="65" t="s">
        <v>204</v>
      </c>
      <c r="J37" s="121"/>
      <c r="K37" s="121"/>
      <c r="L37" s="65"/>
      <c r="M37" s="65"/>
      <c r="N37" s="65"/>
      <c r="O37" s="65"/>
    </row>
    <row r="38" spans="1:15" x14ac:dyDescent="0.25">
      <c r="A38" s="22"/>
      <c r="B38" s="123"/>
      <c r="C38" s="123"/>
      <c r="D38" s="22"/>
      <c r="E38" s="22"/>
      <c r="F38" s="22"/>
      <c r="G38" s="22"/>
      <c r="I38" s="65"/>
      <c r="J38" s="121"/>
      <c r="K38" s="121"/>
      <c r="L38" s="65"/>
      <c r="M38" s="65"/>
      <c r="N38" s="65"/>
      <c r="O38" s="65"/>
    </row>
    <row r="39" spans="1:15" ht="18" x14ac:dyDescent="0.25">
      <c r="A39" s="22" t="s">
        <v>488</v>
      </c>
      <c r="B39" s="123"/>
      <c r="C39" s="48">
        <v>7.9</v>
      </c>
      <c r="D39" s="22" t="s">
        <v>31</v>
      </c>
      <c r="E39" s="22"/>
      <c r="F39" s="22"/>
      <c r="G39" s="22"/>
      <c r="I39" s="65" t="s">
        <v>488</v>
      </c>
      <c r="J39" s="121"/>
      <c r="K39" s="94">
        <f>(L35/2.3562)^0.3333</f>
        <v>7.9166996549724695</v>
      </c>
      <c r="L39" s="65" t="s">
        <v>31</v>
      </c>
      <c r="M39" s="65"/>
      <c r="N39" s="65"/>
      <c r="O39" s="65"/>
    </row>
    <row r="40" spans="1:15" x14ac:dyDescent="0.25">
      <c r="A40" s="22"/>
      <c r="B40" s="123"/>
      <c r="C40" s="123"/>
      <c r="D40" s="22"/>
      <c r="E40" s="22"/>
      <c r="F40" s="22"/>
      <c r="G40" s="22"/>
      <c r="I40" s="65"/>
      <c r="J40" s="121"/>
      <c r="K40" s="121"/>
      <c r="L40" s="65"/>
      <c r="M40" s="65"/>
      <c r="N40" s="65"/>
      <c r="O40" s="65"/>
    </row>
    <row r="41" spans="1:15" x14ac:dyDescent="0.25">
      <c r="A41" s="22" t="s">
        <v>205</v>
      </c>
      <c r="B41" s="123"/>
      <c r="C41" s="123"/>
      <c r="D41" s="22"/>
      <c r="E41" s="22"/>
      <c r="F41" s="22"/>
      <c r="G41" s="22"/>
      <c r="I41" s="65" t="s">
        <v>205</v>
      </c>
      <c r="J41" s="121"/>
      <c r="K41" s="70" t="s">
        <v>411</v>
      </c>
      <c r="L41" s="65">
        <v>8</v>
      </c>
      <c r="M41" s="70" t="s">
        <v>410</v>
      </c>
      <c r="N41" s="65">
        <f>3*L41</f>
        <v>24</v>
      </c>
      <c r="O41" s="65"/>
    </row>
    <row r="42" spans="1:15" x14ac:dyDescent="0.25">
      <c r="A42" s="22"/>
      <c r="B42" s="123"/>
      <c r="C42" s="123"/>
      <c r="D42" s="22"/>
      <c r="E42" s="22"/>
      <c r="F42" s="22"/>
      <c r="G42" s="22"/>
      <c r="I42" s="65"/>
      <c r="J42" s="121"/>
      <c r="K42" s="121"/>
      <c r="L42" s="65"/>
      <c r="M42" s="65"/>
      <c r="N42" s="65"/>
      <c r="O42" s="65"/>
    </row>
    <row r="43" spans="1:15" x14ac:dyDescent="0.25">
      <c r="A43" s="22" t="s">
        <v>206</v>
      </c>
      <c r="B43" s="123"/>
      <c r="C43" s="123"/>
      <c r="D43" s="22"/>
      <c r="E43" s="22"/>
      <c r="F43" s="22"/>
      <c r="G43" s="22"/>
      <c r="I43" s="65" t="s">
        <v>206</v>
      </c>
      <c r="J43" s="121"/>
      <c r="K43" s="121"/>
      <c r="L43" s="65"/>
      <c r="M43" s="65"/>
      <c r="N43" s="65"/>
      <c r="O43" s="65"/>
    </row>
    <row r="44" spans="1:15" x14ac:dyDescent="0.25">
      <c r="A44" s="22"/>
      <c r="B44" s="123"/>
      <c r="C44" s="123"/>
      <c r="D44" s="22"/>
      <c r="E44" s="22"/>
      <c r="F44" s="22"/>
      <c r="G44" s="22"/>
      <c r="I44" s="65"/>
      <c r="J44" s="121"/>
      <c r="K44" s="121"/>
      <c r="L44" s="65"/>
      <c r="M44" s="65"/>
      <c r="N44" s="65"/>
      <c r="O44" s="65"/>
    </row>
    <row r="45" spans="1:15" x14ac:dyDescent="0.25">
      <c r="A45" s="22" t="s">
        <v>207</v>
      </c>
      <c r="B45" s="123"/>
      <c r="C45" s="123"/>
      <c r="D45" s="22"/>
      <c r="E45" s="22"/>
      <c r="F45" s="22"/>
      <c r="G45" s="22"/>
      <c r="I45" s="65" t="s">
        <v>412</v>
      </c>
      <c r="J45" s="121"/>
      <c r="K45" s="121"/>
      <c r="L45" s="65"/>
      <c r="M45" s="121">
        <v>0.1298</v>
      </c>
      <c r="N45" s="65"/>
      <c r="O45" s="65"/>
    </row>
    <row r="46" spans="1:15" x14ac:dyDescent="0.25">
      <c r="A46" s="22"/>
      <c r="B46" s="123"/>
      <c r="C46" s="123"/>
      <c r="D46" s="22"/>
      <c r="E46" s="22"/>
      <c r="F46" s="22"/>
      <c r="G46" s="22"/>
      <c r="I46" s="65"/>
      <c r="J46" s="121"/>
      <c r="K46" s="121"/>
      <c r="L46" s="65"/>
      <c r="M46" s="65"/>
      <c r="N46" s="65"/>
      <c r="O46" s="65"/>
    </row>
    <row r="47" spans="1:15" x14ac:dyDescent="0.25">
      <c r="A47" s="22" t="s">
        <v>208</v>
      </c>
      <c r="B47" s="123"/>
      <c r="C47" s="123"/>
      <c r="D47" s="22"/>
      <c r="E47" s="22"/>
      <c r="F47" s="22"/>
      <c r="G47" s="22"/>
      <c r="I47" s="65" t="s">
        <v>208</v>
      </c>
      <c r="J47" s="121"/>
      <c r="K47" s="121"/>
      <c r="L47" s="65"/>
      <c r="M47" s="65"/>
      <c r="N47" s="65"/>
      <c r="O47" s="65"/>
    </row>
    <row r="48" spans="1:15" x14ac:dyDescent="0.25">
      <c r="A48" s="22"/>
      <c r="B48" s="26" t="s">
        <v>209</v>
      </c>
      <c r="C48" s="26">
        <v>5250</v>
      </c>
      <c r="D48" s="22" t="s">
        <v>36</v>
      </c>
      <c r="E48" s="22"/>
      <c r="F48" s="22"/>
      <c r="G48" s="22"/>
      <c r="I48" s="65"/>
      <c r="J48" s="70" t="s">
        <v>209</v>
      </c>
      <c r="K48" s="70">
        <v>5250</v>
      </c>
      <c r="L48" s="65" t="s">
        <v>36</v>
      </c>
      <c r="M48" s="65"/>
      <c r="N48" s="65"/>
      <c r="O48" s="65"/>
    </row>
    <row r="49" spans="1:15" x14ac:dyDescent="0.25">
      <c r="A49" s="22"/>
      <c r="B49" s="123"/>
      <c r="C49" s="123"/>
      <c r="D49" s="22"/>
      <c r="E49" s="22"/>
      <c r="F49" s="22"/>
      <c r="G49" s="22"/>
      <c r="I49" s="65"/>
      <c r="J49" s="121"/>
      <c r="K49" s="121"/>
      <c r="L49" s="65"/>
      <c r="M49" s="65"/>
      <c r="N49" s="65"/>
      <c r="O49" s="65"/>
    </row>
    <row r="50" spans="1:15" x14ac:dyDescent="0.25">
      <c r="A50" s="22" t="s">
        <v>210</v>
      </c>
      <c r="B50" s="123"/>
      <c r="C50" s="123"/>
      <c r="D50" s="22"/>
      <c r="E50" s="22"/>
      <c r="F50" s="22"/>
      <c r="G50" s="22"/>
      <c r="I50" s="65" t="s">
        <v>210</v>
      </c>
      <c r="J50" s="121"/>
      <c r="K50" s="121"/>
      <c r="L50" s="65"/>
      <c r="M50" s="65"/>
      <c r="N50" s="65"/>
      <c r="O50" s="65"/>
    </row>
    <row r="51" spans="1:15" x14ac:dyDescent="0.25">
      <c r="A51" s="22"/>
      <c r="B51" s="123"/>
      <c r="C51" s="123"/>
      <c r="D51" s="22"/>
      <c r="E51" s="22"/>
      <c r="F51" s="22"/>
      <c r="G51" s="22"/>
      <c r="I51" s="65"/>
      <c r="J51" s="121"/>
      <c r="K51" s="121"/>
      <c r="L51" s="65"/>
      <c r="M51" s="65"/>
      <c r="N51" s="65"/>
      <c r="O51" s="65"/>
    </row>
    <row r="52" spans="1:15" x14ac:dyDescent="0.25">
      <c r="A52" s="22"/>
      <c r="B52" s="26" t="s">
        <v>211</v>
      </c>
      <c r="C52" s="26">
        <v>0.7298</v>
      </c>
      <c r="D52" s="22"/>
      <c r="E52" s="22"/>
      <c r="F52" s="22"/>
      <c r="G52" s="22"/>
      <c r="I52" s="65"/>
      <c r="J52" s="70" t="s">
        <v>211</v>
      </c>
      <c r="K52" s="70">
        <f>K48/K48*0.6+M45</f>
        <v>0.7298</v>
      </c>
      <c r="L52" s="65"/>
      <c r="M52" s="65"/>
      <c r="N52" s="65"/>
      <c r="O52" s="65"/>
    </row>
    <row r="53" spans="1:15" x14ac:dyDescent="0.25">
      <c r="A53" s="22"/>
      <c r="B53" s="123"/>
      <c r="C53" s="123"/>
      <c r="D53" s="22"/>
      <c r="E53" s="22"/>
      <c r="F53" s="22"/>
      <c r="G53" s="22"/>
      <c r="I53" s="65"/>
      <c r="J53" s="121"/>
      <c r="K53" s="121"/>
      <c r="L53" s="65"/>
      <c r="M53" s="65"/>
      <c r="N53" s="65"/>
      <c r="O53" s="65"/>
    </row>
    <row r="54" spans="1:15" x14ac:dyDescent="0.25">
      <c r="A54" s="22" t="s">
        <v>212</v>
      </c>
      <c r="B54" s="123"/>
      <c r="C54" s="123"/>
      <c r="D54" s="22"/>
      <c r="E54" s="22"/>
      <c r="F54" s="22"/>
      <c r="G54" s="22"/>
      <c r="I54" s="65" t="s">
        <v>415</v>
      </c>
      <c r="J54" s="121" t="s">
        <v>416</v>
      </c>
      <c r="K54" s="121">
        <v>0.68500000000000005</v>
      </c>
      <c r="L54" s="65"/>
      <c r="M54" s="65"/>
      <c r="N54" s="65"/>
      <c r="O54" s="65"/>
    </row>
    <row r="55" spans="1:15" x14ac:dyDescent="0.25">
      <c r="A55" s="22" t="s">
        <v>213</v>
      </c>
      <c r="B55" s="123"/>
      <c r="C55" s="123"/>
      <c r="D55" s="22"/>
      <c r="E55" s="22"/>
      <c r="F55" s="22"/>
      <c r="G55" s="22"/>
      <c r="I55" s="65" t="s">
        <v>213</v>
      </c>
      <c r="J55" s="121"/>
      <c r="K55" s="121"/>
      <c r="L55" s="65"/>
      <c r="M55" s="65"/>
      <c r="N55" s="65"/>
      <c r="O55" s="65"/>
    </row>
    <row r="56" spans="1:15" x14ac:dyDescent="0.25">
      <c r="A56" s="22" t="s">
        <v>214</v>
      </c>
      <c r="B56" s="26">
        <v>5.5</v>
      </c>
      <c r="C56" s="29" t="s">
        <v>31</v>
      </c>
      <c r="D56" s="22"/>
      <c r="E56" s="22"/>
      <c r="F56" s="22"/>
      <c r="G56" s="22"/>
      <c r="I56" s="65" t="s">
        <v>214</v>
      </c>
      <c r="J56" s="121">
        <v>5.5</v>
      </c>
      <c r="K56" s="74" t="s">
        <v>31</v>
      </c>
      <c r="L56" s="65"/>
      <c r="M56" s="65"/>
      <c r="N56" s="65"/>
      <c r="O56" s="65"/>
    </row>
    <row r="57" spans="1:15" x14ac:dyDescent="0.25">
      <c r="A57" s="22"/>
      <c r="B57" s="123"/>
      <c r="C57" s="123"/>
      <c r="D57" s="22"/>
      <c r="E57" s="22"/>
      <c r="F57" s="22"/>
      <c r="G57" s="22"/>
      <c r="I57" s="65"/>
      <c r="J57" s="121"/>
      <c r="K57" s="121"/>
      <c r="L57" s="65"/>
      <c r="M57" s="65"/>
      <c r="N57" s="65"/>
      <c r="O57" s="65"/>
    </row>
    <row r="58" spans="1:15" x14ac:dyDescent="0.25">
      <c r="A58" s="22" t="s">
        <v>215</v>
      </c>
      <c r="B58" s="123"/>
      <c r="C58" s="123"/>
      <c r="D58" s="22"/>
      <c r="E58" s="22"/>
      <c r="F58" s="22"/>
      <c r="G58" s="22"/>
      <c r="I58" s="65" t="s">
        <v>215</v>
      </c>
      <c r="J58" s="121"/>
      <c r="K58" s="121"/>
      <c r="L58" s="65"/>
      <c r="M58" s="65"/>
      <c r="N58" s="65"/>
      <c r="O58" s="65"/>
    </row>
    <row r="59" spans="1:15" x14ac:dyDescent="0.25">
      <c r="A59" s="29" t="s">
        <v>216</v>
      </c>
      <c r="B59" s="123"/>
      <c r="C59" s="123" t="s">
        <v>1</v>
      </c>
      <c r="D59" s="123">
        <v>0.42980000000000002</v>
      </c>
      <c r="E59" s="22"/>
      <c r="F59" s="22"/>
      <c r="G59" s="22"/>
      <c r="I59" s="74" t="s">
        <v>216</v>
      </c>
      <c r="J59" s="121"/>
      <c r="K59" s="121" t="s">
        <v>1</v>
      </c>
      <c r="L59" s="121">
        <v>0.42980000000000002</v>
      </c>
      <c r="M59" s="65"/>
      <c r="N59" s="65"/>
      <c r="O59" s="65"/>
    </row>
    <row r="60" spans="1:15" x14ac:dyDescent="0.25">
      <c r="A60" s="22"/>
      <c r="B60" s="123"/>
      <c r="C60" s="123"/>
      <c r="D60" s="22"/>
      <c r="E60" s="22"/>
      <c r="F60" s="22"/>
      <c r="G60" s="22"/>
      <c r="I60" s="65"/>
      <c r="J60" s="121"/>
      <c r="K60" s="121"/>
      <c r="L60" s="65"/>
      <c r="M60" s="65"/>
      <c r="N60" s="65"/>
      <c r="O60" s="65"/>
    </row>
    <row r="61" spans="1:15" x14ac:dyDescent="0.25">
      <c r="A61" s="22" t="s">
        <v>217</v>
      </c>
      <c r="B61" s="123"/>
      <c r="C61" s="123"/>
      <c r="D61" s="22"/>
      <c r="E61" s="22"/>
      <c r="F61" s="22"/>
      <c r="G61" s="22"/>
      <c r="I61" s="65" t="s">
        <v>417</v>
      </c>
      <c r="J61" s="121" t="s">
        <v>416</v>
      </c>
      <c r="K61" s="121">
        <v>0.44500000000000001</v>
      </c>
      <c r="L61" s="65"/>
      <c r="M61" s="65"/>
      <c r="N61" s="65"/>
      <c r="O61" s="65"/>
    </row>
    <row r="62" spans="1:15" x14ac:dyDescent="0.25">
      <c r="A62" s="27" t="s">
        <v>218</v>
      </c>
      <c r="B62" s="123"/>
      <c r="C62" s="123"/>
      <c r="D62" s="22"/>
      <c r="E62" s="22"/>
      <c r="F62" s="22"/>
      <c r="G62" s="22"/>
      <c r="I62" s="95" t="s">
        <v>420</v>
      </c>
      <c r="J62" s="121" t="s">
        <v>418</v>
      </c>
      <c r="K62" s="121" t="s">
        <v>419</v>
      </c>
      <c r="L62" s="65"/>
      <c r="M62" s="65"/>
      <c r="N62" s="65"/>
      <c r="O62" s="65"/>
    </row>
    <row r="63" spans="1:15" x14ac:dyDescent="0.25">
      <c r="A63" s="22"/>
      <c r="B63" s="123"/>
      <c r="C63" s="123"/>
      <c r="D63" s="22"/>
      <c r="E63" s="22"/>
      <c r="F63" s="22"/>
      <c r="G63" s="22"/>
      <c r="I63" s="65"/>
      <c r="J63" s="121"/>
      <c r="K63" s="121"/>
      <c r="L63" s="65"/>
      <c r="M63" s="65"/>
      <c r="N63" s="65"/>
      <c r="O63" s="65"/>
    </row>
    <row r="64" spans="1:15" x14ac:dyDescent="0.25">
      <c r="A64" s="22" t="s">
        <v>219</v>
      </c>
      <c r="B64" s="123"/>
      <c r="C64" s="123"/>
      <c r="D64" s="22"/>
      <c r="E64" s="22"/>
      <c r="F64" s="22"/>
      <c r="G64" s="22"/>
      <c r="I64" s="65" t="s">
        <v>219</v>
      </c>
      <c r="J64" s="121"/>
      <c r="K64" s="121"/>
      <c r="L64" s="65"/>
      <c r="M64" s="65"/>
      <c r="N64" s="65"/>
      <c r="O64" s="65"/>
    </row>
    <row r="65" spans="1:15" x14ac:dyDescent="0.25">
      <c r="A65" s="22"/>
      <c r="B65" s="123"/>
      <c r="C65" s="123"/>
      <c r="D65" s="22"/>
      <c r="E65" s="22"/>
      <c r="F65" s="22"/>
      <c r="G65" s="22"/>
      <c r="I65" s="65"/>
      <c r="J65" s="121"/>
      <c r="K65" s="121"/>
      <c r="L65" s="65"/>
      <c r="M65" s="65"/>
      <c r="N65" s="65"/>
      <c r="O65" s="65"/>
    </row>
    <row r="66" spans="1:15" ht="18" x14ac:dyDescent="0.25">
      <c r="A66" s="22" t="s">
        <v>489</v>
      </c>
      <c r="B66" s="26">
        <v>13.6</v>
      </c>
      <c r="C66" s="29" t="s">
        <v>37</v>
      </c>
      <c r="D66" s="22"/>
      <c r="E66" s="22"/>
      <c r="F66" s="22"/>
      <c r="G66" s="22"/>
      <c r="I66" s="65" t="s">
        <v>489</v>
      </c>
      <c r="J66" s="94">
        <f>(1-K52)*3.14159*(L41/2)^2</f>
        <v>13.581721887999999</v>
      </c>
      <c r="K66" s="74" t="s">
        <v>37</v>
      </c>
      <c r="L66" s="65"/>
      <c r="M66" s="65"/>
      <c r="N66" s="65"/>
      <c r="O66" s="65"/>
    </row>
    <row r="67" spans="1:15" x14ac:dyDescent="0.25">
      <c r="A67" s="22"/>
      <c r="B67" s="123"/>
      <c r="C67" s="123"/>
      <c r="D67" s="22"/>
      <c r="E67" s="22"/>
      <c r="F67" s="22"/>
      <c r="G67" s="22"/>
      <c r="I67" s="65"/>
      <c r="J67" s="121"/>
      <c r="K67" s="121"/>
      <c r="L67" s="65"/>
      <c r="M67" s="65"/>
      <c r="N67" s="65"/>
      <c r="O67" s="65"/>
    </row>
    <row r="68" spans="1:15" x14ac:dyDescent="0.25">
      <c r="A68" s="22" t="s">
        <v>220</v>
      </c>
      <c r="B68" s="123"/>
      <c r="C68" s="123"/>
      <c r="D68" s="22">
        <v>0.76400000000000001</v>
      </c>
      <c r="E68" s="22" t="s">
        <v>34</v>
      </c>
      <c r="F68" s="22"/>
      <c r="G68" s="22"/>
      <c r="I68" s="65" t="s">
        <v>220</v>
      </c>
      <c r="J68" s="121"/>
      <c r="K68" s="121"/>
      <c r="L68" s="96">
        <f>L6/0.774*1/J66*1/3600</f>
        <v>0.76392337143839339</v>
      </c>
      <c r="M68" s="65" t="s">
        <v>34</v>
      </c>
      <c r="N68" s="65"/>
      <c r="O68" s="65"/>
    </row>
    <row r="69" spans="1:15" x14ac:dyDescent="0.25">
      <c r="A69" s="22"/>
      <c r="B69" s="123"/>
      <c r="C69" s="123"/>
      <c r="D69" s="22"/>
      <c r="E69" s="22"/>
      <c r="F69" s="22"/>
      <c r="G69" s="22"/>
      <c r="I69" s="65"/>
      <c r="J69" s="121"/>
      <c r="K69" s="121"/>
      <c r="L69" s="65"/>
      <c r="M69" s="65"/>
      <c r="N69" s="65"/>
      <c r="O69" s="65"/>
    </row>
    <row r="70" spans="1:15" x14ac:dyDescent="0.25">
      <c r="A70" s="22" t="s">
        <v>221</v>
      </c>
      <c r="B70" s="123"/>
      <c r="C70" s="123"/>
      <c r="D70" s="22"/>
      <c r="E70" s="22"/>
      <c r="F70" s="22"/>
      <c r="G70" s="22"/>
      <c r="I70" s="65" t="s">
        <v>221</v>
      </c>
      <c r="J70" s="121"/>
      <c r="K70" s="121"/>
      <c r="L70" s="65"/>
      <c r="M70" s="65"/>
      <c r="N70" s="65"/>
      <c r="O70" s="65"/>
    </row>
    <row r="71" spans="1:15" ht="17.45" customHeight="1" x14ac:dyDescent="0.25">
      <c r="A71" s="123" t="s">
        <v>222</v>
      </c>
      <c r="B71" s="155" t="s">
        <v>1</v>
      </c>
      <c r="C71" s="153">
        <v>0.10100000000000001</v>
      </c>
      <c r="D71" s="171" t="s">
        <v>34</v>
      </c>
      <c r="E71" s="155" t="s">
        <v>139</v>
      </c>
      <c r="F71" s="22"/>
      <c r="G71" s="22"/>
      <c r="I71" s="121" t="s">
        <v>222</v>
      </c>
      <c r="J71" s="158" t="s">
        <v>1</v>
      </c>
      <c r="K71" s="173">
        <f>L68/((K14-K10)/K10)^0.5</f>
        <v>0.10154381549865278</v>
      </c>
      <c r="L71" s="149" t="s">
        <v>34</v>
      </c>
      <c r="M71" s="158" t="s">
        <v>139</v>
      </c>
      <c r="N71" s="65"/>
      <c r="O71" s="65"/>
    </row>
    <row r="72" spans="1:15" x14ac:dyDescent="0.25">
      <c r="A72" s="123" t="s">
        <v>223</v>
      </c>
      <c r="B72" s="155"/>
      <c r="C72" s="153"/>
      <c r="D72" s="171"/>
      <c r="E72" s="155"/>
      <c r="F72" s="22"/>
      <c r="G72" s="22"/>
      <c r="I72" s="121" t="s">
        <v>223</v>
      </c>
      <c r="J72" s="158"/>
      <c r="K72" s="173"/>
      <c r="L72" s="149"/>
      <c r="M72" s="158"/>
      <c r="N72" s="65"/>
      <c r="O72" s="65"/>
    </row>
    <row r="73" spans="1:15" x14ac:dyDescent="0.25">
      <c r="A73" s="22"/>
      <c r="B73" s="123"/>
      <c r="C73" s="123"/>
      <c r="D73" s="22"/>
      <c r="E73" s="22"/>
      <c r="F73" s="22"/>
      <c r="G73" s="22"/>
      <c r="I73" s="65"/>
      <c r="J73" s="121"/>
      <c r="K73" s="121"/>
      <c r="L73" s="65"/>
      <c r="M73" s="65"/>
      <c r="N73" s="65"/>
      <c r="O73" s="65"/>
    </row>
    <row r="74" spans="1:15" ht="15" customHeight="1" x14ac:dyDescent="0.25">
      <c r="A74" s="160" t="s">
        <v>224</v>
      </c>
      <c r="B74" s="160"/>
      <c r="C74" s="160"/>
      <c r="D74" s="160"/>
      <c r="E74" s="160"/>
      <c r="F74" s="160"/>
      <c r="G74" s="160"/>
      <c r="I74" s="165" t="s">
        <v>224</v>
      </c>
      <c r="J74" s="165"/>
      <c r="K74" s="165"/>
      <c r="L74" s="165"/>
      <c r="M74" s="165"/>
      <c r="N74" s="165"/>
      <c r="O74" s="165"/>
    </row>
    <row r="75" spans="1:15" x14ac:dyDescent="0.25">
      <c r="A75" s="160"/>
      <c r="B75" s="160"/>
      <c r="C75" s="160"/>
      <c r="D75" s="160"/>
      <c r="E75" s="160"/>
      <c r="F75" s="160"/>
      <c r="G75" s="160"/>
      <c r="I75" s="165"/>
      <c r="J75" s="165"/>
      <c r="K75" s="165"/>
      <c r="L75" s="165"/>
      <c r="M75" s="165"/>
      <c r="N75" s="165"/>
      <c r="O75" s="165"/>
    </row>
    <row r="76" spans="1:15" x14ac:dyDescent="0.25">
      <c r="A76" s="22"/>
      <c r="B76" s="123"/>
      <c r="C76" s="123"/>
      <c r="D76" s="22"/>
      <c r="E76" s="22"/>
      <c r="F76" s="22"/>
      <c r="G76" s="22"/>
      <c r="I76" s="65"/>
      <c r="J76" s="121"/>
      <c r="K76" s="121"/>
      <c r="L76" s="65"/>
      <c r="M76" s="65"/>
      <c r="N76" s="65"/>
      <c r="O76" s="65"/>
    </row>
    <row r="77" spans="1:15" x14ac:dyDescent="0.25">
      <c r="A77" s="22" t="s">
        <v>226</v>
      </c>
      <c r="B77" s="123"/>
      <c r="C77" s="123"/>
      <c r="D77" s="22"/>
      <c r="E77" s="22"/>
      <c r="F77" s="22"/>
      <c r="G77" s="22"/>
      <c r="I77" s="65" t="s">
        <v>226</v>
      </c>
      <c r="J77" s="121"/>
      <c r="K77" s="121"/>
      <c r="L77" s="65"/>
      <c r="M77" s="65"/>
      <c r="N77" s="65"/>
      <c r="O77" s="65"/>
    </row>
    <row r="78" spans="1:15" x14ac:dyDescent="0.25">
      <c r="A78" s="22" t="s">
        <v>225</v>
      </c>
      <c r="B78" s="123"/>
      <c r="C78" s="123"/>
      <c r="D78" s="22"/>
      <c r="E78" s="22"/>
      <c r="F78" s="22"/>
      <c r="G78" s="22"/>
      <c r="I78" s="65" t="s">
        <v>225</v>
      </c>
      <c r="J78" s="121"/>
      <c r="K78" s="121"/>
      <c r="L78" s="65"/>
      <c r="M78" s="65"/>
      <c r="N78" s="65"/>
      <c r="O78" s="65"/>
    </row>
    <row r="79" spans="1:15" x14ac:dyDescent="0.25">
      <c r="A79" s="22"/>
      <c r="B79" s="123"/>
      <c r="C79" s="123"/>
      <c r="D79" s="22"/>
      <c r="E79" s="22"/>
      <c r="F79" s="22"/>
      <c r="G79" s="22"/>
      <c r="I79" s="65"/>
      <c r="J79" s="121"/>
      <c r="K79" s="121"/>
      <c r="L79" s="65"/>
      <c r="M79" s="65"/>
      <c r="N79" s="65"/>
      <c r="O79" s="65"/>
    </row>
    <row r="80" spans="1:15" x14ac:dyDescent="0.25">
      <c r="A80" s="22" t="s">
        <v>227</v>
      </c>
      <c r="B80" s="123"/>
      <c r="C80" s="123"/>
      <c r="D80" s="22"/>
      <c r="E80" s="22"/>
      <c r="F80" s="22"/>
      <c r="G80" s="22"/>
      <c r="I80" s="65" t="s">
        <v>227</v>
      </c>
      <c r="J80" s="121"/>
      <c r="K80" s="121"/>
      <c r="L80" s="65"/>
      <c r="M80" s="65"/>
      <c r="N80" s="65"/>
      <c r="O80" s="65"/>
    </row>
    <row r="81" spans="1:15" x14ac:dyDescent="0.25">
      <c r="A81" s="22" t="s">
        <v>228</v>
      </c>
      <c r="B81" s="123"/>
      <c r="C81" s="123"/>
      <c r="D81" s="22"/>
      <c r="E81" s="22"/>
      <c r="F81" s="22"/>
      <c r="G81" s="22"/>
      <c r="I81" s="65" t="s">
        <v>228</v>
      </c>
      <c r="J81" s="121"/>
      <c r="K81" s="121"/>
      <c r="L81" s="65"/>
      <c r="M81" s="65"/>
      <c r="N81" s="65"/>
      <c r="O81" s="65"/>
    </row>
    <row r="82" spans="1:15" x14ac:dyDescent="0.25">
      <c r="A82" s="22"/>
      <c r="B82" s="123"/>
      <c r="C82" s="123"/>
      <c r="D82" s="22"/>
      <c r="E82" s="22"/>
      <c r="F82" s="22"/>
      <c r="G82" s="22"/>
      <c r="I82" s="65"/>
      <c r="J82" s="121"/>
      <c r="K82" s="121"/>
      <c r="L82" s="65"/>
      <c r="M82" s="65"/>
      <c r="N82" s="65"/>
      <c r="O82" s="65"/>
    </row>
    <row r="83" spans="1:15" x14ac:dyDescent="0.25">
      <c r="A83" s="22" t="s">
        <v>229</v>
      </c>
      <c r="B83" s="123"/>
      <c r="C83" s="123"/>
      <c r="D83" s="22"/>
      <c r="E83" s="22"/>
      <c r="F83" s="22"/>
      <c r="G83" s="22"/>
      <c r="I83" s="65" t="s">
        <v>422</v>
      </c>
      <c r="J83" s="121" t="s">
        <v>423</v>
      </c>
      <c r="K83" s="121">
        <v>0.35</v>
      </c>
      <c r="L83" s="65" t="s">
        <v>34</v>
      </c>
      <c r="M83" s="65"/>
      <c r="N83" s="65"/>
      <c r="O83" s="65"/>
    </row>
    <row r="84" spans="1:15" x14ac:dyDescent="0.25">
      <c r="A84" s="22"/>
      <c r="B84" s="123"/>
      <c r="C84" s="123"/>
      <c r="D84" s="22"/>
      <c r="E84" s="22"/>
      <c r="F84" s="22"/>
      <c r="G84" s="22"/>
      <c r="I84" s="65"/>
      <c r="J84" s="121"/>
      <c r="K84" s="121"/>
      <c r="L84" s="65"/>
      <c r="M84" s="65"/>
      <c r="N84" s="65"/>
      <c r="O84" s="65"/>
    </row>
    <row r="85" spans="1:15" x14ac:dyDescent="0.25">
      <c r="A85" s="22" t="s">
        <v>230</v>
      </c>
      <c r="B85" s="123"/>
      <c r="C85" s="123"/>
      <c r="D85" s="22" t="s">
        <v>231</v>
      </c>
      <c r="E85" s="22"/>
      <c r="F85" s="22"/>
      <c r="G85" s="22"/>
      <c r="I85" s="65" t="s">
        <v>421</v>
      </c>
      <c r="J85" s="121"/>
      <c r="K85" s="121">
        <v>0.86699999999999999</v>
      </c>
      <c r="L85" s="65" t="s">
        <v>231</v>
      </c>
      <c r="M85" s="65"/>
      <c r="N85" s="65"/>
      <c r="O85" s="65"/>
    </row>
    <row r="86" spans="1:15" x14ac:dyDescent="0.25">
      <c r="A86" s="22"/>
      <c r="B86" s="123"/>
      <c r="C86" s="123"/>
      <c r="D86" s="22"/>
      <c r="E86" s="22"/>
      <c r="F86" s="22"/>
      <c r="G86" s="22"/>
      <c r="I86" s="65"/>
      <c r="J86" s="121"/>
      <c r="K86" s="121"/>
      <c r="L86" s="65"/>
      <c r="M86" s="65"/>
      <c r="N86" s="65"/>
      <c r="O86" s="65"/>
    </row>
    <row r="87" spans="1:15" ht="16.5" x14ac:dyDescent="0.3">
      <c r="A87" s="22" t="s">
        <v>232</v>
      </c>
      <c r="B87" s="123"/>
      <c r="C87" s="123" t="s">
        <v>1</v>
      </c>
      <c r="D87" s="22">
        <v>2.2799999999999998</v>
      </c>
      <c r="E87" s="22" t="s">
        <v>34</v>
      </c>
      <c r="F87" s="22"/>
      <c r="G87" s="22"/>
      <c r="I87" s="65" t="s">
        <v>232</v>
      </c>
      <c r="J87" s="121"/>
      <c r="K87" s="121" t="s">
        <v>1</v>
      </c>
      <c r="L87" s="89">
        <f>K83*K85*((K14-K10)/K10)^0.5</f>
        <v>2.2828819847335362</v>
      </c>
      <c r="M87" s="65" t="s">
        <v>34</v>
      </c>
      <c r="N87" s="65"/>
      <c r="O87" s="65"/>
    </row>
    <row r="88" spans="1:15" x14ac:dyDescent="0.25">
      <c r="A88" s="22"/>
      <c r="B88" s="123"/>
      <c r="C88" s="123"/>
      <c r="D88" s="22"/>
      <c r="E88" s="22" t="s">
        <v>139</v>
      </c>
      <c r="F88" s="22"/>
      <c r="G88" s="22"/>
      <c r="I88" s="65"/>
      <c r="J88" s="121"/>
      <c r="K88" s="121"/>
      <c r="L88" s="65"/>
      <c r="M88" s="65" t="s">
        <v>139</v>
      </c>
      <c r="N88" s="65"/>
      <c r="O88" s="65"/>
    </row>
    <row r="89" spans="1:15" x14ac:dyDescent="0.25">
      <c r="A89" s="22"/>
      <c r="B89" s="123"/>
      <c r="C89" s="123"/>
      <c r="D89" s="22"/>
      <c r="E89" s="22"/>
      <c r="F89" s="22"/>
      <c r="G89" s="22"/>
      <c r="I89" s="65"/>
      <c r="J89" s="121"/>
      <c r="K89" s="121"/>
      <c r="L89" s="65"/>
      <c r="M89" s="65"/>
      <c r="N89" s="65"/>
      <c r="O89" s="65"/>
    </row>
    <row r="90" spans="1:15" ht="18.75" x14ac:dyDescent="0.3">
      <c r="A90" s="22" t="s">
        <v>234</v>
      </c>
      <c r="B90" s="123"/>
      <c r="C90" s="123"/>
      <c r="D90" s="22">
        <v>4.5449999999999999</v>
      </c>
      <c r="E90" s="22" t="s">
        <v>37</v>
      </c>
      <c r="F90" s="22"/>
      <c r="G90" s="22"/>
      <c r="I90" s="65" t="s">
        <v>234</v>
      </c>
      <c r="J90" s="121"/>
      <c r="K90" s="121"/>
      <c r="L90" s="90">
        <f>L6/K10*1/3600/L87</f>
        <v>4.544866902452088</v>
      </c>
      <c r="M90" s="65" t="s">
        <v>37</v>
      </c>
      <c r="N90" s="65"/>
      <c r="O90" s="65"/>
    </row>
    <row r="91" spans="1:15" x14ac:dyDescent="0.25">
      <c r="A91" s="22"/>
      <c r="B91" s="123"/>
      <c r="C91" s="123"/>
      <c r="D91" s="22"/>
      <c r="E91" s="123" t="s">
        <v>233</v>
      </c>
      <c r="F91" s="22"/>
      <c r="G91" s="22"/>
      <c r="I91" s="65"/>
      <c r="J91" s="121"/>
      <c r="K91" s="121"/>
      <c r="L91" s="65"/>
      <c r="M91" s="121" t="s">
        <v>233</v>
      </c>
      <c r="N91" s="65"/>
      <c r="O91" s="65"/>
    </row>
    <row r="92" spans="1:15" x14ac:dyDescent="0.25">
      <c r="A92" s="22"/>
      <c r="B92" s="123"/>
      <c r="C92" s="123"/>
      <c r="D92" s="22"/>
      <c r="E92" s="22"/>
      <c r="F92" s="22"/>
      <c r="G92" s="22"/>
      <c r="I92" s="65"/>
      <c r="J92" s="121"/>
      <c r="K92" s="121"/>
      <c r="L92" s="65"/>
      <c r="M92" s="65"/>
      <c r="N92" s="65"/>
      <c r="O92" s="65"/>
    </row>
    <row r="93" spans="1:15" x14ac:dyDescent="0.25">
      <c r="A93" s="22" t="s">
        <v>235</v>
      </c>
      <c r="B93" s="123"/>
      <c r="C93" s="123"/>
      <c r="D93" s="22"/>
      <c r="E93" s="22"/>
      <c r="F93" s="22"/>
      <c r="G93" s="22"/>
      <c r="I93" s="65" t="s">
        <v>235</v>
      </c>
      <c r="J93" s="121"/>
      <c r="K93" s="121"/>
      <c r="L93" s="65"/>
      <c r="M93" s="65"/>
      <c r="N93" s="65"/>
      <c r="O93" s="65"/>
    </row>
    <row r="94" spans="1:15" x14ac:dyDescent="0.25">
      <c r="A94" s="22"/>
      <c r="B94" s="123"/>
      <c r="C94" s="123"/>
      <c r="D94" s="22"/>
      <c r="E94" s="22"/>
      <c r="F94" s="22"/>
      <c r="G94" s="22"/>
      <c r="I94" s="65"/>
      <c r="J94" s="121"/>
      <c r="K94" s="121"/>
      <c r="L94" s="65"/>
      <c r="M94" s="65"/>
      <c r="N94" s="65"/>
      <c r="O94" s="65"/>
    </row>
    <row r="95" spans="1:15" ht="15" customHeight="1" x14ac:dyDescent="0.25">
      <c r="A95" s="170" t="s">
        <v>236</v>
      </c>
      <c r="B95" s="170"/>
      <c r="C95" s="170"/>
      <c r="D95" s="170"/>
      <c r="E95" s="170"/>
      <c r="F95" s="170"/>
      <c r="G95" s="170"/>
      <c r="I95" s="172" t="s">
        <v>236</v>
      </c>
      <c r="J95" s="172"/>
      <c r="K95" s="172"/>
      <c r="L95" s="172"/>
      <c r="M95" s="172"/>
      <c r="N95" s="172"/>
      <c r="O95" s="172"/>
    </row>
    <row r="96" spans="1:15" x14ac:dyDescent="0.25">
      <c r="A96" s="170"/>
      <c r="B96" s="170"/>
      <c r="C96" s="170"/>
      <c r="D96" s="170"/>
      <c r="E96" s="170"/>
      <c r="F96" s="170"/>
      <c r="G96" s="170"/>
      <c r="I96" s="172"/>
      <c r="J96" s="172"/>
      <c r="K96" s="172"/>
      <c r="L96" s="172"/>
      <c r="M96" s="172"/>
      <c r="N96" s="172"/>
      <c r="O96" s="172"/>
    </row>
    <row r="97" spans="1:15" x14ac:dyDescent="0.25">
      <c r="A97" s="170"/>
      <c r="B97" s="170"/>
      <c r="C97" s="170"/>
      <c r="D97" s="170"/>
      <c r="E97" s="170"/>
      <c r="F97" s="170"/>
      <c r="G97" s="170"/>
      <c r="I97" s="172"/>
      <c r="J97" s="172"/>
      <c r="K97" s="172"/>
      <c r="L97" s="172"/>
      <c r="M97" s="172"/>
      <c r="N97" s="172"/>
      <c r="O97" s="172"/>
    </row>
    <row r="98" spans="1:15" x14ac:dyDescent="0.25">
      <c r="A98" s="22"/>
      <c r="B98" s="123"/>
      <c r="C98" s="123"/>
      <c r="D98" s="22"/>
      <c r="E98" s="22"/>
      <c r="F98" s="22"/>
      <c r="G98" s="22"/>
      <c r="I98" s="65"/>
      <c r="J98" s="121"/>
      <c r="K98" s="121"/>
      <c r="L98" s="65"/>
      <c r="M98" s="65"/>
      <c r="N98" s="65"/>
      <c r="O98" s="65"/>
    </row>
    <row r="99" spans="1:15" x14ac:dyDescent="0.25">
      <c r="A99" s="22" t="s">
        <v>237</v>
      </c>
      <c r="B99" s="123"/>
      <c r="C99" s="123"/>
      <c r="D99" s="22"/>
      <c r="E99" s="22"/>
      <c r="F99" s="22"/>
      <c r="G99" s="22"/>
      <c r="I99" s="65" t="s">
        <v>237</v>
      </c>
      <c r="J99" s="121"/>
      <c r="K99" s="121"/>
      <c r="L99" s="65"/>
      <c r="M99" s="65"/>
      <c r="N99" s="65"/>
      <c r="O99" s="65"/>
    </row>
    <row r="100" spans="1:15" x14ac:dyDescent="0.25">
      <c r="A100" s="22"/>
      <c r="B100" s="123"/>
      <c r="C100" s="123"/>
      <c r="D100" s="22"/>
      <c r="E100" s="22"/>
      <c r="F100" s="22"/>
      <c r="G100" s="22"/>
      <c r="I100" s="65"/>
      <c r="J100" s="121"/>
      <c r="K100" s="121"/>
      <c r="L100" s="65"/>
      <c r="M100" s="65"/>
      <c r="N100" s="65"/>
      <c r="O100" s="65"/>
    </row>
    <row r="101" spans="1:15" x14ac:dyDescent="0.25">
      <c r="A101" s="22" t="s">
        <v>238</v>
      </c>
      <c r="B101" s="123"/>
      <c r="C101" s="123"/>
      <c r="D101" s="22"/>
      <c r="E101" s="22"/>
      <c r="F101" s="22"/>
      <c r="G101" s="22"/>
      <c r="I101" s="65" t="s">
        <v>238</v>
      </c>
      <c r="J101" s="121"/>
      <c r="K101" s="121"/>
      <c r="L101" s="65"/>
      <c r="M101" s="65"/>
      <c r="N101" s="65"/>
      <c r="O101" s="65"/>
    </row>
    <row r="102" spans="1:15" x14ac:dyDescent="0.25">
      <c r="A102" s="22"/>
      <c r="B102" s="123"/>
      <c r="C102" s="123"/>
      <c r="D102" s="22"/>
      <c r="E102" s="22"/>
      <c r="F102" s="22"/>
      <c r="G102" s="22"/>
      <c r="I102" s="65"/>
      <c r="J102" s="121"/>
      <c r="K102" s="121"/>
      <c r="L102" s="65"/>
      <c r="M102" s="65"/>
      <c r="N102" s="65"/>
      <c r="O102" s="65"/>
    </row>
    <row r="103" spans="1:15" x14ac:dyDescent="0.25">
      <c r="A103" s="49" t="s">
        <v>239</v>
      </c>
      <c r="B103" s="123"/>
      <c r="C103" s="123"/>
      <c r="D103" s="22"/>
      <c r="E103" s="22"/>
      <c r="F103" s="22"/>
      <c r="G103" s="22"/>
      <c r="I103" s="97" t="s">
        <v>239</v>
      </c>
      <c r="J103" s="121"/>
      <c r="K103" s="121"/>
      <c r="L103" s="65"/>
      <c r="M103" s="65"/>
      <c r="N103" s="65"/>
      <c r="O103" s="65"/>
    </row>
    <row r="104" spans="1:15" x14ac:dyDescent="0.25">
      <c r="A104" s="22"/>
      <c r="B104" s="123"/>
      <c r="C104" s="123"/>
      <c r="D104" s="22"/>
      <c r="E104" s="22"/>
      <c r="F104" s="22"/>
      <c r="G104" s="22"/>
      <c r="I104" s="65"/>
      <c r="J104" s="121"/>
      <c r="K104" s="121"/>
      <c r="L104" s="65"/>
      <c r="M104" s="65"/>
      <c r="N104" s="65"/>
      <c r="O104" s="65"/>
    </row>
    <row r="105" spans="1:15" ht="15" customHeight="1" x14ac:dyDescent="0.25">
      <c r="A105" s="160" t="s">
        <v>240</v>
      </c>
      <c r="B105" s="160"/>
      <c r="C105" s="160"/>
      <c r="D105" s="160"/>
      <c r="E105" s="160"/>
      <c r="F105" s="160"/>
      <c r="G105" s="160"/>
      <c r="I105" s="165" t="s">
        <v>240</v>
      </c>
      <c r="J105" s="165"/>
      <c r="K105" s="165"/>
      <c r="L105" s="165"/>
      <c r="M105" s="165"/>
      <c r="N105" s="165"/>
      <c r="O105" s="165"/>
    </row>
    <row r="106" spans="1:15" x14ac:dyDescent="0.25">
      <c r="A106" s="160"/>
      <c r="B106" s="160"/>
      <c r="C106" s="160"/>
      <c r="D106" s="160"/>
      <c r="E106" s="160"/>
      <c r="F106" s="160"/>
      <c r="G106" s="160"/>
      <c r="I106" s="165"/>
      <c r="J106" s="165"/>
      <c r="K106" s="165"/>
      <c r="L106" s="165"/>
      <c r="M106" s="165"/>
      <c r="N106" s="165"/>
      <c r="O106" s="165"/>
    </row>
    <row r="107" spans="1:15" x14ac:dyDescent="0.25">
      <c r="A107" s="22"/>
      <c r="B107" s="123"/>
      <c r="C107" s="123"/>
      <c r="D107" s="22"/>
      <c r="E107" s="22"/>
      <c r="F107" s="22"/>
      <c r="G107" s="22"/>
      <c r="I107" s="65"/>
      <c r="J107" s="121"/>
      <c r="K107" s="121"/>
      <c r="L107" s="65"/>
      <c r="M107" s="65"/>
      <c r="N107" s="65"/>
      <c r="O107" s="65"/>
    </row>
    <row r="108" spans="1:15" x14ac:dyDescent="0.25">
      <c r="A108" s="22" t="s">
        <v>241</v>
      </c>
      <c r="B108" s="123"/>
      <c r="C108" s="123"/>
      <c r="D108" s="22"/>
      <c r="E108" s="22"/>
      <c r="F108" s="22"/>
      <c r="G108" s="22"/>
      <c r="I108" s="65" t="s">
        <v>241</v>
      </c>
      <c r="J108" s="121"/>
      <c r="K108" s="121"/>
      <c r="L108" s="65"/>
      <c r="M108" s="65"/>
      <c r="N108" s="65"/>
      <c r="O108" s="65"/>
    </row>
    <row r="109" spans="1:15" x14ac:dyDescent="0.25">
      <c r="A109" s="22"/>
      <c r="B109" s="123"/>
      <c r="C109" s="123"/>
      <c r="D109" s="22"/>
      <c r="E109" s="22"/>
      <c r="F109" s="22"/>
      <c r="G109" s="22"/>
      <c r="I109" s="65"/>
      <c r="J109" s="121"/>
      <c r="K109" s="121"/>
      <c r="L109" s="65"/>
      <c r="M109" s="65"/>
      <c r="N109" s="65"/>
      <c r="O109" s="65"/>
    </row>
    <row r="110" spans="1:15" ht="18" x14ac:dyDescent="0.25">
      <c r="A110" s="153" t="s">
        <v>242</v>
      </c>
      <c r="B110" s="29" t="s">
        <v>243</v>
      </c>
      <c r="C110" s="123"/>
      <c r="D110" s="22"/>
      <c r="E110" s="22"/>
      <c r="F110" s="22"/>
      <c r="G110" s="22"/>
      <c r="I110" s="157" t="s">
        <v>242</v>
      </c>
      <c r="J110" s="74" t="s">
        <v>243</v>
      </c>
      <c r="K110" s="121"/>
      <c r="L110" s="65"/>
      <c r="M110" s="65"/>
      <c r="N110" s="65"/>
      <c r="O110" s="65"/>
    </row>
    <row r="111" spans="1:15" ht="18" x14ac:dyDescent="0.25">
      <c r="A111" s="153"/>
      <c r="B111" s="29" t="s">
        <v>490</v>
      </c>
      <c r="C111" s="123"/>
      <c r="D111" s="22"/>
      <c r="E111" s="22"/>
      <c r="F111" s="22"/>
      <c r="G111" s="22"/>
      <c r="I111" s="157"/>
      <c r="J111" s="74" t="s">
        <v>490</v>
      </c>
      <c r="K111" s="121"/>
      <c r="L111" s="65"/>
      <c r="M111" s="65"/>
      <c r="N111" s="65"/>
      <c r="O111" s="65"/>
    </row>
    <row r="112" spans="1:15" x14ac:dyDescent="0.25">
      <c r="A112" s="22"/>
      <c r="B112" s="123"/>
      <c r="C112" s="123"/>
      <c r="D112" s="22"/>
      <c r="E112" s="22"/>
      <c r="F112" s="22"/>
      <c r="G112" s="22"/>
      <c r="I112" s="65"/>
      <c r="J112" s="121"/>
      <c r="K112" s="121"/>
      <c r="L112" s="65"/>
      <c r="M112" s="65"/>
      <c r="N112" s="65"/>
      <c r="O112" s="65"/>
    </row>
    <row r="113" spans="1:15" x14ac:dyDescent="0.25">
      <c r="A113" s="26" t="s">
        <v>1</v>
      </c>
      <c r="B113" s="26">
        <v>21.9</v>
      </c>
      <c r="C113" s="29" t="s">
        <v>34</v>
      </c>
      <c r="D113" s="22"/>
      <c r="E113" s="22"/>
      <c r="F113" s="22"/>
      <c r="G113" s="22"/>
      <c r="I113" s="70" t="s">
        <v>1</v>
      </c>
      <c r="J113" s="88">
        <f>(J7+L6)*144*1/(K13*1*3.14159*(10.02/2)^2*3600)</f>
        <v>21.93792593995342</v>
      </c>
      <c r="K113" s="74" t="s">
        <v>34</v>
      </c>
      <c r="L113" s="65"/>
      <c r="M113" s="65"/>
      <c r="N113" s="65"/>
      <c r="O113" s="65"/>
    </row>
    <row r="114" spans="1:15" x14ac:dyDescent="0.25">
      <c r="A114" s="22"/>
      <c r="B114" s="123"/>
      <c r="C114" s="123"/>
      <c r="D114" s="22"/>
      <c r="E114" s="22"/>
      <c r="F114" s="22"/>
      <c r="G114" s="22"/>
      <c r="I114" s="65"/>
      <c r="J114" s="121"/>
      <c r="K114" s="121"/>
      <c r="L114" s="65"/>
      <c r="M114" s="65"/>
      <c r="N114" s="65"/>
      <c r="O114" s="65"/>
    </row>
    <row r="115" spans="1:15" ht="18.75" x14ac:dyDescent="0.3">
      <c r="A115" s="22" t="s">
        <v>425</v>
      </c>
      <c r="B115" s="123"/>
      <c r="C115" s="123"/>
      <c r="D115" s="22"/>
      <c r="E115" s="22"/>
      <c r="F115" s="22"/>
      <c r="G115" s="22"/>
      <c r="I115" s="65" t="s">
        <v>424</v>
      </c>
      <c r="J115" s="98">
        <f>K13*J113^2</f>
        <v>3306.3427245370735</v>
      </c>
      <c r="K115" s="65" t="s">
        <v>426</v>
      </c>
      <c r="L115" s="65"/>
      <c r="M115" s="65"/>
      <c r="N115" s="65"/>
      <c r="O115" s="65"/>
    </row>
    <row r="116" spans="1:15" x14ac:dyDescent="0.25">
      <c r="A116" s="22"/>
      <c r="B116" s="123"/>
      <c r="C116" s="123"/>
      <c r="D116" s="22"/>
      <c r="E116" s="22"/>
      <c r="F116" s="22"/>
      <c r="G116" s="22"/>
      <c r="I116" s="65"/>
      <c r="J116" s="121"/>
      <c r="K116" s="121"/>
      <c r="L116" s="65"/>
      <c r="M116" s="65"/>
      <c r="N116" s="65"/>
      <c r="O116" s="65"/>
    </row>
    <row r="117" spans="1:15" x14ac:dyDescent="0.25">
      <c r="A117" s="22" t="s">
        <v>172</v>
      </c>
      <c r="B117" s="123"/>
      <c r="C117" s="123"/>
      <c r="D117" s="22"/>
      <c r="E117" s="22"/>
      <c r="F117" s="22"/>
      <c r="G117" s="22"/>
      <c r="I117" s="65" t="s">
        <v>172</v>
      </c>
      <c r="J117" s="121"/>
      <c r="K117" s="121"/>
      <c r="L117" s="65"/>
      <c r="M117" s="65"/>
      <c r="N117" s="65"/>
      <c r="O117" s="65"/>
    </row>
    <row r="118" spans="1:15" x14ac:dyDescent="0.25">
      <c r="A118" s="22" t="s">
        <v>244</v>
      </c>
      <c r="B118" s="123"/>
      <c r="C118" s="123"/>
      <c r="D118" s="22"/>
      <c r="E118" s="22"/>
      <c r="F118" s="22"/>
      <c r="G118" s="22"/>
      <c r="I118" s="65" t="s">
        <v>244</v>
      </c>
      <c r="J118" s="121"/>
      <c r="K118" s="121"/>
      <c r="L118" s="65"/>
      <c r="M118" s="65"/>
      <c r="N118" s="65"/>
      <c r="O118" s="65"/>
    </row>
    <row r="119" spans="1:15" x14ac:dyDescent="0.25">
      <c r="A119" s="22" t="s">
        <v>245</v>
      </c>
      <c r="B119" s="123"/>
      <c r="C119" s="123"/>
      <c r="D119" s="22"/>
      <c r="E119" s="22"/>
      <c r="F119" s="22"/>
      <c r="G119" s="22"/>
      <c r="I119" s="65" t="s">
        <v>245</v>
      </c>
      <c r="J119" s="121"/>
      <c r="K119" s="121"/>
      <c r="L119" s="65"/>
      <c r="M119" s="65"/>
      <c r="N119" s="65"/>
      <c r="O119" s="65"/>
    </row>
    <row r="120" spans="1:15" x14ac:dyDescent="0.25">
      <c r="A120" s="22"/>
      <c r="B120" s="123"/>
      <c r="C120" s="123"/>
      <c r="D120" s="22"/>
      <c r="E120" s="22"/>
      <c r="F120" s="22"/>
      <c r="G120" s="22"/>
      <c r="I120" s="65"/>
      <c r="J120" s="121"/>
      <c r="K120" s="121"/>
      <c r="L120" s="65"/>
      <c r="M120" s="65"/>
      <c r="N120" s="65"/>
      <c r="O120" s="65"/>
    </row>
    <row r="121" spans="1:15" ht="18" x14ac:dyDescent="0.25">
      <c r="A121" s="153" t="s">
        <v>242</v>
      </c>
      <c r="B121" s="29" t="s">
        <v>246</v>
      </c>
      <c r="C121" s="123"/>
      <c r="D121" s="22"/>
      <c r="E121" s="22"/>
      <c r="F121" s="22"/>
      <c r="G121" s="22"/>
      <c r="I121" s="157" t="s">
        <v>242</v>
      </c>
      <c r="J121" s="74" t="s">
        <v>246</v>
      </c>
      <c r="K121" s="121"/>
      <c r="L121" s="65"/>
      <c r="M121" s="65"/>
      <c r="N121" s="65"/>
      <c r="O121" s="65"/>
    </row>
    <row r="122" spans="1:15" ht="18" x14ac:dyDescent="0.25">
      <c r="A122" s="153"/>
      <c r="B122" s="29" t="s">
        <v>491</v>
      </c>
      <c r="C122" s="123"/>
      <c r="D122" s="22"/>
      <c r="E122" s="22"/>
      <c r="F122" s="22"/>
      <c r="G122" s="22"/>
      <c r="I122" s="157"/>
      <c r="J122" s="74" t="s">
        <v>491</v>
      </c>
      <c r="K122" s="121"/>
      <c r="L122" s="65"/>
      <c r="M122" s="65"/>
      <c r="N122" s="65"/>
      <c r="O122" s="65"/>
    </row>
    <row r="123" spans="1:15" x14ac:dyDescent="0.25">
      <c r="A123" s="26" t="s">
        <v>1</v>
      </c>
      <c r="B123" s="26">
        <v>51.7</v>
      </c>
      <c r="C123" s="29" t="s">
        <v>34</v>
      </c>
      <c r="D123" s="22"/>
      <c r="E123" s="22"/>
      <c r="F123" s="22"/>
      <c r="G123" s="22"/>
      <c r="I123" s="70" t="s">
        <v>1</v>
      </c>
      <c r="J123" s="94">
        <f>L6*144*1/K10/1/3.14159/(6.065/2)^2/3600</f>
        <v>51.714936692993199</v>
      </c>
      <c r="K123" s="74" t="s">
        <v>34</v>
      </c>
      <c r="L123" s="65"/>
      <c r="M123" s="65"/>
      <c r="N123" s="65"/>
      <c r="O123" s="65"/>
    </row>
    <row r="124" spans="1:15" x14ac:dyDescent="0.25">
      <c r="A124" s="22"/>
      <c r="B124" s="123"/>
      <c r="C124" s="123"/>
      <c r="D124" s="22"/>
      <c r="E124" s="22"/>
      <c r="F124" s="22"/>
      <c r="G124" s="22"/>
      <c r="I124" s="65"/>
      <c r="J124" s="121"/>
      <c r="K124" s="121"/>
      <c r="L124" s="65"/>
      <c r="M124" s="65"/>
      <c r="N124" s="65"/>
      <c r="O124" s="65"/>
    </row>
    <row r="125" spans="1:15" ht="18" x14ac:dyDescent="0.25">
      <c r="A125" s="22" t="s">
        <v>428</v>
      </c>
      <c r="B125" s="123"/>
      <c r="C125" s="123"/>
      <c r="D125" s="22"/>
      <c r="E125" s="22"/>
      <c r="F125" s="22"/>
      <c r="G125" s="22"/>
      <c r="I125" s="65" t="s">
        <v>427</v>
      </c>
      <c r="J125" s="98">
        <f>K10*J123^2</f>
        <v>2070.0124401220678</v>
      </c>
      <c r="K125" s="65" t="s">
        <v>426</v>
      </c>
      <c r="L125" s="65"/>
      <c r="M125" s="65"/>
      <c r="N125" s="65"/>
      <c r="O125" s="65"/>
    </row>
    <row r="126" spans="1:15" x14ac:dyDescent="0.25">
      <c r="A126" s="22"/>
      <c r="B126" s="123"/>
      <c r="C126" s="123"/>
      <c r="D126" s="22"/>
      <c r="E126" s="22"/>
      <c r="F126" s="22"/>
      <c r="G126" s="22"/>
      <c r="I126" s="65"/>
      <c r="J126" s="121"/>
      <c r="K126" s="121"/>
      <c r="L126" s="65"/>
      <c r="M126" s="65"/>
      <c r="N126" s="65"/>
      <c r="O126" s="65"/>
    </row>
    <row r="127" spans="1:15" x14ac:dyDescent="0.25">
      <c r="A127" s="22"/>
      <c r="B127" s="123"/>
      <c r="C127" s="123"/>
      <c r="D127" s="22"/>
      <c r="E127" s="22"/>
      <c r="F127" s="22"/>
      <c r="G127" s="22"/>
      <c r="I127" s="65"/>
      <c r="J127" s="121"/>
      <c r="K127" s="121"/>
      <c r="L127" s="65"/>
      <c r="M127" s="65"/>
      <c r="N127" s="65"/>
      <c r="O127" s="65"/>
    </row>
    <row r="128" spans="1:15" x14ac:dyDescent="0.25">
      <c r="A128" s="22" t="s">
        <v>247</v>
      </c>
      <c r="B128" s="123"/>
      <c r="C128" s="123"/>
      <c r="D128" s="22"/>
      <c r="E128" s="22"/>
      <c r="F128" s="22"/>
      <c r="G128" s="22"/>
      <c r="I128" s="65" t="s">
        <v>247</v>
      </c>
      <c r="J128" s="121"/>
      <c r="K128" s="121"/>
      <c r="L128" s="65"/>
      <c r="M128" s="65"/>
      <c r="N128" s="65"/>
      <c r="O128" s="65"/>
    </row>
    <row r="129" spans="1:15" x14ac:dyDescent="0.25">
      <c r="A129" s="22"/>
      <c r="B129" s="123"/>
      <c r="C129" s="123"/>
      <c r="D129" s="22"/>
      <c r="E129" s="22"/>
      <c r="F129" s="22"/>
      <c r="G129" s="22"/>
      <c r="I129" s="65"/>
      <c r="J129" s="121"/>
      <c r="K129" s="121"/>
      <c r="L129" s="65"/>
      <c r="M129" s="65"/>
      <c r="N129" s="65"/>
      <c r="O129" s="65"/>
    </row>
    <row r="130" spans="1:15" x14ac:dyDescent="0.25">
      <c r="A130" s="7"/>
      <c r="B130" s="8"/>
      <c r="C130" s="8"/>
      <c r="D130" s="7"/>
      <c r="E130" s="7"/>
      <c r="F130" s="7"/>
      <c r="G130" s="7"/>
    </row>
    <row r="131" spans="1:15" x14ac:dyDescent="0.25">
      <c r="A131" s="118" t="s">
        <v>493</v>
      </c>
      <c r="B131" s="8"/>
      <c r="C131" s="8"/>
      <c r="D131" s="7"/>
      <c r="E131" s="7"/>
      <c r="F131" s="7"/>
      <c r="G131" s="7"/>
    </row>
    <row r="132" spans="1:15" x14ac:dyDescent="0.25">
      <c r="A132" s="118" t="s">
        <v>494</v>
      </c>
      <c r="B132" s="8"/>
      <c r="C132" s="8"/>
      <c r="D132" s="7"/>
      <c r="E132" s="7"/>
      <c r="F132" s="7"/>
      <c r="G132" s="7"/>
    </row>
    <row r="133" spans="1:15" x14ac:dyDescent="0.25">
      <c r="A133" s="118" t="s">
        <v>495</v>
      </c>
      <c r="B133" s="8"/>
      <c r="C133" s="8"/>
      <c r="D133" s="7"/>
      <c r="E133" s="7"/>
      <c r="F133" s="7"/>
      <c r="G133" s="7"/>
    </row>
    <row r="134" spans="1:15" x14ac:dyDescent="0.25">
      <c r="A134" s="118" t="s">
        <v>496</v>
      </c>
      <c r="B134" s="8"/>
      <c r="C134" s="8"/>
      <c r="D134" s="7"/>
      <c r="E134" s="7"/>
      <c r="F134" s="7"/>
      <c r="G134" s="7"/>
    </row>
    <row r="135" spans="1:15" x14ac:dyDescent="0.25">
      <c r="A135" s="118" t="s">
        <v>497</v>
      </c>
      <c r="B135" s="8"/>
      <c r="C135" s="8"/>
      <c r="D135" s="7"/>
      <c r="E135" s="7"/>
      <c r="F135" s="7"/>
      <c r="G135" s="7"/>
    </row>
    <row r="136" spans="1:15" x14ac:dyDescent="0.25">
      <c r="A136" s="7"/>
      <c r="B136" s="8"/>
      <c r="C136" s="8"/>
      <c r="D136" s="7"/>
      <c r="E136" s="7"/>
      <c r="F136" s="7"/>
      <c r="G136" s="7"/>
    </row>
    <row r="137" spans="1:15" x14ac:dyDescent="0.25">
      <c r="A137" s="7"/>
      <c r="B137" s="8"/>
      <c r="C137" s="8"/>
      <c r="D137" s="7"/>
      <c r="E137" s="7"/>
      <c r="F137" s="7"/>
      <c r="G137" s="7"/>
    </row>
    <row r="138" spans="1:15" x14ac:dyDescent="0.25">
      <c r="A138" s="7"/>
      <c r="B138" s="8"/>
      <c r="C138" s="8"/>
      <c r="D138" s="7"/>
      <c r="E138" s="7"/>
      <c r="F138" s="7"/>
      <c r="G138" s="7"/>
    </row>
    <row r="139" spans="1:15" x14ac:dyDescent="0.25">
      <c r="A139" s="7"/>
      <c r="B139" s="8"/>
      <c r="C139" s="8"/>
      <c r="D139" s="7"/>
      <c r="E139" s="7"/>
      <c r="F139" s="7"/>
      <c r="G139" s="7"/>
    </row>
  </sheetData>
  <sheetProtection password="F030" sheet="1" objects="1" scenarios="1" selectLockedCells="1"/>
  <mergeCells count="30">
    <mergeCell ref="I95:O97"/>
    <mergeCell ref="I105:O106"/>
    <mergeCell ref="I110:I111"/>
    <mergeCell ref="I121:I122"/>
    <mergeCell ref="J71:J72"/>
    <mergeCell ref="K71:K72"/>
    <mergeCell ref="L71:L72"/>
    <mergeCell ref="M71:M72"/>
    <mergeCell ref="I74:O75"/>
    <mergeCell ref="A95:G97"/>
    <mergeCell ref="A105:G106"/>
    <mergeCell ref="A110:A111"/>
    <mergeCell ref="A121:A122"/>
    <mergeCell ref="B71:B72"/>
    <mergeCell ref="C71:C72"/>
    <mergeCell ref="D71:D72"/>
    <mergeCell ref="E71:E72"/>
    <mergeCell ref="A74:G75"/>
    <mergeCell ref="I27:O28"/>
    <mergeCell ref="I31:O32"/>
    <mergeCell ref="A27:G28"/>
    <mergeCell ref="A31:G32"/>
    <mergeCell ref="E13:G14"/>
    <mergeCell ref="A20:G21"/>
    <mergeCell ref="A23:G25"/>
    <mergeCell ref="A1:G1"/>
    <mergeCell ref="I1:O1"/>
    <mergeCell ref="M13:O14"/>
    <mergeCell ref="I20:O21"/>
    <mergeCell ref="I23:O2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6"/>
  <sheetViews>
    <sheetView zoomScale="80" zoomScaleNormal="80" workbookViewId="0">
      <selection activeCell="M10" sqref="M10"/>
    </sheetView>
  </sheetViews>
  <sheetFormatPr defaultColWidth="9.140625" defaultRowHeight="15" x14ac:dyDescent="0.25"/>
  <cols>
    <col min="1" max="1" width="28" style="3" customWidth="1"/>
    <col min="2" max="2" width="9.140625" style="4"/>
    <col min="3" max="3" width="10.85546875" style="4" customWidth="1"/>
    <col min="4" max="4" width="9.140625" style="3" customWidth="1"/>
    <col min="5" max="5" width="19.7109375" style="3" customWidth="1"/>
    <col min="6" max="7" width="9.140625" style="3"/>
    <col min="8" max="8" width="10.28515625" style="3" customWidth="1"/>
    <col min="9" max="9" width="13.140625" style="3" customWidth="1"/>
    <col min="10" max="11" width="9.140625" style="3"/>
    <col min="12" max="12" width="28" style="3" customWidth="1"/>
    <col min="13" max="13" width="9.140625" style="4"/>
    <col min="14" max="14" width="10.85546875" style="4" customWidth="1"/>
    <col min="15" max="15" width="15" style="3" customWidth="1"/>
    <col min="16" max="16" width="19.7109375" style="3" customWidth="1"/>
    <col min="17" max="20" width="9.140625" style="3"/>
    <col min="21" max="21" width="9.140625" style="3" customWidth="1"/>
    <col min="22" max="16384" width="9.140625" style="3"/>
  </cols>
  <sheetData>
    <row r="1" spans="1:21" ht="26.25" customHeight="1" x14ac:dyDescent="0.25">
      <c r="A1" s="152" t="s">
        <v>248</v>
      </c>
      <c r="B1" s="178"/>
      <c r="C1" s="178"/>
      <c r="D1" s="178"/>
      <c r="E1" s="178"/>
      <c r="F1" s="178"/>
      <c r="G1" s="178"/>
      <c r="H1" s="22"/>
      <c r="I1" s="22"/>
      <c r="J1" s="22"/>
      <c r="L1" s="156" t="s">
        <v>378</v>
      </c>
      <c r="M1" s="179"/>
      <c r="N1" s="179"/>
      <c r="O1" s="179"/>
      <c r="P1" s="179"/>
      <c r="Q1" s="179"/>
      <c r="R1" s="179"/>
      <c r="S1" s="65"/>
      <c r="T1" s="65"/>
      <c r="U1" s="65"/>
    </row>
    <row r="2" spans="1:21" x14ac:dyDescent="0.25">
      <c r="A2" s="20" t="s">
        <v>249</v>
      </c>
      <c r="B2" s="21"/>
      <c r="C2" s="21"/>
      <c r="D2" s="20"/>
      <c r="E2" s="19"/>
      <c r="F2" s="19"/>
      <c r="G2" s="19"/>
      <c r="H2" s="22"/>
      <c r="I2" s="22"/>
      <c r="J2" s="22"/>
      <c r="L2" s="63" t="s">
        <v>249</v>
      </c>
      <c r="M2" s="64"/>
      <c r="N2" s="64"/>
      <c r="O2" s="63"/>
      <c r="P2" s="62"/>
      <c r="Q2" s="62"/>
      <c r="R2" s="62"/>
      <c r="S2" s="65"/>
      <c r="T2" s="65"/>
      <c r="U2" s="65"/>
    </row>
    <row r="3" spans="1:21" x14ac:dyDescent="0.25">
      <c r="A3" s="20"/>
      <c r="B3" s="21"/>
      <c r="C3" s="21"/>
      <c r="D3" s="20"/>
      <c r="E3" s="20"/>
      <c r="F3" s="20"/>
      <c r="G3" s="20"/>
      <c r="H3" s="22"/>
      <c r="I3" s="22"/>
      <c r="J3" s="22"/>
      <c r="L3" s="63"/>
      <c r="M3" s="64"/>
      <c r="N3" s="64"/>
      <c r="O3" s="63"/>
      <c r="P3" s="63"/>
      <c r="Q3" s="63"/>
      <c r="R3" s="63"/>
      <c r="S3" s="65"/>
      <c r="T3" s="65"/>
      <c r="U3" s="65"/>
    </row>
    <row r="4" spans="1:21" x14ac:dyDescent="0.25">
      <c r="A4" s="20" t="s">
        <v>250</v>
      </c>
      <c r="B4" s="129">
        <v>250</v>
      </c>
      <c r="C4" s="36" t="s">
        <v>30</v>
      </c>
      <c r="D4" s="20"/>
      <c r="E4" s="20"/>
      <c r="F4" s="20"/>
      <c r="G4" s="20"/>
      <c r="H4" s="22"/>
      <c r="I4" s="22"/>
      <c r="J4" s="22"/>
      <c r="L4" s="63" t="s">
        <v>250</v>
      </c>
      <c r="M4" s="128">
        <v>250</v>
      </c>
      <c r="N4" s="81" t="s">
        <v>30</v>
      </c>
      <c r="O4" s="63"/>
      <c r="P4" s="63"/>
      <c r="Q4" s="63"/>
      <c r="R4" s="63"/>
      <c r="S4" s="65"/>
      <c r="T4" s="65"/>
      <c r="U4" s="65"/>
    </row>
    <row r="5" spans="1:21" ht="18" customHeight="1" x14ac:dyDescent="0.25">
      <c r="A5" s="22" t="s">
        <v>192</v>
      </c>
      <c r="B5" s="129">
        <v>80000</v>
      </c>
      <c r="C5" s="36" t="s">
        <v>251</v>
      </c>
      <c r="D5" s="50">
        <v>103360</v>
      </c>
      <c r="E5" s="20" t="s">
        <v>429</v>
      </c>
      <c r="F5" s="20"/>
      <c r="G5" s="20"/>
      <c r="H5" s="22"/>
      <c r="I5" s="22"/>
      <c r="J5" s="22"/>
      <c r="L5" s="65" t="s">
        <v>192</v>
      </c>
      <c r="M5" s="128">
        <v>80000</v>
      </c>
      <c r="N5" s="81" t="s">
        <v>251</v>
      </c>
      <c r="O5" s="120">
        <v>103360</v>
      </c>
      <c r="P5" s="63" t="s">
        <v>429</v>
      </c>
      <c r="Q5" s="63"/>
      <c r="R5" s="63"/>
      <c r="S5" s="65"/>
      <c r="T5" s="65"/>
      <c r="U5" s="65"/>
    </row>
    <row r="6" spans="1:21" ht="18" x14ac:dyDescent="0.25">
      <c r="A6" s="20" t="s">
        <v>252</v>
      </c>
      <c r="B6" s="129">
        <v>275000</v>
      </c>
      <c r="C6" s="36" t="s">
        <v>251</v>
      </c>
      <c r="D6" s="51">
        <v>26900</v>
      </c>
      <c r="E6" s="20" t="s">
        <v>196</v>
      </c>
      <c r="F6" s="20">
        <v>6293</v>
      </c>
      <c r="G6" s="20" t="s">
        <v>430</v>
      </c>
      <c r="H6" s="22"/>
      <c r="I6" s="22"/>
      <c r="J6" s="22"/>
      <c r="L6" s="63" t="s">
        <v>252</v>
      </c>
      <c r="M6" s="128">
        <v>6293</v>
      </c>
      <c r="N6" s="81" t="s">
        <v>379</v>
      </c>
      <c r="O6" s="120">
        <v>26900</v>
      </c>
      <c r="P6" s="63" t="s">
        <v>196</v>
      </c>
      <c r="Q6" s="120">
        <v>6293</v>
      </c>
      <c r="R6" s="63" t="s">
        <v>430</v>
      </c>
      <c r="S6" s="65"/>
      <c r="T6" s="65"/>
      <c r="U6" s="65"/>
    </row>
    <row r="7" spans="1:21" ht="18" x14ac:dyDescent="0.25">
      <c r="A7" s="20" t="s">
        <v>253</v>
      </c>
      <c r="B7" s="129">
        <v>75000</v>
      </c>
      <c r="C7" s="36" t="s">
        <v>251</v>
      </c>
      <c r="D7" s="51">
        <v>5181</v>
      </c>
      <c r="E7" s="20" t="s">
        <v>196</v>
      </c>
      <c r="F7" s="20">
        <v>1212</v>
      </c>
      <c r="G7" s="20" t="s">
        <v>430</v>
      </c>
      <c r="H7" s="22"/>
      <c r="I7" s="22"/>
      <c r="J7" s="22"/>
      <c r="L7" s="63" t="s">
        <v>253</v>
      </c>
      <c r="M7" s="128">
        <v>1212</v>
      </c>
      <c r="N7" s="81" t="s">
        <v>379</v>
      </c>
      <c r="O7" s="120">
        <v>5181</v>
      </c>
      <c r="P7" s="63" t="s">
        <v>196</v>
      </c>
      <c r="Q7" s="120">
        <v>1212</v>
      </c>
      <c r="R7" s="63" t="s">
        <v>430</v>
      </c>
      <c r="S7" s="65"/>
      <c r="T7" s="65"/>
      <c r="U7" s="65"/>
    </row>
    <row r="8" spans="1:21" x14ac:dyDescent="0.25">
      <c r="A8" s="20" t="s">
        <v>256</v>
      </c>
      <c r="B8" s="129">
        <v>150</v>
      </c>
      <c r="C8" s="36" t="s">
        <v>254</v>
      </c>
      <c r="D8" s="20"/>
      <c r="E8" s="20"/>
      <c r="F8" s="20"/>
      <c r="G8" s="20"/>
      <c r="H8" s="22"/>
      <c r="I8" s="22"/>
      <c r="J8" s="22"/>
      <c r="L8" s="63" t="s">
        <v>256</v>
      </c>
      <c r="M8" s="128">
        <v>150</v>
      </c>
      <c r="N8" s="81" t="s">
        <v>254</v>
      </c>
      <c r="O8" s="63"/>
      <c r="P8" s="63"/>
      <c r="Q8" s="63"/>
      <c r="R8" s="63"/>
      <c r="S8" s="65"/>
      <c r="T8" s="65"/>
      <c r="U8" s="65"/>
    </row>
    <row r="9" spans="1:21" x14ac:dyDescent="0.25">
      <c r="A9" s="21" t="s">
        <v>255</v>
      </c>
      <c r="B9" s="21"/>
      <c r="C9" s="21"/>
      <c r="D9" s="20"/>
      <c r="E9" s="20"/>
      <c r="F9" s="20"/>
      <c r="G9" s="20"/>
      <c r="H9" s="22"/>
      <c r="I9" s="22"/>
      <c r="J9" s="22"/>
      <c r="L9" s="64" t="s">
        <v>255</v>
      </c>
      <c r="M9" s="64"/>
      <c r="N9" s="64"/>
      <c r="O9" s="63"/>
      <c r="P9" s="63"/>
      <c r="Q9" s="63"/>
      <c r="R9" s="63"/>
      <c r="S9" s="65"/>
      <c r="T9" s="65"/>
      <c r="U9" s="65"/>
    </row>
    <row r="10" spans="1:21" x14ac:dyDescent="0.25">
      <c r="A10" s="20" t="s">
        <v>257</v>
      </c>
      <c r="B10" s="129">
        <v>10</v>
      </c>
      <c r="C10" s="52" t="s">
        <v>258</v>
      </c>
      <c r="D10" s="20"/>
      <c r="E10" s="20"/>
      <c r="F10" s="20"/>
      <c r="G10" s="20"/>
      <c r="H10" s="22"/>
      <c r="I10" s="22"/>
      <c r="J10" s="22"/>
      <c r="L10" s="63" t="s">
        <v>257</v>
      </c>
      <c r="M10" s="128">
        <v>10</v>
      </c>
      <c r="N10" s="99" t="s">
        <v>258</v>
      </c>
      <c r="O10" s="63"/>
      <c r="P10" s="63"/>
      <c r="Q10" s="63"/>
      <c r="R10" s="63"/>
      <c r="S10" s="65"/>
      <c r="T10" s="65"/>
      <c r="U10" s="65"/>
    </row>
    <row r="11" spans="1:21" x14ac:dyDescent="0.25">
      <c r="A11" s="21" t="s">
        <v>260</v>
      </c>
      <c r="B11" s="129">
        <v>5</v>
      </c>
      <c r="C11" s="36" t="s">
        <v>259</v>
      </c>
      <c r="D11" s="20"/>
      <c r="E11" s="20"/>
      <c r="F11" s="20"/>
      <c r="G11" s="20"/>
      <c r="H11" s="22"/>
      <c r="I11" s="22"/>
      <c r="J11" s="22"/>
      <c r="L11" s="64" t="s">
        <v>260</v>
      </c>
      <c r="M11" s="128">
        <v>5</v>
      </c>
      <c r="N11" s="81" t="s">
        <v>259</v>
      </c>
      <c r="O11" s="63"/>
      <c r="P11" s="63"/>
      <c r="Q11" s="63"/>
      <c r="R11" s="63"/>
      <c r="S11" s="65"/>
      <c r="T11" s="65"/>
      <c r="U11" s="65"/>
    </row>
    <row r="12" spans="1:21" x14ac:dyDescent="0.25">
      <c r="A12" s="20" t="s">
        <v>261</v>
      </c>
      <c r="B12" s="129">
        <v>5</v>
      </c>
      <c r="C12" s="36" t="s">
        <v>431</v>
      </c>
      <c r="D12" s="20">
        <v>12</v>
      </c>
      <c r="E12" s="20" t="s">
        <v>432</v>
      </c>
      <c r="F12" s="20"/>
      <c r="G12" s="20"/>
      <c r="H12" s="22"/>
      <c r="I12" s="22"/>
      <c r="J12" s="22"/>
      <c r="L12" s="63" t="s">
        <v>261</v>
      </c>
      <c r="M12" s="128">
        <v>5</v>
      </c>
      <c r="N12" s="81" t="s">
        <v>431</v>
      </c>
      <c r="O12" s="128">
        <v>12</v>
      </c>
      <c r="P12" s="81" t="s">
        <v>432</v>
      </c>
      <c r="Q12" s="63"/>
      <c r="R12" s="63"/>
      <c r="S12" s="65"/>
      <c r="T12" s="65"/>
      <c r="U12" s="65"/>
    </row>
    <row r="13" spans="1:21" ht="15.6" customHeight="1" x14ac:dyDescent="0.25">
      <c r="A13" s="21" t="s">
        <v>263</v>
      </c>
      <c r="B13" s="21"/>
      <c r="C13" s="36"/>
      <c r="D13" s="20"/>
      <c r="E13" s="20"/>
      <c r="F13" s="20"/>
      <c r="G13" s="20"/>
      <c r="H13" s="22"/>
      <c r="I13" s="22"/>
      <c r="J13" s="22"/>
      <c r="L13" s="64" t="s">
        <v>263</v>
      </c>
      <c r="M13" s="64"/>
      <c r="N13" s="81"/>
      <c r="O13" s="63"/>
      <c r="P13" s="63"/>
      <c r="Q13" s="63"/>
      <c r="R13" s="63"/>
      <c r="S13" s="65"/>
      <c r="T13" s="65"/>
      <c r="U13" s="65"/>
    </row>
    <row r="14" spans="1:21" ht="14.45" customHeight="1" x14ac:dyDescent="0.25">
      <c r="A14" s="20" t="s">
        <v>433</v>
      </c>
      <c r="B14" s="129">
        <v>70</v>
      </c>
      <c r="C14" s="36" t="s">
        <v>399</v>
      </c>
      <c r="D14" s="20"/>
      <c r="E14" s="20"/>
      <c r="F14" s="20"/>
      <c r="G14" s="20"/>
      <c r="H14" s="22"/>
      <c r="I14" s="22"/>
      <c r="J14" s="22"/>
      <c r="L14" s="63" t="s">
        <v>433</v>
      </c>
      <c r="M14" s="100">
        <v>0.7</v>
      </c>
      <c r="N14" s="81"/>
      <c r="O14" s="63"/>
      <c r="P14" s="63"/>
      <c r="Q14" s="63"/>
      <c r="R14" s="63"/>
      <c r="S14" s="65"/>
      <c r="T14" s="65"/>
      <c r="U14" s="65"/>
    </row>
    <row r="15" spans="1:21" x14ac:dyDescent="0.25">
      <c r="A15" s="32" t="s">
        <v>116</v>
      </c>
      <c r="B15" s="21"/>
      <c r="C15" s="21"/>
      <c r="D15" s="20"/>
      <c r="E15" s="20"/>
      <c r="F15" s="20"/>
      <c r="G15" s="20"/>
      <c r="H15" s="22"/>
      <c r="I15" s="22"/>
      <c r="J15" s="22"/>
      <c r="L15" s="77" t="s">
        <v>116</v>
      </c>
      <c r="M15" s="64"/>
      <c r="N15" s="64"/>
      <c r="O15" s="63"/>
      <c r="P15" s="63"/>
      <c r="Q15" s="63"/>
      <c r="R15" s="63"/>
      <c r="S15" s="65"/>
      <c r="T15" s="65"/>
      <c r="U15" s="65"/>
    </row>
    <row r="16" spans="1:21" ht="18.75" x14ac:dyDescent="0.3">
      <c r="A16" s="129" t="s">
        <v>124</v>
      </c>
      <c r="B16" s="25" t="s">
        <v>120</v>
      </c>
      <c r="C16" s="21">
        <v>0.77400000000000002</v>
      </c>
      <c r="D16" s="20" t="s">
        <v>33</v>
      </c>
      <c r="E16" s="20"/>
      <c r="F16" s="20"/>
      <c r="G16" s="20"/>
      <c r="H16" s="22"/>
      <c r="I16" s="22"/>
      <c r="J16" s="22"/>
      <c r="L16" s="117" t="s">
        <v>124</v>
      </c>
      <c r="M16" s="68" t="s">
        <v>120</v>
      </c>
      <c r="N16" s="69">
        <v>0.77400000000000002</v>
      </c>
      <c r="O16" s="63" t="s">
        <v>33</v>
      </c>
      <c r="P16" s="63"/>
      <c r="Q16" s="63"/>
      <c r="R16" s="63"/>
      <c r="S16" s="65"/>
      <c r="T16" s="65"/>
      <c r="U16" s="65"/>
    </row>
    <row r="17" spans="1:22" ht="16.5" x14ac:dyDescent="0.3">
      <c r="A17" s="26" t="s">
        <v>268</v>
      </c>
      <c r="B17" s="25" t="s">
        <v>120</v>
      </c>
      <c r="C17" s="123">
        <v>0.31</v>
      </c>
      <c r="D17" s="20" t="s">
        <v>264</v>
      </c>
      <c r="E17" s="20"/>
      <c r="F17" s="20"/>
      <c r="G17" s="20"/>
      <c r="H17" s="22"/>
      <c r="I17" s="22"/>
      <c r="J17" s="22"/>
      <c r="L17" s="70" t="s">
        <v>268</v>
      </c>
      <c r="M17" s="68" t="s">
        <v>120</v>
      </c>
      <c r="N17" s="71">
        <v>0.31</v>
      </c>
      <c r="O17" s="63" t="s">
        <v>264</v>
      </c>
      <c r="P17" s="63"/>
      <c r="Q17" s="63"/>
      <c r="R17" s="63"/>
      <c r="S17" s="65"/>
      <c r="T17" s="65"/>
      <c r="U17" s="65"/>
    </row>
    <row r="18" spans="1:22" ht="16.5" x14ac:dyDescent="0.3">
      <c r="A18" s="26" t="s">
        <v>270</v>
      </c>
      <c r="B18" s="25" t="s">
        <v>1</v>
      </c>
      <c r="C18" s="25">
        <v>0.65</v>
      </c>
      <c r="D18" s="20" t="s">
        <v>121</v>
      </c>
      <c r="E18" s="20"/>
      <c r="F18" s="20"/>
      <c r="G18" s="20"/>
      <c r="H18" s="22"/>
      <c r="I18" s="22"/>
      <c r="J18" s="22"/>
      <c r="L18" s="70" t="s">
        <v>270</v>
      </c>
      <c r="M18" s="68" t="s">
        <v>1</v>
      </c>
      <c r="N18" s="78">
        <v>0.65</v>
      </c>
      <c r="O18" s="63" t="s">
        <v>121</v>
      </c>
      <c r="P18" s="63"/>
      <c r="Q18" s="63"/>
      <c r="R18" s="63"/>
      <c r="S18" s="65"/>
      <c r="T18" s="65"/>
      <c r="U18" s="65"/>
    </row>
    <row r="19" spans="1:22" ht="18.75" x14ac:dyDescent="0.3">
      <c r="A19" s="129" t="s">
        <v>269</v>
      </c>
      <c r="B19" s="25" t="s">
        <v>1</v>
      </c>
      <c r="C19" s="21">
        <v>61.9</v>
      </c>
      <c r="D19" s="20" t="s">
        <v>33</v>
      </c>
      <c r="E19" s="20"/>
      <c r="F19" s="20"/>
      <c r="G19" s="20"/>
      <c r="H19" s="22"/>
      <c r="I19" s="22"/>
      <c r="J19" s="22"/>
      <c r="L19" s="117" t="s">
        <v>269</v>
      </c>
      <c r="M19" s="68" t="s">
        <v>1</v>
      </c>
      <c r="N19" s="69">
        <v>61.9</v>
      </c>
      <c r="O19" s="63" t="s">
        <v>33</v>
      </c>
      <c r="P19" s="63"/>
      <c r="Q19" s="63"/>
      <c r="R19" s="63"/>
      <c r="S19" s="65"/>
      <c r="T19" s="65"/>
      <c r="U19" s="65"/>
    </row>
    <row r="20" spans="1:22" ht="18.75" x14ac:dyDescent="0.3">
      <c r="A20" s="129" t="s">
        <v>271</v>
      </c>
      <c r="B20" s="25" t="s">
        <v>1</v>
      </c>
      <c r="C20" s="123">
        <v>43.7</v>
      </c>
      <c r="D20" s="20" t="s">
        <v>33</v>
      </c>
      <c r="E20" s="20"/>
      <c r="F20" s="20"/>
      <c r="G20" s="20"/>
      <c r="H20" s="22"/>
      <c r="I20" s="22"/>
      <c r="J20" s="22"/>
      <c r="L20" s="117" t="s">
        <v>271</v>
      </c>
      <c r="M20" s="68" t="s">
        <v>1</v>
      </c>
      <c r="N20" s="71">
        <v>43.7</v>
      </c>
      <c r="O20" s="63" t="s">
        <v>33</v>
      </c>
      <c r="P20" s="63"/>
      <c r="Q20" s="63"/>
      <c r="R20" s="63"/>
      <c r="S20" s="65"/>
      <c r="T20" s="65"/>
      <c r="U20" s="65"/>
    </row>
    <row r="21" spans="1:22" x14ac:dyDescent="0.25">
      <c r="A21" s="180"/>
      <c r="B21" s="180"/>
      <c r="C21" s="180"/>
      <c r="D21" s="20"/>
      <c r="E21" s="20"/>
      <c r="F21" s="20"/>
      <c r="G21" s="20"/>
      <c r="H21" s="22"/>
      <c r="I21" s="22"/>
      <c r="J21" s="22"/>
      <c r="L21" s="181"/>
      <c r="M21" s="181"/>
      <c r="N21" s="181"/>
      <c r="O21" s="63"/>
      <c r="P21" s="63"/>
      <c r="Q21" s="63"/>
      <c r="R21" s="63"/>
      <c r="S21" s="65"/>
      <c r="T21" s="65"/>
      <c r="U21" s="65"/>
    </row>
    <row r="22" spans="1:22" x14ac:dyDescent="0.25">
      <c r="A22" s="182" t="s">
        <v>272</v>
      </c>
      <c r="B22" s="182"/>
      <c r="C22" s="182"/>
      <c r="D22" s="182"/>
      <c r="E22" s="182"/>
      <c r="F22" s="182"/>
      <c r="G22" s="182"/>
      <c r="H22" s="182"/>
      <c r="I22" s="182"/>
      <c r="J22" s="22"/>
      <c r="L22" s="174" t="s">
        <v>272</v>
      </c>
      <c r="M22" s="174"/>
      <c r="N22" s="174"/>
      <c r="O22" s="174"/>
      <c r="P22" s="174"/>
      <c r="Q22" s="174"/>
      <c r="R22" s="174"/>
      <c r="S22" s="174"/>
      <c r="T22" s="174"/>
      <c r="U22" s="65"/>
    </row>
    <row r="23" spans="1:22" ht="15" customHeight="1" x14ac:dyDescent="0.25">
      <c r="A23" s="182"/>
      <c r="B23" s="182"/>
      <c r="C23" s="182"/>
      <c r="D23" s="182"/>
      <c r="E23" s="182"/>
      <c r="F23" s="182"/>
      <c r="G23" s="182"/>
      <c r="H23" s="182"/>
      <c r="I23" s="182"/>
      <c r="J23" s="22"/>
      <c r="L23" s="174"/>
      <c r="M23" s="174"/>
      <c r="N23" s="174"/>
      <c r="O23" s="174"/>
      <c r="P23" s="174"/>
      <c r="Q23" s="174"/>
      <c r="R23" s="174"/>
      <c r="S23" s="174"/>
      <c r="T23" s="174"/>
      <c r="U23" s="65"/>
    </row>
    <row r="24" spans="1:22" x14ac:dyDescent="0.25">
      <c r="A24" s="160" t="s">
        <v>492</v>
      </c>
      <c r="B24" s="160"/>
      <c r="C24" s="160"/>
      <c r="D24" s="160"/>
      <c r="E24" s="160"/>
      <c r="F24" s="160"/>
      <c r="G24" s="160"/>
      <c r="H24" s="22"/>
      <c r="I24" s="22"/>
      <c r="J24" s="22"/>
      <c r="L24" s="165" t="s">
        <v>492</v>
      </c>
      <c r="M24" s="165"/>
      <c r="N24" s="165"/>
      <c r="O24" s="165"/>
      <c r="P24" s="165"/>
      <c r="Q24" s="165"/>
      <c r="R24" s="165"/>
      <c r="S24" s="65"/>
      <c r="T24" s="65"/>
      <c r="U24" s="65"/>
      <c r="V24" s="7"/>
    </row>
    <row r="25" spans="1:22" x14ac:dyDescent="0.25">
      <c r="A25" s="160"/>
      <c r="B25" s="160"/>
      <c r="C25" s="160"/>
      <c r="D25" s="160"/>
      <c r="E25" s="160"/>
      <c r="F25" s="160"/>
      <c r="G25" s="160"/>
      <c r="H25" s="22"/>
      <c r="I25" s="22"/>
      <c r="J25" s="22"/>
      <c r="L25" s="165"/>
      <c r="M25" s="165"/>
      <c r="N25" s="165"/>
      <c r="O25" s="165"/>
      <c r="P25" s="165"/>
      <c r="Q25" s="165"/>
      <c r="R25" s="165"/>
      <c r="S25" s="65"/>
      <c r="T25" s="65"/>
      <c r="U25" s="65"/>
      <c r="V25" s="7"/>
    </row>
    <row r="26" spans="1:22" x14ac:dyDescent="0.25">
      <c r="A26" s="170" t="s">
        <v>273</v>
      </c>
      <c r="B26" s="170"/>
      <c r="C26" s="170"/>
      <c r="D26" s="170"/>
      <c r="E26" s="170"/>
      <c r="F26" s="170"/>
      <c r="G26" s="170"/>
      <c r="H26" s="170"/>
      <c r="I26" s="170"/>
      <c r="J26" s="22"/>
      <c r="L26" s="172" t="s">
        <v>273</v>
      </c>
      <c r="M26" s="172"/>
      <c r="N26" s="172"/>
      <c r="O26" s="172"/>
      <c r="P26" s="172"/>
      <c r="Q26" s="172"/>
      <c r="R26" s="172"/>
      <c r="S26" s="172"/>
      <c r="T26" s="172"/>
      <c r="U26" s="65"/>
      <c r="V26" s="7"/>
    </row>
    <row r="27" spans="1:22" x14ac:dyDescent="0.25">
      <c r="A27" s="170"/>
      <c r="B27" s="170"/>
      <c r="C27" s="170"/>
      <c r="D27" s="170"/>
      <c r="E27" s="170"/>
      <c r="F27" s="170"/>
      <c r="G27" s="170"/>
      <c r="H27" s="170"/>
      <c r="I27" s="170"/>
      <c r="J27" s="22"/>
      <c r="L27" s="172"/>
      <c r="M27" s="172"/>
      <c r="N27" s="172"/>
      <c r="O27" s="172"/>
      <c r="P27" s="172"/>
      <c r="Q27" s="172"/>
      <c r="R27" s="172"/>
      <c r="S27" s="172"/>
      <c r="T27" s="172"/>
      <c r="U27" s="65"/>
      <c r="V27" s="7"/>
    </row>
    <row r="28" spans="1:22" ht="15" customHeight="1" x14ac:dyDescent="0.25">
      <c r="A28" s="170"/>
      <c r="B28" s="170"/>
      <c r="C28" s="170"/>
      <c r="D28" s="170"/>
      <c r="E28" s="170"/>
      <c r="F28" s="170"/>
      <c r="G28" s="170"/>
      <c r="H28" s="170"/>
      <c r="I28" s="170"/>
      <c r="J28" s="22"/>
      <c r="L28" s="172"/>
      <c r="M28" s="172"/>
      <c r="N28" s="172"/>
      <c r="O28" s="172"/>
      <c r="P28" s="172"/>
      <c r="Q28" s="172"/>
      <c r="R28" s="172"/>
      <c r="S28" s="172"/>
      <c r="T28" s="172"/>
      <c r="U28" s="65"/>
      <c r="V28" s="7"/>
    </row>
    <row r="29" spans="1:22" x14ac:dyDescent="0.25">
      <c r="A29" s="22"/>
      <c r="B29" s="123"/>
      <c r="C29" s="123"/>
      <c r="D29" s="22"/>
      <c r="E29" s="22"/>
      <c r="F29" s="22"/>
      <c r="G29" s="22"/>
      <c r="H29" s="22"/>
      <c r="I29" s="22"/>
      <c r="J29" s="22"/>
      <c r="L29" s="65"/>
      <c r="M29" s="121"/>
      <c r="N29" s="121"/>
      <c r="O29" s="65"/>
      <c r="P29" s="65"/>
      <c r="Q29" s="65"/>
      <c r="R29" s="65"/>
      <c r="S29" s="65"/>
      <c r="T29" s="65"/>
      <c r="U29" s="65"/>
      <c r="V29" s="7"/>
    </row>
    <row r="30" spans="1:22" x14ac:dyDescent="0.25">
      <c r="A30" s="22" t="s">
        <v>201</v>
      </c>
      <c r="B30" s="123"/>
      <c r="C30" s="123"/>
      <c r="D30" s="22"/>
      <c r="E30" s="22"/>
      <c r="F30" s="22"/>
      <c r="G30" s="22"/>
      <c r="H30" s="22"/>
      <c r="I30" s="22"/>
      <c r="J30" s="22"/>
      <c r="L30" s="65" t="s">
        <v>201</v>
      </c>
      <c r="M30" s="121"/>
      <c r="N30" s="121"/>
      <c r="O30" s="65"/>
      <c r="P30" s="65"/>
      <c r="Q30" s="65"/>
      <c r="R30" s="65"/>
      <c r="S30" s="65"/>
      <c r="T30" s="65"/>
      <c r="U30" s="65"/>
      <c r="V30" s="7"/>
    </row>
    <row r="31" spans="1:22" ht="18" x14ac:dyDescent="0.25">
      <c r="A31" s="36" t="s">
        <v>274</v>
      </c>
      <c r="B31" s="21"/>
      <c r="C31" s="43"/>
      <c r="D31" s="21"/>
      <c r="E31" s="38"/>
      <c r="F31" s="21"/>
      <c r="G31" s="37" t="s">
        <v>1</v>
      </c>
      <c r="H31" s="53">
        <v>2311</v>
      </c>
      <c r="I31" s="22" t="s">
        <v>203</v>
      </c>
      <c r="J31" s="22"/>
      <c r="L31" s="81" t="s">
        <v>274</v>
      </c>
      <c r="M31" s="64"/>
      <c r="N31" s="85"/>
      <c r="O31" s="64"/>
      <c r="P31" s="83"/>
      <c r="Q31" s="64"/>
      <c r="R31" s="82" t="s">
        <v>1</v>
      </c>
      <c r="S31" s="101">
        <f>((M6*(M10+M12/2+1)/60)+(M7*M10/60))/M14</f>
        <v>2311.3214285714284</v>
      </c>
      <c r="T31" s="65" t="s">
        <v>203</v>
      </c>
      <c r="U31" s="65"/>
    </row>
    <row r="32" spans="1:22" x14ac:dyDescent="0.25">
      <c r="A32" s="129"/>
      <c r="B32" s="21"/>
      <c r="C32" s="43"/>
      <c r="D32" s="21"/>
      <c r="E32" s="38"/>
      <c r="F32" s="21"/>
      <c r="G32" s="37"/>
      <c r="H32" s="38"/>
      <c r="I32" s="22"/>
      <c r="J32" s="22"/>
      <c r="L32" s="117"/>
      <c r="M32" s="64"/>
      <c r="N32" s="85"/>
      <c r="O32" s="64"/>
      <c r="P32" s="83"/>
      <c r="Q32" s="64"/>
      <c r="R32" s="82"/>
      <c r="S32" s="83"/>
      <c r="T32" s="65"/>
      <c r="U32" s="65"/>
    </row>
    <row r="33" spans="1:21" x14ac:dyDescent="0.25">
      <c r="A33" s="129" t="s">
        <v>204</v>
      </c>
      <c r="B33" s="21"/>
      <c r="C33" s="43"/>
      <c r="D33" s="36"/>
      <c r="E33" s="38"/>
      <c r="F33" s="21"/>
      <c r="G33" s="37"/>
      <c r="H33" s="38"/>
      <c r="I33" s="22"/>
      <c r="J33" s="22"/>
      <c r="L33" s="117" t="s">
        <v>204</v>
      </c>
      <c r="M33" s="64"/>
      <c r="N33" s="85"/>
      <c r="O33" s="81"/>
      <c r="P33" s="83"/>
      <c r="Q33" s="64"/>
      <c r="R33" s="82"/>
      <c r="S33" s="83"/>
      <c r="T33" s="65"/>
      <c r="U33" s="65"/>
    </row>
    <row r="34" spans="1:21" ht="18" x14ac:dyDescent="0.25">
      <c r="A34" s="129" t="s">
        <v>275</v>
      </c>
      <c r="B34" s="21" t="s">
        <v>1</v>
      </c>
      <c r="C34" s="54">
        <v>2311</v>
      </c>
      <c r="D34" s="36" t="s">
        <v>278</v>
      </c>
      <c r="E34" s="39" t="s">
        <v>277</v>
      </c>
      <c r="F34" s="21"/>
      <c r="G34" s="37" t="s">
        <v>276</v>
      </c>
      <c r="H34" s="55">
        <v>9.94</v>
      </c>
      <c r="I34" s="22" t="s">
        <v>31</v>
      </c>
      <c r="J34" s="22"/>
      <c r="L34" s="117" t="s">
        <v>275</v>
      </c>
      <c r="M34" s="64" t="s">
        <v>1</v>
      </c>
      <c r="N34" s="101">
        <v>2311</v>
      </c>
      <c r="O34" s="81" t="s">
        <v>278</v>
      </c>
      <c r="P34" s="84" t="s">
        <v>277</v>
      </c>
      <c r="Q34" s="64"/>
      <c r="R34" s="82" t="s">
        <v>276</v>
      </c>
      <c r="S34" s="102">
        <f>(S31*4/3/3.14159)^0.33333</f>
        <v>9.9358849330955881</v>
      </c>
      <c r="T34" s="65" t="s">
        <v>31</v>
      </c>
      <c r="U34" s="65"/>
    </row>
    <row r="35" spans="1:21" x14ac:dyDescent="0.25">
      <c r="A35" s="56"/>
      <c r="B35" s="21"/>
      <c r="C35" s="43"/>
      <c r="D35" s="57"/>
      <c r="E35" s="57"/>
      <c r="F35" s="57"/>
      <c r="G35" s="57"/>
      <c r="H35" s="57"/>
      <c r="I35" s="57"/>
      <c r="J35" s="22"/>
      <c r="L35" s="103"/>
      <c r="M35" s="64"/>
      <c r="N35" s="85"/>
      <c r="O35" s="104"/>
      <c r="P35" s="104"/>
      <c r="Q35" s="104"/>
      <c r="R35" s="104"/>
      <c r="S35" s="104"/>
      <c r="T35" s="104"/>
      <c r="U35" s="65"/>
    </row>
    <row r="36" spans="1:21" ht="18" x14ac:dyDescent="0.25">
      <c r="A36" s="20" t="s">
        <v>279</v>
      </c>
      <c r="B36" s="21"/>
      <c r="C36" s="36"/>
      <c r="D36" s="57"/>
      <c r="E36" s="57"/>
      <c r="F36" s="57"/>
      <c r="G36" s="57"/>
      <c r="H36" s="57"/>
      <c r="I36" s="57">
        <v>2356</v>
      </c>
      <c r="J36" s="22" t="s">
        <v>203</v>
      </c>
      <c r="L36" s="63" t="s">
        <v>279</v>
      </c>
      <c r="M36" s="64"/>
      <c r="N36" s="81"/>
      <c r="O36" s="104"/>
      <c r="P36" s="104"/>
      <c r="Q36" s="104"/>
      <c r="R36" s="104"/>
      <c r="S36" s="105">
        <f>3.14159*5^2*30</f>
        <v>2356.1925000000001</v>
      </c>
      <c r="T36" s="65" t="s">
        <v>203</v>
      </c>
      <c r="U36" s="65"/>
    </row>
    <row r="37" spans="1:21" x14ac:dyDescent="0.25">
      <c r="A37" s="129"/>
      <c r="B37" s="21"/>
      <c r="C37" s="36"/>
      <c r="D37" s="21"/>
      <c r="E37" s="44"/>
      <c r="F37" s="20"/>
      <c r="G37" s="20"/>
      <c r="H37" s="20"/>
      <c r="I37" s="22"/>
      <c r="J37" s="22"/>
      <c r="L37" s="117"/>
      <c r="M37" s="64"/>
      <c r="N37" s="81"/>
      <c r="O37" s="64"/>
      <c r="P37" s="86"/>
      <c r="Q37" s="63"/>
      <c r="R37" s="63"/>
      <c r="S37" s="63"/>
      <c r="T37" s="65"/>
      <c r="U37" s="65"/>
    </row>
    <row r="38" spans="1:21" ht="16.5" customHeight="1" x14ac:dyDescent="0.25">
      <c r="A38" s="20" t="s">
        <v>280</v>
      </c>
      <c r="B38" s="21"/>
      <c r="C38" s="21"/>
      <c r="D38" s="33"/>
      <c r="E38" s="20"/>
      <c r="F38" s="20"/>
      <c r="G38" s="20"/>
      <c r="H38" s="20"/>
      <c r="I38" s="22"/>
      <c r="J38" s="22"/>
      <c r="L38" s="63" t="s">
        <v>280</v>
      </c>
      <c r="M38" s="64"/>
      <c r="N38" s="64"/>
      <c r="O38" s="79"/>
      <c r="P38" s="63"/>
      <c r="Q38" s="63"/>
      <c r="R38" s="63"/>
      <c r="S38" s="63"/>
      <c r="T38" s="65"/>
      <c r="U38" s="65"/>
    </row>
    <row r="39" spans="1:21" ht="16.5" customHeight="1" x14ac:dyDescent="0.25">
      <c r="A39" s="129"/>
      <c r="B39" s="21"/>
      <c r="C39" s="52"/>
      <c r="D39" s="21"/>
      <c r="E39" s="58"/>
      <c r="F39" s="20"/>
      <c r="G39" s="20"/>
      <c r="H39" s="20"/>
      <c r="I39" s="22"/>
      <c r="J39" s="22"/>
      <c r="L39" s="117"/>
      <c r="M39" s="64"/>
      <c r="N39" s="99"/>
      <c r="O39" s="64"/>
      <c r="P39" s="106"/>
      <c r="Q39" s="63"/>
      <c r="R39" s="63"/>
      <c r="S39" s="63"/>
      <c r="T39" s="65"/>
      <c r="U39" s="65"/>
    </row>
    <row r="40" spans="1:21" ht="18" x14ac:dyDescent="0.25">
      <c r="A40" s="59" t="s">
        <v>281</v>
      </c>
      <c r="B40" s="36" t="s">
        <v>377</v>
      </c>
      <c r="C40" s="52"/>
      <c r="D40" s="21"/>
      <c r="E40" s="58"/>
      <c r="F40" s="59" t="s">
        <v>374</v>
      </c>
      <c r="G40" s="22"/>
      <c r="H40" s="20"/>
      <c r="I40" s="22"/>
      <c r="J40" s="22"/>
      <c r="L40" s="107" t="s">
        <v>281</v>
      </c>
      <c r="M40" s="81" t="s">
        <v>377</v>
      </c>
      <c r="N40" s="99"/>
      <c r="O40" s="64"/>
      <c r="P40" s="106"/>
      <c r="Q40" s="108">
        <f>(M7*M10/60)/S36</f>
        <v>8.5731535093164071E-2</v>
      </c>
      <c r="R40" s="65"/>
      <c r="S40" s="63"/>
      <c r="T40" s="65"/>
      <c r="U40" s="65"/>
    </row>
    <row r="41" spans="1:21" x14ac:dyDescent="0.25">
      <c r="A41" s="160" t="s">
        <v>282</v>
      </c>
      <c r="B41" s="160"/>
      <c r="C41" s="160"/>
      <c r="D41" s="160"/>
      <c r="E41" s="160"/>
      <c r="F41" s="160"/>
      <c r="G41" s="160"/>
      <c r="H41" s="160"/>
      <c r="I41" s="160"/>
      <c r="J41" s="22"/>
      <c r="L41" s="165" t="s">
        <v>282</v>
      </c>
      <c r="M41" s="165"/>
      <c r="N41" s="165"/>
      <c r="O41" s="165"/>
      <c r="P41" s="165"/>
      <c r="Q41" s="165"/>
      <c r="R41" s="165"/>
      <c r="S41" s="165"/>
      <c r="T41" s="165"/>
      <c r="U41" s="65"/>
    </row>
    <row r="42" spans="1:21" x14ac:dyDescent="0.25">
      <c r="A42" s="160"/>
      <c r="B42" s="160"/>
      <c r="C42" s="160"/>
      <c r="D42" s="160"/>
      <c r="E42" s="160"/>
      <c r="F42" s="160"/>
      <c r="G42" s="160"/>
      <c r="H42" s="160"/>
      <c r="I42" s="160"/>
      <c r="J42" s="22"/>
      <c r="L42" s="165"/>
      <c r="M42" s="165"/>
      <c r="N42" s="165"/>
      <c r="O42" s="165"/>
      <c r="P42" s="165"/>
      <c r="Q42" s="165"/>
      <c r="R42" s="165"/>
      <c r="S42" s="165"/>
      <c r="T42" s="165"/>
      <c r="U42" s="65"/>
    </row>
    <row r="43" spans="1:21" x14ac:dyDescent="0.25">
      <c r="A43" s="160"/>
      <c r="B43" s="160"/>
      <c r="C43" s="160"/>
      <c r="D43" s="160"/>
      <c r="E43" s="160"/>
      <c r="F43" s="160"/>
      <c r="G43" s="160"/>
      <c r="H43" s="160"/>
      <c r="I43" s="160"/>
      <c r="J43" s="22"/>
      <c r="K43" s="7"/>
      <c r="L43" s="165"/>
      <c r="M43" s="165"/>
      <c r="N43" s="165"/>
      <c r="O43" s="165"/>
      <c r="P43" s="165"/>
      <c r="Q43" s="165"/>
      <c r="R43" s="165"/>
      <c r="S43" s="165"/>
      <c r="T43" s="165"/>
      <c r="U43" s="65"/>
    </row>
    <row r="44" spans="1:21" x14ac:dyDescent="0.25">
      <c r="A44" s="127"/>
      <c r="B44" s="127"/>
      <c r="C44" s="127"/>
      <c r="D44" s="127"/>
      <c r="E44" s="127"/>
      <c r="F44" s="127"/>
      <c r="G44" s="127"/>
      <c r="H44" s="127"/>
      <c r="I44" s="127"/>
      <c r="J44" s="22"/>
      <c r="K44" s="7"/>
      <c r="L44" s="130"/>
      <c r="M44" s="130"/>
      <c r="N44" s="130"/>
      <c r="O44" s="130"/>
      <c r="P44" s="130"/>
      <c r="Q44" s="130"/>
      <c r="R44" s="130"/>
      <c r="S44" s="130"/>
      <c r="T44" s="130"/>
      <c r="U44" s="65"/>
    </row>
    <row r="45" spans="1:21" ht="18" x14ac:dyDescent="0.25">
      <c r="A45" s="27" t="s">
        <v>371</v>
      </c>
      <c r="B45" s="60" t="s">
        <v>372</v>
      </c>
      <c r="C45" s="52"/>
      <c r="D45" s="21"/>
      <c r="E45" s="58"/>
      <c r="F45" s="27" t="s">
        <v>373</v>
      </c>
      <c r="G45" s="22"/>
      <c r="H45" s="22"/>
      <c r="I45" s="127"/>
      <c r="J45" s="22"/>
      <c r="K45" s="7"/>
      <c r="L45" s="95" t="s">
        <v>371</v>
      </c>
      <c r="M45" s="109" t="s">
        <v>380</v>
      </c>
      <c r="N45" s="99"/>
      <c r="O45" s="64"/>
      <c r="P45" s="106"/>
      <c r="Q45" s="110">
        <v>0.125</v>
      </c>
      <c r="R45" s="65" t="s">
        <v>1</v>
      </c>
      <c r="S45" s="111">
        <f>(M6*M10/60)/S36 +Q45</f>
        <v>0.57013906793835112</v>
      </c>
      <c r="T45" s="130"/>
      <c r="U45" s="65"/>
    </row>
    <row r="46" spans="1:21" x14ac:dyDescent="0.25">
      <c r="A46" s="22"/>
      <c r="B46" s="123"/>
      <c r="C46" s="123"/>
      <c r="D46" s="22"/>
      <c r="E46" s="22"/>
      <c r="F46" s="22"/>
      <c r="G46" s="22"/>
      <c r="H46" s="22"/>
      <c r="I46" s="127"/>
      <c r="J46" s="22"/>
      <c r="K46" s="7"/>
      <c r="L46" s="65"/>
      <c r="M46" s="121"/>
      <c r="N46" s="121"/>
      <c r="O46" s="65"/>
      <c r="P46" s="65"/>
      <c r="Q46" s="65"/>
      <c r="R46" s="65"/>
      <c r="S46" s="65"/>
      <c r="T46" s="130"/>
      <c r="U46" s="65"/>
    </row>
    <row r="47" spans="1:21" x14ac:dyDescent="0.25">
      <c r="A47" s="22" t="s">
        <v>375</v>
      </c>
      <c r="B47" s="123"/>
      <c r="C47" s="123"/>
      <c r="D47" s="22"/>
      <c r="E47" s="22"/>
      <c r="F47" s="22"/>
      <c r="G47" s="22"/>
      <c r="H47" s="22"/>
      <c r="I47" s="127"/>
      <c r="J47" s="22"/>
      <c r="K47" s="7"/>
      <c r="L47" s="65" t="s">
        <v>434</v>
      </c>
      <c r="M47" s="74">
        <v>0.56999999999999995</v>
      </c>
      <c r="N47" s="112" t="s">
        <v>435</v>
      </c>
      <c r="O47" s="65"/>
      <c r="P47" s="65"/>
      <c r="Q47" s="65"/>
      <c r="R47" s="65"/>
      <c r="S47" s="65"/>
      <c r="T47" s="130"/>
      <c r="U47" s="65"/>
    </row>
    <row r="48" spans="1:21" x14ac:dyDescent="0.25">
      <c r="A48" s="22"/>
      <c r="B48" s="123"/>
      <c r="C48" s="123"/>
      <c r="D48" s="22"/>
      <c r="E48" s="22"/>
      <c r="F48" s="22"/>
      <c r="G48" s="22"/>
      <c r="H48" s="22"/>
      <c r="I48" s="127"/>
      <c r="J48" s="22"/>
      <c r="K48" s="7"/>
      <c r="L48" s="65"/>
      <c r="M48" s="121"/>
      <c r="N48" s="121"/>
      <c r="O48" s="65"/>
      <c r="P48" s="65"/>
      <c r="Q48" s="65"/>
      <c r="R48" s="65"/>
      <c r="S48" s="65"/>
      <c r="T48" s="130"/>
      <c r="U48" s="65"/>
    </row>
    <row r="49" spans="1:21" x14ac:dyDescent="0.25">
      <c r="A49" s="22" t="s">
        <v>376</v>
      </c>
      <c r="B49" s="123"/>
      <c r="C49" s="123"/>
      <c r="D49" s="22"/>
      <c r="E49" s="22"/>
      <c r="F49" s="22"/>
      <c r="G49" s="22"/>
      <c r="H49" s="22"/>
      <c r="I49" s="22"/>
      <c r="J49" s="22"/>
      <c r="L49" s="65" t="s">
        <v>376</v>
      </c>
      <c r="M49" s="121"/>
      <c r="N49" s="121"/>
      <c r="O49" s="65"/>
      <c r="P49" s="65"/>
      <c r="Q49" s="65"/>
      <c r="R49" s="65"/>
      <c r="S49" s="65"/>
      <c r="T49" s="65"/>
      <c r="U49" s="65"/>
    </row>
    <row r="50" spans="1:21" x14ac:dyDescent="0.25">
      <c r="A50" s="22"/>
      <c r="B50" s="123"/>
      <c r="C50" s="123"/>
      <c r="D50" s="22"/>
      <c r="E50" s="22"/>
      <c r="F50" s="22"/>
      <c r="G50" s="22"/>
      <c r="H50" s="22"/>
      <c r="I50" s="22"/>
      <c r="J50" s="22"/>
      <c r="L50" s="65"/>
      <c r="M50" s="121"/>
      <c r="N50" s="121"/>
      <c r="O50" s="65"/>
      <c r="P50" s="65"/>
      <c r="Q50" s="65"/>
      <c r="R50" s="65"/>
      <c r="S50" s="65"/>
      <c r="T50" s="65"/>
      <c r="U50" s="65"/>
    </row>
    <row r="51" spans="1:21" ht="18" x14ac:dyDescent="0.25">
      <c r="A51" s="27" t="s">
        <v>283</v>
      </c>
      <c r="B51" s="60" t="s">
        <v>284</v>
      </c>
      <c r="C51" s="52"/>
      <c r="D51" s="21"/>
      <c r="E51" s="58"/>
      <c r="F51" s="27" t="s">
        <v>285</v>
      </c>
      <c r="G51" s="22"/>
      <c r="H51" s="22"/>
      <c r="I51" s="22"/>
      <c r="J51" s="22"/>
      <c r="L51" s="95" t="s">
        <v>283</v>
      </c>
      <c r="M51" s="109" t="s">
        <v>381</v>
      </c>
      <c r="N51" s="99"/>
      <c r="O51" s="64"/>
      <c r="P51" s="106"/>
      <c r="Q51" s="113">
        <v>0.56999999999999995</v>
      </c>
      <c r="R51" s="87" t="s">
        <v>1</v>
      </c>
      <c r="S51" s="90">
        <f>((M6*M12/2/60)/S36)+M47</f>
        <v>0.68128476698458773</v>
      </c>
      <c r="T51" s="65"/>
      <c r="U51" s="65"/>
    </row>
    <row r="52" spans="1:21" x14ac:dyDescent="0.25">
      <c r="A52" s="22"/>
      <c r="B52" s="123"/>
      <c r="C52" s="123"/>
      <c r="D52" s="22"/>
      <c r="E52" s="22"/>
      <c r="F52" s="22"/>
      <c r="G52" s="22"/>
      <c r="H52" s="22"/>
      <c r="I52" s="22"/>
      <c r="J52" s="22"/>
      <c r="L52" s="65"/>
      <c r="M52" s="121"/>
      <c r="N52" s="121"/>
      <c r="O52" s="65"/>
      <c r="P52" s="65"/>
      <c r="Q52" s="65"/>
      <c r="R52" s="65"/>
      <c r="S52" s="65"/>
      <c r="T52" s="65"/>
      <c r="U52" s="65"/>
    </row>
    <row r="53" spans="1:21" x14ac:dyDescent="0.25">
      <c r="A53" s="22" t="s">
        <v>286</v>
      </c>
      <c r="B53" s="123"/>
      <c r="C53" s="123"/>
      <c r="D53" s="22"/>
      <c r="E53" s="22"/>
      <c r="F53" s="22"/>
      <c r="G53" s="22"/>
      <c r="H53" s="22"/>
      <c r="I53" s="22"/>
      <c r="J53" s="22"/>
      <c r="L53" s="65" t="s">
        <v>434</v>
      </c>
      <c r="M53" s="121">
        <v>0.68100000000000005</v>
      </c>
      <c r="N53" s="121" t="s">
        <v>436</v>
      </c>
      <c r="O53" s="65"/>
      <c r="P53" s="65"/>
      <c r="Q53" s="65"/>
      <c r="R53" s="65"/>
      <c r="S53" s="65"/>
      <c r="T53" s="65"/>
      <c r="U53" s="65"/>
    </row>
    <row r="54" spans="1:21" x14ac:dyDescent="0.25">
      <c r="A54" s="22"/>
      <c r="B54" s="123"/>
      <c r="C54" s="123"/>
      <c r="D54" s="22"/>
      <c r="E54" s="22"/>
      <c r="F54" s="22"/>
      <c r="G54" s="22"/>
      <c r="H54" s="22"/>
      <c r="I54" s="22"/>
      <c r="J54" s="22"/>
      <c r="L54" s="65"/>
      <c r="M54" s="121"/>
      <c r="N54" s="121"/>
      <c r="O54" s="65"/>
      <c r="P54" s="65"/>
      <c r="Q54" s="65"/>
      <c r="R54" s="65"/>
      <c r="S54" s="65"/>
      <c r="T54" s="65"/>
      <c r="U54" s="65"/>
    </row>
    <row r="55" spans="1:21" x14ac:dyDescent="0.25">
      <c r="A55" s="22" t="s">
        <v>287</v>
      </c>
      <c r="B55" s="123"/>
      <c r="C55" s="123"/>
      <c r="D55" s="22"/>
      <c r="E55" s="22"/>
      <c r="F55" s="22"/>
      <c r="G55" s="22"/>
      <c r="H55" s="22"/>
      <c r="I55" s="22"/>
      <c r="J55" s="22"/>
      <c r="L55" s="65" t="s">
        <v>287</v>
      </c>
      <c r="M55" s="121"/>
      <c r="N55" s="121"/>
      <c r="O55" s="65"/>
      <c r="P55" s="65"/>
      <c r="Q55" s="65"/>
      <c r="R55" s="65"/>
      <c r="S55" s="65"/>
      <c r="T55" s="65"/>
      <c r="U55" s="65"/>
    </row>
    <row r="56" spans="1:21" x14ac:dyDescent="0.25">
      <c r="A56" s="22"/>
      <c r="B56" s="123"/>
      <c r="C56" s="123"/>
      <c r="D56" s="22"/>
      <c r="E56" s="22"/>
      <c r="F56" s="22"/>
      <c r="G56" s="22"/>
      <c r="H56" s="22"/>
      <c r="I56" s="22"/>
      <c r="J56" s="22"/>
      <c r="L56" s="65"/>
      <c r="M56" s="121"/>
      <c r="N56" s="121"/>
      <c r="O56" s="65"/>
      <c r="P56" s="65"/>
      <c r="Q56" s="65"/>
      <c r="R56" s="65"/>
      <c r="S56" s="65"/>
      <c r="T56" s="65"/>
      <c r="U56" s="65"/>
    </row>
    <row r="57" spans="1:21" x14ac:dyDescent="0.25">
      <c r="A57" s="160" t="s">
        <v>288</v>
      </c>
      <c r="B57" s="160"/>
      <c r="C57" s="160"/>
      <c r="D57" s="160"/>
      <c r="E57" s="160"/>
      <c r="F57" s="160"/>
      <c r="G57" s="160"/>
      <c r="H57" s="160"/>
      <c r="I57" s="160"/>
      <c r="J57" s="22"/>
      <c r="L57" s="165" t="s">
        <v>288</v>
      </c>
      <c r="M57" s="165"/>
      <c r="N57" s="165"/>
      <c r="O57" s="165"/>
      <c r="P57" s="165"/>
      <c r="Q57" s="165"/>
      <c r="R57" s="165"/>
      <c r="S57" s="165"/>
      <c r="T57" s="165"/>
      <c r="U57" s="65"/>
    </row>
    <row r="58" spans="1:21" x14ac:dyDescent="0.25">
      <c r="A58" s="160"/>
      <c r="B58" s="160"/>
      <c r="C58" s="160"/>
      <c r="D58" s="160"/>
      <c r="E58" s="160"/>
      <c r="F58" s="160"/>
      <c r="G58" s="160"/>
      <c r="H58" s="160"/>
      <c r="I58" s="160"/>
      <c r="J58" s="22"/>
      <c r="L58" s="165"/>
      <c r="M58" s="165"/>
      <c r="N58" s="165"/>
      <c r="O58" s="165"/>
      <c r="P58" s="165"/>
      <c r="Q58" s="165"/>
      <c r="R58" s="165"/>
      <c r="S58" s="165"/>
      <c r="T58" s="165"/>
      <c r="U58" s="65"/>
    </row>
    <row r="59" spans="1:21" x14ac:dyDescent="0.25">
      <c r="A59" s="22"/>
      <c r="B59" s="123"/>
      <c r="C59" s="123"/>
      <c r="D59" s="22"/>
      <c r="E59" s="22"/>
      <c r="F59" s="22"/>
      <c r="G59" s="22"/>
      <c r="H59" s="22"/>
      <c r="I59" s="22"/>
      <c r="J59" s="22"/>
      <c r="L59" s="65"/>
      <c r="M59" s="121"/>
      <c r="N59" s="121"/>
      <c r="O59" s="65"/>
      <c r="P59" s="65"/>
      <c r="Q59" s="65"/>
      <c r="R59" s="65"/>
      <c r="S59" s="65"/>
      <c r="T59" s="65"/>
      <c r="U59" s="65"/>
    </row>
    <row r="60" spans="1:21" x14ac:dyDescent="0.25">
      <c r="A60" s="22" t="s">
        <v>289</v>
      </c>
      <c r="B60" s="123"/>
      <c r="C60" s="123"/>
      <c r="D60" s="22"/>
      <c r="E60" s="22"/>
      <c r="F60" s="22"/>
      <c r="G60" s="22"/>
      <c r="H60" s="22"/>
      <c r="I60" s="22"/>
      <c r="J60" s="22"/>
      <c r="L60" s="65" t="s">
        <v>289</v>
      </c>
      <c r="M60" s="121"/>
      <c r="N60" s="121"/>
      <c r="O60" s="65"/>
      <c r="P60" s="65"/>
      <c r="Q60" s="65"/>
      <c r="R60" s="65"/>
      <c r="S60" s="65"/>
      <c r="T60" s="65"/>
      <c r="U60" s="65"/>
    </row>
    <row r="61" spans="1:21" x14ac:dyDescent="0.25">
      <c r="A61" s="22"/>
      <c r="B61" s="123"/>
      <c r="C61" s="123"/>
      <c r="D61" s="22"/>
      <c r="E61" s="22"/>
      <c r="F61" s="22"/>
      <c r="G61" s="22"/>
      <c r="H61" s="22"/>
      <c r="I61" s="22"/>
      <c r="J61" s="22"/>
      <c r="L61" s="65"/>
      <c r="M61" s="121"/>
      <c r="N61" s="121"/>
      <c r="O61" s="65"/>
      <c r="P61" s="65"/>
      <c r="Q61" s="65"/>
      <c r="R61" s="65"/>
      <c r="S61" s="65"/>
      <c r="T61" s="65"/>
      <c r="U61" s="65"/>
    </row>
    <row r="62" spans="1:21" x14ac:dyDescent="0.25">
      <c r="A62" s="22" t="s">
        <v>290</v>
      </c>
      <c r="B62" s="123"/>
      <c r="C62" s="123"/>
      <c r="D62" s="22"/>
      <c r="E62" s="22"/>
      <c r="F62" s="22"/>
      <c r="G62" s="22"/>
      <c r="H62" s="22"/>
      <c r="I62" s="22"/>
      <c r="J62" s="22"/>
      <c r="L62" s="65" t="s">
        <v>290</v>
      </c>
      <c r="M62" s="121"/>
      <c r="N62" s="121"/>
      <c r="O62" s="65"/>
      <c r="P62" s="65"/>
      <c r="Q62" s="65"/>
      <c r="R62" s="65"/>
      <c r="S62" s="65"/>
      <c r="T62" s="65"/>
      <c r="U62" s="65"/>
    </row>
    <row r="63" spans="1:21" x14ac:dyDescent="0.25">
      <c r="A63" s="22" t="s">
        <v>291</v>
      </c>
      <c r="B63" s="123"/>
      <c r="C63" s="123"/>
      <c r="D63" s="22"/>
      <c r="E63" s="22"/>
      <c r="F63" s="22"/>
      <c r="G63" s="22"/>
      <c r="H63" s="22"/>
      <c r="I63" s="22"/>
      <c r="J63" s="22"/>
      <c r="L63" s="65" t="s">
        <v>291</v>
      </c>
      <c r="M63" s="121"/>
      <c r="N63" s="121"/>
      <c r="O63" s="65"/>
      <c r="P63" s="65"/>
      <c r="Q63" s="65"/>
      <c r="R63" s="65"/>
      <c r="S63" s="65"/>
      <c r="T63" s="65"/>
      <c r="U63" s="65"/>
    </row>
    <row r="64" spans="1:21" x14ac:dyDescent="0.25">
      <c r="A64" s="22"/>
      <c r="B64" s="123"/>
      <c r="C64" s="123"/>
      <c r="D64" s="22"/>
      <c r="E64" s="22"/>
      <c r="F64" s="22"/>
      <c r="G64" s="22"/>
      <c r="H64" s="22"/>
      <c r="I64" s="22"/>
      <c r="J64" s="22"/>
      <c r="L64" s="65"/>
      <c r="M64" s="121"/>
      <c r="N64" s="121"/>
      <c r="O64" s="65"/>
      <c r="P64" s="65"/>
      <c r="Q64" s="65"/>
      <c r="R64" s="65"/>
      <c r="S64" s="65"/>
      <c r="T64" s="65"/>
      <c r="U64" s="65"/>
    </row>
    <row r="65" spans="1:21" ht="18" x14ac:dyDescent="0.25">
      <c r="A65" s="22" t="s">
        <v>292</v>
      </c>
      <c r="B65" s="123"/>
      <c r="C65" s="123"/>
      <c r="D65" s="22"/>
      <c r="E65" s="22"/>
      <c r="F65" s="22"/>
      <c r="G65" s="22" t="s">
        <v>1</v>
      </c>
      <c r="H65" s="22">
        <v>3.78E-2</v>
      </c>
      <c r="I65" s="22" t="s">
        <v>34</v>
      </c>
      <c r="J65" s="22"/>
      <c r="L65" s="65" t="s">
        <v>437</v>
      </c>
      <c r="M65" s="121"/>
      <c r="N65" s="121"/>
      <c r="O65" s="65"/>
      <c r="P65" s="65"/>
      <c r="Q65" s="65"/>
      <c r="R65" s="65" t="s">
        <v>1</v>
      </c>
      <c r="S65" s="114">
        <f>(1488*32.2*(M8*1/304800)^2*(N19-N20))/(18*N17)</f>
        <v>3.7848492363651384E-2</v>
      </c>
      <c r="T65" s="65" t="s">
        <v>34</v>
      </c>
      <c r="U65" s="65"/>
    </row>
    <row r="66" spans="1:21" x14ac:dyDescent="0.25">
      <c r="A66" s="22"/>
      <c r="B66" s="123"/>
      <c r="C66" s="123"/>
      <c r="D66" s="22"/>
      <c r="E66" s="22"/>
      <c r="F66" s="22"/>
      <c r="G66" s="22"/>
      <c r="H66" s="22"/>
      <c r="I66" s="22"/>
      <c r="J66" s="22"/>
      <c r="L66" s="65"/>
      <c r="M66" s="121"/>
      <c r="N66" s="121"/>
      <c r="O66" s="65"/>
      <c r="P66" s="65"/>
      <c r="Q66" s="65"/>
      <c r="R66" s="65"/>
      <c r="S66" s="65"/>
      <c r="T66" s="65"/>
      <c r="U66" s="65"/>
    </row>
    <row r="67" spans="1:21" x14ac:dyDescent="0.25">
      <c r="A67" s="22" t="s">
        <v>293</v>
      </c>
      <c r="B67" s="123"/>
      <c r="C67" s="123"/>
      <c r="D67" s="22"/>
      <c r="E67" s="22"/>
      <c r="F67" s="22"/>
      <c r="G67" s="22"/>
      <c r="H67" s="22"/>
      <c r="I67" s="22"/>
      <c r="J67" s="22"/>
      <c r="L67" s="65" t="s">
        <v>293</v>
      </c>
      <c r="M67" s="121"/>
      <c r="N67" s="121"/>
      <c r="O67" s="65"/>
      <c r="P67" s="65"/>
      <c r="Q67" s="65"/>
      <c r="R67" s="65"/>
      <c r="S67" s="65"/>
      <c r="T67" s="65"/>
      <c r="U67" s="65"/>
    </row>
    <row r="68" spans="1:21" x14ac:dyDescent="0.25">
      <c r="A68" s="22"/>
      <c r="B68" s="123"/>
      <c r="C68" s="123"/>
      <c r="D68" s="22"/>
      <c r="E68" s="22"/>
      <c r="F68" s="22"/>
      <c r="G68" s="22"/>
      <c r="H68" s="22"/>
      <c r="I68" s="22"/>
      <c r="J68" s="22"/>
      <c r="L68" s="65"/>
      <c r="M68" s="121"/>
      <c r="N68" s="121"/>
      <c r="O68" s="65"/>
      <c r="P68" s="65"/>
      <c r="Q68" s="65"/>
      <c r="R68" s="65"/>
      <c r="S68" s="65"/>
      <c r="T68" s="65"/>
      <c r="U68" s="65"/>
    </row>
    <row r="69" spans="1:21" x14ac:dyDescent="0.25">
      <c r="A69" s="22" t="s">
        <v>294</v>
      </c>
      <c r="B69" s="123"/>
      <c r="C69" s="123"/>
      <c r="D69" s="22"/>
      <c r="E69" s="22"/>
      <c r="F69" s="22"/>
      <c r="G69" s="22"/>
      <c r="H69" s="22"/>
      <c r="I69" s="22"/>
      <c r="J69" s="22"/>
      <c r="L69" s="65" t="s">
        <v>294</v>
      </c>
      <c r="M69" s="121"/>
      <c r="N69" s="121"/>
      <c r="O69" s="65"/>
      <c r="P69" s="65"/>
      <c r="Q69" s="65"/>
      <c r="R69" s="65"/>
      <c r="S69" s="65"/>
      <c r="T69" s="65"/>
      <c r="U69" s="65"/>
    </row>
    <row r="70" spans="1:21" ht="16.5" x14ac:dyDescent="0.3">
      <c r="A70" s="26" t="s">
        <v>298</v>
      </c>
      <c r="B70" s="155" t="s">
        <v>1</v>
      </c>
      <c r="C70" s="123" t="s">
        <v>295</v>
      </c>
      <c r="D70" s="155" t="s">
        <v>1</v>
      </c>
      <c r="E70" s="155" t="s">
        <v>297</v>
      </c>
      <c r="F70" s="155" t="s">
        <v>1</v>
      </c>
      <c r="G70" s="153">
        <v>4.5</v>
      </c>
      <c r="H70" s="171" t="s">
        <v>262</v>
      </c>
      <c r="I70" s="155"/>
      <c r="J70" s="22"/>
      <c r="L70" s="70" t="s">
        <v>298</v>
      </c>
      <c r="M70" s="158" t="s">
        <v>1</v>
      </c>
      <c r="N70" s="121" t="s">
        <v>295</v>
      </c>
      <c r="O70" s="158" t="s">
        <v>1</v>
      </c>
      <c r="P70" s="158" t="s">
        <v>297</v>
      </c>
      <c r="Q70" s="158" t="s">
        <v>1</v>
      </c>
      <c r="R70" s="150">
        <f>3.75/0.0139/60</f>
        <v>4.4964028776978422</v>
      </c>
      <c r="S70" s="149" t="s">
        <v>262</v>
      </c>
      <c r="T70" s="158"/>
      <c r="U70" s="65"/>
    </row>
    <row r="71" spans="1:21" x14ac:dyDescent="0.25">
      <c r="A71" s="26" t="s">
        <v>299</v>
      </c>
      <c r="B71" s="155"/>
      <c r="C71" s="123" t="s">
        <v>296</v>
      </c>
      <c r="D71" s="155"/>
      <c r="E71" s="155"/>
      <c r="F71" s="155"/>
      <c r="G71" s="153"/>
      <c r="H71" s="171"/>
      <c r="I71" s="155"/>
      <c r="J71" s="22"/>
      <c r="L71" s="70" t="s">
        <v>299</v>
      </c>
      <c r="M71" s="158"/>
      <c r="N71" s="121" t="s">
        <v>296</v>
      </c>
      <c r="O71" s="158"/>
      <c r="P71" s="158"/>
      <c r="Q71" s="158"/>
      <c r="R71" s="150"/>
      <c r="S71" s="149"/>
      <c r="T71" s="158"/>
      <c r="U71" s="65"/>
    </row>
    <row r="72" spans="1:21" x14ac:dyDescent="0.25">
      <c r="A72" s="22"/>
      <c r="B72" s="123"/>
      <c r="C72" s="123"/>
      <c r="D72" s="22"/>
      <c r="E72" s="22"/>
      <c r="F72" s="22"/>
      <c r="G72" s="22"/>
      <c r="H72" s="22"/>
      <c r="I72" s="22"/>
      <c r="J72" s="22"/>
      <c r="L72" s="65"/>
      <c r="M72" s="121"/>
      <c r="N72" s="121"/>
      <c r="O72" s="65"/>
      <c r="P72" s="65"/>
      <c r="Q72" s="65"/>
      <c r="R72" s="65"/>
      <c r="S72" s="65"/>
      <c r="T72" s="65"/>
      <c r="U72" s="65"/>
    </row>
    <row r="73" spans="1:21" x14ac:dyDescent="0.25">
      <c r="A73" s="160" t="s">
        <v>300</v>
      </c>
      <c r="B73" s="160"/>
      <c r="C73" s="160"/>
      <c r="D73" s="160"/>
      <c r="E73" s="160"/>
      <c r="F73" s="160"/>
      <c r="G73" s="160"/>
      <c r="H73" s="160"/>
      <c r="I73" s="160"/>
      <c r="J73" s="22"/>
      <c r="L73" s="165" t="s">
        <v>300</v>
      </c>
      <c r="M73" s="165"/>
      <c r="N73" s="165"/>
      <c r="O73" s="165"/>
      <c r="P73" s="165"/>
      <c r="Q73" s="165"/>
      <c r="R73" s="165"/>
      <c r="S73" s="165"/>
      <c r="T73" s="165"/>
      <c r="U73" s="65"/>
    </row>
    <row r="74" spans="1:21" x14ac:dyDescent="0.25">
      <c r="A74" s="160"/>
      <c r="B74" s="160"/>
      <c r="C74" s="160"/>
      <c r="D74" s="160"/>
      <c r="E74" s="160"/>
      <c r="F74" s="160"/>
      <c r="G74" s="160"/>
      <c r="H74" s="160"/>
      <c r="I74" s="160"/>
      <c r="J74" s="22"/>
      <c r="L74" s="165"/>
      <c r="M74" s="165"/>
      <c r="N74" s="165"/>
      <c r="O74" s="165"/>
      <c r="P74" s="165"/>
      <c r="Q74" s="165"/>
      <c r="R74" s="165"/>
      <c r="S74" s="165"/>
      <c r="T74" s="165"/>
      <c r="U74" s="65"/>
    </row>
    <row r="75" spans="1:21" x14ac:dyDescent="0.25">
      <c r="A75" s="22"/>
      <c r="B75" s="123"/>
      <c r="C75" s="123"/>
      <c r="D75" s="22"/>
      <c r="E75" s="22"/>
      <c r="F75" s="22"/>
      <c r="G75" s="22"/>
      <c r="H75" s="22"/>
      <c r="I75" s="22"/>
      <c r="J75" s="22"/>
      <c r="L75" s="65"/>
      <c r="M75" s="121"/>
      <c r="N75" s="121"/>
      <c r="O75" s="65"/>
      <c r="P75" s="65"/>
      <c r="Q75" s="65"/>
      <c r="R75" s="65"/>
      <c r="S75" s="65"/>
      <c r="T75" s="65"/>
      <c r="U75" s="65"/>
    </row>
    <row r="76" spans="1:21" x14ac:dyDescent="0.25">
      <c r="A76" s="22" t="s">
        <v>301</v>
      </c>
      <c r="B76" s="123"/>
      <c r="C76" s="123"/>
      <c r="D76" s="22"/>
      <c r="E76" s="22"/>
      <c r="F76" s="22"/>
      <c r="G76" s="22"/>
      <c r="H76" s="22"/>
      <c r="I76" s="22"/>
      <c r="J76" s="22"/>
      <c r="L76" s="65" t="s">
        <v>301</v>
      </c>
      <c r="M76" s="121"/>
      <c r="N76" s="121"/>
      <c r="O76" s="65"/>
      <c r="P76" s="65"/>
      <c r="Q76" s="65"/>
      <c r="R76" s="65"/>
      <c r="S76" s="65"/>
      <c r="T76" s="65"/>
      <c r="U76" s="65"/>
    </row>
    <row r="77" spans="1:21" x14ac:dyDescent="0.25">
      <c r="A77" s="22"/>
      <c r="B77" s="123"/>
      <c r="C77" s="123"/>
      <c r="D77" s="22"/>
      <c r="E77" s="22"/>
      <c r="F77" s="22"/>
      <c r="G77" s="22"/>
      <c r="H77" s="22"/>
      <c r="I77" s="22"/>
      <c r="J77" s="22"/>
      <c r="L77" s="65"/>
      <c r="M77" s="121"/>
      <c r="N77" s="121"/>
      <c r="O77" s="65"/>
      <c r="P77" s="65"/>
      <c r="Q77" s="65"/>
      <c r="R77" s="65"/>
      <c r="S77" s="65"/>
      <c r="T77" s="65"/>
      <c r="U77" s="65"/>
    </row>
    <row r="78" spans="1:21" x14ac:dyDescent="0.25">
      <c r="A78" s="22" t="s">
        <v>302</v>
      </c>
      <c r="B78" s="123"/>
      <c r="C78" s="123"/>
      <c r="D78" s="22"/>
      <c r="E78" s="22"/>
      <c r="F78" s="22"/>
      <c r="G78" s="22"/>
      <c r="H78" s="22"/>
      <c r="I78" s="22"/>
      <c r="J78" s="22"/>
      <c r="L78" s="65" t="s">
        <v>302</v>
      </c>
      <c r="M78" s="121"/>
      <c r="N78" s="121"/>
      <c r="O78" s="65"/>
      <c r="P78" s="65"/>
      <c r="Q78" s="65"/>
      <c r="R78" s="65"/>
      <c r="S78" s="65"/>
      <c r="T78" s="65"/>
      <c r="U78" s="65"/>
    </row>
    <row r="79" spans="1:21" x14ac:dyDescent="0.25">
      <c r="A79" s="22"/>
      <c r="B79" s="123"/>
      <c r="C79" s="123"/>
      <c r="D79" s="22"/>
      <c r="E79" s="22"/>
      <c r="F79" s="22"/>
      <c r="G79" s="22"/>
      <c r="H79" s="22"/>
      <c r="I79" s="22"/>
      <c r="J79" s="22"/>
      <c r="L79" s="65"/>
      <c r="M79" s="121"/>
      <c r="N79" s="121"/>
      <c r="O79" s="65"/>
      <c r="P79" s="65"/>
      <c r="Q79" s="65"/>
      <c r="R79" s="65"/>
      <c r="S79" s="65"/>
      <c r="T79" s="65"/>
      <c r="U79" s="65"/>
    </row>
    <row r="80" spans="1:21" x14ac:dyDescent="0.25">
      <c r="A80" s="22" t="s">
        <v>303</v>
      </c>
      <c r="B80" s="123"/>
      <c r="C80" s="123"/>
      <c r="D80" s="22"/>
      <c r="E80" s="22"/>
      <c r="F80" s="22"/>
      <c r="G80" s="22"/>
      <c r="H80" s="22"/>
      <c r="I80" s="22"/>
      <c r="J80" s="22"/>
      <c r="L80" s="65" t="s">
        <v>303</v>
      </c>
      <c r="M80" s="121"/>
      <c r="N80" s="121"/>
      <c r="O80" s="65"/>
      <c r="P80" s="65"/>
      <c r="Q80" s="65"/>
      <c r="R80" s="65"/>
      <c r="S80" s="65"/>
      <c r="T80" s="65"/>
      <c r="U80" s="65"/>
    </row>
    <row r="81" spans="1:21" x14ac:dyDescent="0.25">
      <c r="A81" s="22"/>
      <c r="B81" s="123"/>
      <c r="C81" s="123"/>
      <c r="D81" s="22"/>
      <c r="E81" s="22"/>
      <c r="F81" s="22"/>
      <c r="G81" s="22"/>
      <c r="H81" s="22"/>
      <c r="I81" s="22"/>
      <c r="J81" s="22"/>
      <c r="L81" s="65"/>
      <c r="M81" s="121"/>
      <c r="N81" s="121"/>
      <c r="O81" s="65"/>
      <c r="P81" s="65"/>
      <c r="Q81" s="65"/>
      <c r="R81" s="65"/>
      <c r="S81" s="65"/>
      <c r="T81" s="65"/>
      <c r="U81" s="65"/>
    </row>
    <row r="82" spans="1:21" x14ac:dyDescent="0.25">
      <c r="A82" s="160" t="s">
        <v>304</v>
      </c>
      <c r="B82" s="160"/>
      <c r="C82" s="160"/>
      <c r="D82" s="160"/>
      <c r="E82" s="160"/>
      <c r="F82" s="160"/>
      <c r="G82" s="160"/>
      <c r="H82" s="160"/>
      <c r="I82" s="160"/>
      <c r="J82" s="22"/>
      <c r="L82" s="165" t="s">
        <v>304</v>
      </c>
      <c r="M82" s="165"/>
      <c r="N82" s="165"/>
      <c r="O82" s="165"/>
      <c r="P82" s="165"/>
      <c r="Q82" s="165"/>
      <c r="R82" s="165"/>
      <c r="S82" s="165"/>
      <c r="T82" s="165"/>
      <c r="U82" s="65"/>
    </row>
    <row r="83" spans="1:21" x14ac:dyDescent="0.25">
      <c r="A83" s="160"/>
      <c r="B83" s="160"/>
      <c r="C83" s="160"/>
      <c r="D83" s="160"/>
      <c r="E83" s="160"/>
      <c r="F83" s="160"/>
      <c r="G83" s="160"/>
      <c r="H83" s="160"/>
      <c r="I83" s="160"/>
      <c r="J83" s="22"/>
      <c r="L83" s="165"/>
      <c r="M83" s="165"/>
      <c r="N83" s="165"/>
      <c r="O83" s="165"/>
      <c r="P83" s="165"/>
      <c r="Q83" s="165"/>
      <c r="R83" s="165"/>
      <c r="S83" s="165"/>
      <c r="T83" s="165"/>
      <c r="U83" s="65"/>
    </row>
    <row r="84" spans="1:21" x14ac:dyDescent="0.25">
      <c r="A84" s="22"/>
      <c r="B84" s="123"/>
      <c r="C84" s="123"/>
      <c r="D84" s="22"/>
      <c r="E84" s="22"/>
      <c r="F84" s="22"/>
      <c r="G84" s="22"/>
      <c r="H84" s="22"/>
      <c r="I84" s="22"/>
      <c r="J84" s="22"/>
      <c r="L84" s="65"/>
      <c r="M84" s="121"/>
      <c r="N84" s="121"/>
      <c r="O84" s="65"/>
      <c r="P84" s="65"/>
      <c r="Q84" s="65"/>
      <c r="R84" s="65"/>
      <c r="S84" s="65"/>
      <c r="T84" s="65"/>
      <c r="U84" s="65"/>
    </row>
    <row r="85" spans="1:21" x14ac:dyDescent="0.25">
      <c r="A85" s="22" t="s">
        <v>305</v>
      </c>
      <c r="B85" s="123"/>
      <c r="C85" s="123"/>
      <c r="D85" s="22"/>
      <c r="E85" s="22"/>
      <c r="F85" s="22"/>
      <c r="G85" s="22"/>
      <c r="H85" s="22"/>
      <c r="I85" s="22"/>
      <c r="J85" s="22"/>
      <c r="L85" s="65" t="s">
        <v>305</v>
      </c>
      <c r="M85" s="121"/>
      <c r="N85" s="121"/>
      <c r="O85" s="65"/>
      <c r="P85" s="65"/>
      <c r="Q85" s="65"/>
      <c r="R85" s="65"/>
      <c r="S85" s="65"/>
      <c r="T85" s="65"/>
      <c r="U85" s="65"/>
    </row>
    <row r="86" spans="1:21" x14ac:dyDescent="0.25">
      <c r="A86" s="22"/>
      <c r="B86" s="123"/>
      <c r="C86" s="123"/>
      <c r="D86" s="22"/>
      <c r="E86" s="22"/>
      <c r="F86" s="22"/>
      <c r="G86" s="22"/>
      <c r="H86" s="22"/>
      <c r="I86" s="22"/>
      <c r="J86" s="22"/>
      <c r="L86" s="65"/>
      <c r="M86" s="121"/>
      <c r="N86" s="121"/>
      <c r="O86" s="65"/>
      <c r="P86" s="65"/>
      <c r="Q86" s="65"/>
      <c r="R86" s="65"/>
      <c r="S86" s="65"/>
      <c r="T86" s="65"/>
      <c r="U86" s="65"/>
    </row>
    <row r="87" spans="1:21" ht="18.75" x14ac:dyDescent="0.3">
      <c r="A87" s="26" t="s">
        <v>307</v>
      </c>
      <c r="B87" s="29" t="s">
        <v>306</v>
      </c>
      <c r="C87" s="123"/>
      <c r="D87" s="22"/>
      <c r="E87" s="22"/>
      <c r="F87" s="22" t="s">
        <v>1</v>
      </c>
      <c r="G87" s="22">
        <v>3.4299999999999997E-2</v>
      </c>
      <c r="H87" s="22" t="s">
        <v>34</v>
      </c>
      <c r="I87" s="22"/>
      <c r="J87" s="22"/>
      <c r="L87" s="70" t="s">
        <v>307</v>
      </c>
      <c r="M87" s="74" t="s">
        <v>306</v>
      </c>
      <c r="N87" s="121"/>
      <c r="O87" s="65"/>
      <c r="P87" s="65"/>
      <c r="Q87" s="65" t="s">
        <v>1</v>
      </c>
      <c r="R87" s="114">
        <f>M7*1/3600/(Q45*3.14159*(M10/2)^2)</f>
        <v>3.4292614037265634E-2</v>
      </c>
      <c r="S87" s="65" t="s">
        <v>34</v>
      </c>
      <c r="T87" s="65"/>
      <c r="U87" s="65"/>
    </row>
    <row r="88" spans="1:21" x14ac:dyDescent="0.25">
      <c r="A88" s="22"/>
      <c r="B88" s="123"/>
      <c r="C88" s="123"/>
      <c r="D88" s="22"/>
      <c r="E88" s="22"/>
      <c r="F88" s="22"/>
      <c r="G88" s="22"/>
      <c r="H88" s="22"/>
      <c r="I88" s="22"/>
      <c r="J88" s="22"/>
      <c r="L88" s="65"/>
      <c r="M88" s="121"/>
      <c r="N88" s="121"/>
      <c r="O88" s="65"/>
      <c r="P88" s="65"/>
      <c r="Q88" s="65"/>
      <c r="R88" s="65"/>
      <c r="S88" s="65"/>
      <c r="T88" s="65"/>
      <c r="U88" s="65"/>
    </row>
    <row r="89" spans="1:21" x14ac:dyDescent="0.25">
      <c r="A89" s="22" t="s">
        <v>308</v>
      </c>
      <c r="B89" s="123"/>
      <c r="C89" s="123"/>
      <c r="D89" s="22"/>
      <c r="E89" s="22"/>
      <c r="F89" s="22"/>
      <c r="G89" s="22"/>
      <c r="H89" s="22"/>
      <c r="I89" s="22"/>
      <c r="J89" s="22"/>
      <c r="L89" s="65" t="s">
        <v>308</v>
      </c>
      <c r="M89" s="121"/>
      <c r="N89" s="121"/>
      <c r="O89" s="65"/>
      <c r="P89" s="65"/>
      <c r="Q89" s="65"/>
      <c r="R89" s="65"/>
      <c r="S89" s="65"/>
      <c r="T89" s="65"/>
      <c r="U89" s="65"/>
    </row>
    <row r="90" spans="1:21" ht="18.75" x14ac:dyDescent="0.3">
      <c r="A90" s="26" t="s">
        <v>307</v>
      </c>
      <c r="B90" s="29" t="s">
        <v>310</v>
      </c>
      <c r="C90" s="123"/>
      <c r="D90" s="22"/>
      <c r="E90" s="22"/>
      <c r="F90" s="22" t="s">
        <v>1</v>
      </c>
      <c r="G90" s="22">
        <v>0.05</v>
      </c>
      <c r="H90" s="22" t="s">
        <v>34</v>
      </c>
      <c r="I90" s="22"/>
      <c r="J90" s="22"/>
      <c r="L90" s="70" t="s">
        <v>307</v>
      </c>
      <c r="M90" s="74" t="s">
        <v>310</v>
      </c>
      <c r="N90" s="121"/>
      <c r="O90" s="65"/>
      <c r="P90" s="65"/>
      <c r="Q90" s="65"/>
      <c r="R90" s="89">
        <f>M6/3600/((Q51-Q45)*3.14159*(M10/2)^2)</f>
        <v>5.001562561105069E-2</v>
      </c>
      <c r="S90" s="65" t="s">
        <v>34</v>
      </c>
      <c r="T90" s="65"/>
      <c r="U90" s="65"/>
    </row>
    <row r="91" spans="1:21" x14ac:dyDescent="0.25">
      <c r="A91" s="22"/>
      <c r="B91" s="123"/>
      <c r="C91" s="123"/>
      <c r="D91" s="22"/>
      <c r="E91" s="22"/>
      <c r="F91" s="22"/>
      <c r="G91" s="22"/>
      <c r="H91" s="22"/>
      <c r="I91" s="22"/>
      <c r="J91" s="22"/>
      <c r="L91" s="65"/>
      <c r="M91" s="121"/>
      <c r="N91" s="121"/>
      <c r="O91" s="65"/>
      <c r="P91" s="65"/>
      <c r="Q91" s="65"/>
      <c r="R91" s="65"/>
      <c r="S91" s="65"/>
      <c r="T91" s="65"/>
      <c r="U91" s="65"/>
    </row>
    <row r="92" spans="1:21" x14ac:dyDescent="0.25">
      <c r="A92" s="22" t="s">
        <v>311</v>
      </c>
      <c r="B92" s="123"/>
      <c r="C92" s="123"/>
      <c r="D92" s="22"/>
      <c r="E92" s="22"/>
      <c r="F92" s="22"/>
      <c r="G92" s="22"/>
      <c r="H92" s="22"/>
      <c r="I92" s="22"/>
      <c r="J92" s="22"/>
      <c r="L92" s="65" t="s">
        <v>311</v>
      </c>
      <c r="M92" s="121"/>
      <c r="N92" s="121"/>
      <c r="O92" s="65"/>
      <c r="P92" s="65"/>
      <c r="Q92" s="65"/>
      <c r="R92" s="65"/>
      <c r="S92" s="65"/>
      <c r="T92" s="65"/>
      <c r="U92" s="65"/>
    </row>
    <row r="93" spans="1:21" x14ac:dyDescent="0.25">
      <c r="A93" s="22"/>
      <c r="B93" s="123"/>
      <c r="C93" s="123"/>
      <c r="D93" s="22"/>
      <c r="E93" s="22"/>
      <c r="F93" s="22"/>
      <c r="G93" s="22"/>
      <c r="H93" s="22"/>
      <c r="I93" s="22"/>
      <c r="J93" s="22"/>
      <c r="L93" s="65"/>
      <c r="M93" s="121"/>
      <c r="N93" s="121"/>
      <c r="O93" s="65"/>
      <c r="P93" s="65"/>
      <c r="Q93" s="65"/>
      <c r="R93" s="65"/>
      <c r="S93" s="65"/>
      <c r="T93" s="65"/>
      <c r="U93" s="65"/>
    </row>
    <row r="94" spans="1:21" x14ac:dyDescent="0.25">
      <c r="A94" s="22" t="s">
        <v>312</v>
      </c>
      <c r="B94" s="123"/>
      <c r="C94" s="123"/>
      <c r="D94" s="22"/>
      <c r="E94" s="22"/>
      <c r="F94" s="22"/>
      <c r="G94" s="22"/>
      <c r="H94" s="22"/>
      <c r="I94" s="22"/>
      <c r="J94" s="22"/>
      <c r="L94" s="65" t="s">
        <v>312</v>
      </c>
      <c r="M94" s="121"/>
      <c r="N94" s="121"/>
      <c r="O94" s="65"/>
      <c r="P94" s="65"/>
      <c r="Q94" s="65"/>
      <c r="R94" s="65"/>
      <c r="S94" s="65"/>
      <c r="T94" s="65"/>
      <c r="U94" s="65"/>
    </row>
    <row r="95" spans="1:21" x14ac:dyDescent="0.25">
      <c r="A95" s="22"/>
      <c r="B95" s="123"/>
      <c r="C95" s="123"/>
      <c r="D95" s="22"/>
      <c r="E95" s="22"/>
      <c r="F95" s="22"/>
      <c r="G95" s="22"/>
      <c r="H95" s="22"/>
      <c r="I95" s="22"/>
      <c r="J95" s="22"/>
      <c r="L95" s="65"/>
      <c r="M95" s="121"/>
      <c r="N95" s="121"/>
      <c r="O95" s="65"/>
      <c r="P95" s="65"/>
      <c r="Q95" s="65"/>
      <c r="R95" s="65"/>
      <c r="S95" s="65"/>
      <c r="T95" s="65"/>
      <c r="U95" s="65"/>
    </row>
    <row r="96" spans="1:21" x14ac:dyDescent="0.25">
      <c r="A96" s="22" t="s">
        <v>313</v>
      </c>
      <c r="B96" s="123"/>
      <c r="C96" s="123"/>
      <c r="D96" s="22"/>
      <c r="E96" s="22"/>
      <c r="F96" s="22"/>
      <c r="G96" s="22"/>
      <c r="H96" s="22"/>
      <c r="I96" s="22"/>
      <c r="J96" s="22"/>
      <c r="L96" s="65" t="s">
        <v>313</v>
      </c>
      <c r="M96" s="121"/>
      <c r="N96" s="121"/>
      <c r="O96" s="65"/>
      <c r="P96" s="65"/>
      <c r="Q96" s="65"/>
      <c r="R96" s="65"/>
      <c r="S96" s="65"/>
      <c r="T96" s="65"/>
      <c r="U96" s="65"/>
    </row>
    <row r="97" spans="1:21" x14ac:dyDescent="0.25">
      <c r="A97" s="160" t="s">
        <v>314</v>
      </c>
      <c r="B97" s="160"/>
      <c r="C97" s="160"/>
      <c r="D97" s="160"/>
      <c r="E97" s="160"/>
      <c r="F97" s="160"/>
      <c r="G97" s="160"/>
      <c r="H97" s="160"/>
      <c r="I97" s="160"/>
      <c r="J97" s="22"/>
      <c r="L97" s="165" t="s">
        <v>314</v>
      </c>
      <c r="M97" s="165"/>
      <c r="N97" s="165"/>
      <c r="O97" s="165"/>
      <c r="P97" s="165"/>
      <c r="Q97" s="165"/>
      <c r="R97" s="165"/>
      <c r="S97" s="165"/>
      <c r="T97" s="165"/>
      <c r="U97" s="65"/>
    </row>
    <row r="98" spans="1:21" x14ac:dyDescent="0.25">
      <c r="A98" s="160"/>
      <c r="B98" s="160"/>
      <c r="C98" s="160"/>
      <c r="D98" s="160"/>
      <c r="E98" s="160"/>
      <c r="F98" s="160"/>
      <c r="G98" s="160"/>
      <c r="H98" s="160"/>
      <c r="I98" s="160"/>
      <c r="J98" s="22"/>
      <c r="L98" s="165"/>
      <c r="M98" s="165"/>
      <c r="N98" s="165"/>
      <c r="O98" s="165"/>
      <c r="P98" s="165"/>
      <c r="Q98" s="165"/>
      <c r="R98" s="165"/>
      <c r="S98" s="165"/>
      <c r="T98" s="165"/>
      <c r="U98" s="65"/>
    </row>
    <row r="99" spans="1:21" x14ac:dyDescent="0.25">
      <c r="A99" s="22"/>
      <c r="B99" s="123"/>
      <c r="C99" s="123"/>
      <c r="D99" s="22"/>
      <c r="E99" s="22"/>
      <c r="F99" s="22"/>
      <c r="G99" s="22"/>
      <c r="H99" s="22"/>
      <c r="I99" s="22"/>
      <c r="J99" s="22"/>
      <c r="L99" s="65"/>
      <c r="M99" s="121"/>
      <c r="N99" s="121"/>
      <c r="O99" s="65"/>
      <c r="P99" s="65"/>
      <c r="Q99" s="65"/>
      <c r="R99" s="65"/>
      <c r="S99" s="65"/>
      <c r="T99" s="65"/>
      <c r="U99" s="65"/>
    </row>
    <row r="100" spans="1:21" x14ac:dyDescent="0.25">
      <c r="A100" s="22" t="s">
        <v>315</v>
      </c>
      <c r="B100" s="123"/>
      <c r="C100" s="123"/>
      <c r="D100" s="22"/>
      <c r="E100" s="22"/>
      <c r="F100" s="22"/>
      <c r="G100" s="22"/>
      <c r="H100" s="22"/>
      <c r="I100" s="22"/>
      <c r="J100" s="22"/>
      <c r="L100" s="65" t="s">
        <v>315</v>
      </c>
      <c r="M100" s="121"/>
      <c r="N100" s="121"/>
      <c r="O100" s="65"/>
      <c r="P100" s="65"/>
      <c r="Q100" s="65"/>
      <c r="R100" s="65"/>
      <c r="S100" s="65"/>
      <c r="T100" s="65"/>
      <c r="U100" s="65"/>
    </row>
    <row r="101" spans="1:21" x14ac:dyDescent="0.25">
      <c r="A101" s="22"/>
      <c r="B101" s="123"/>
      <c r="C101" s="123"/>
      <c r="D101" s="22"/>
      <c r="E101" s="22"/>
      <c r="F101" s="22"/>
      <c r="G101" s="22"/>
      <c r="H101" s="22"/>
      <c r="I101" s="22"/>
      <c r="J101" s="22"/>
      <c r="L101" s="65"/>
      <c r="M101" s="121"/>
      <c r="N101" s="121"/>
      <c r="O101" s="65"/>
      <c r="P101" s="65"/>
      <c r="Q101" s="65"/>
      <c r="R101" s="65"/>
      <c r="S101" s="65"/>
      <c r="T101" s="65"/>
      <c r="U101" s="65"/>
    </row>
    <row r="102" spans="1:21" ht="18" x14ac:dyDescent="0.25">
      <c r="A102" s="22" t="s">
        <v>316</v>
      </c>
      <c r="B102" s="123"/>
      <c r="C102" s="123"/>
      <c r="D102" s="22" t="s">
        <v>1</v>
      </c>
      <c r="E102" s="22">
        <v>5.05</v>
      </c>
      <c r="F102" s="22" t="s">
        <v>262</v>
      </c>
      <c r="G102" s="22"/>
      <c r="H102" s="22"/>
      <c r="I102" s="22"/>
      <c r="J102" s="22"/>
      <c r="L102" s="65" t="s">
        <v>316</v>
      </c>
      <c r="M102" s="121"/>
      <c r="N102" s="121"/>
      <c r="O102" s="65" t="s">
        <v>1</v>
      </c>
      <c r="P102" s="89">
        <f>(0.35-Q45)*S36/(M6/60)</f>
        <v>5.0546001509613854</v>
      </c>
      <c r="Q102" s="65" t="s">
        <v>262</v>
      </c>
      <c r="R102" s="65"/>
      <c r="S102" s="65"/>
      <c r="T102" s="65"/>
      <c r="U102" s="65"/>
    </row>
    <row r="103" spans="1:21" x14ac:dyDescent="0.25">
      <c r="A103" s="22"/>
      <c r="B103" s="123"/>
      <c r="C103" s="123"/>
      <c r="D103" s="22"/>
      <c r="E103" s="22"/>
      <c r="F103" s="22"/>
      <c r="G103" s="22"/>
      <c r="H103" s="22"/>
      <c r="I103" s="22"/>
      <c r="J103" s="22"/>
      <c r="L103" s="65"/>
      <c r="M103" s="121"/>
      <c r="N103" s="121"/>
      <c r="O103" s="65"/>
      <c r="P103" s="65"/>
      <c r="Q103" s="65"/>
      <c r="R103" s="65"/>
      <c r="S103" s="65"/>
      <c r="T103" s="65"/>
      <c r="U103" s="65"/>
    </row>
    <row r="104" spans="1:21" x14ac:dyDescent="0.25">
      <c r="A104" s="22" t="s">
        <v>294</v>
      </c>
      <c r="B104" s="123"/>
      <c r="C104" s="123"/>
      <c r="D104" s="22"/>
      <c r="E104" s="22"/>
      <c r="F104" s="22"/>
      <c r="G104" s="22"/>
      <c r="H104" s="22"/>
      <c r="I104" s="22"/>
      <c r="J104" s="22"/>
      <c r="L104" s="65" t="s">
        <v>294</v>
      </c>
      <c r="M104" s="121"/>
      <c r="N104" s="121"/>
      <c r="O104" s="65"/>
      <c r="P104" s="65"/>
      <c r="Q104" s="65"/>
      <c r="R104" s="65"/>
      <c r="S104" s="65"/>
      <c r="T104" s="65"/>
      <c r="U104" s="65"/>
    </row>
    <row r="105" spans="1:21" ht="16.5" x14ac:dyDescent="0.3">
      <c r="A105" s="26" t="s">
        <v>317</v>
      </c>
      <c r="B105" s="155" t="s">
        <v>1</v>
      </c>
      <c r="C105" s="123" t="s">
        <v>318</v>
      </c>
      <c r="D105" s="155" t="s">
        <v>1</v>
      </c>
      <c r="E105" s="155" t="s">
        <v>319</v>
      </c>
      <c r="F105" s="155" t="s">
        <v>1</v>
      </c>
      <c r="G105" s="153">
        <v>2.4</v>
      </c>
      <c r="H105" s="171" t="s">
        <v>262</v>
      </c>
      <c r="I105" s="22"/>
      <c r="J105" s="22"/>
      <c r="L105" s="70" t="s">
        <v>317</v>
      </c>
      <c r="M105" s="158" t="s">
        <v>1</v>
      </c>
      <c r="N105" s="121" t="s">
        <v>318</v>
      </c>
      <c r="O105" s="158" t="s">
        <v>1</v>
      </c>
      <c r="P105" s="158" t="s">
        <v>319</v>
      </c>
      <c r="Q105" s="158" t="s">
        <v>1</v>
      </c>
      <c r="R105" s="177">
        <f>2/0.0139/60</f>
        <v>2.3980815347721824</v>
      </c>
      <c r="S105" s="149" t="s">
        <v>262</v>
      </c>
      <c r="T105" s="65"/>
      <c r="U105" s="65"/>
    </row>
    <row r="106" spans="1:21" x14ac:dyDescent="0.25">
      <c r="A106" s="26" t="s">
        <v>299</v>
      </c>
      <c r="B106" s="155"/>
      <c r="C106" s="123" t="s">
        <v>296</v>
      </c>
      <c r="D106" s="155"/>
      <c r="E106" s="155"/>
      <c r="F106" s="155"/>
      <c r="G106" s="153"/>
      <c r="H106" s="171"/>
      <c r="I106" s="22"/>
      <c r="J106" s="22"/>
      <c r="L106" s="70" t="s">
        <v>299</v>
      </c>
      <c r="M106" s="158"/>
      <c r="N106" s="121" t="s">
        <v>296</v>
      </c>
      <c r="O106" s="158"/>
      <c r="P106" s="158"/>
      <c r="Q106" s="158"/>
      <c r="R106" s="177"/>
      <c r="S106" s="149"/>
      <c r="T106" s="65"/>
      <c r="U106" s="65"/>
    </row>
    <row r="107" spans="1:21" x14ac:dyDescent="0.25">
      <c r="A107" s="22"/>
      <c r="B107" s="123"/>
      <c r="C107" s="123"/>
      <c r="D107" s="22"/>
      <c r="E107" s="22"/>
      <c r="F107" s="22"/>
      <c r="G107" s="22"/>
      <c r="H107" s="22"/>
      <c r="I107" s="22"/>
      <c r="J107" s="22"/>
      <c r="L107" s="65"/>
      <c r="M107" s="121"/>
      <c r="N107" s="121"/>
      <c r="O107" s="65"/>
      <c r="P107" s="65"/>
      <c r="Q107" s="65"/>
      <c r="R107" s="65"/>
      <c r="S107" s="65"/>
      <c r="T107" s="65"/>
      <c r="U107" s="65"/>
    </row>
    <row r="108" spans="1:21" x14ac:dyDescent="0.25">
      <c r="A108" s="22" t="s">
        <v>320</v>
      </c>
      <c r="B108" s="123"/>
      <c r="C108" s="123"/>
      <c r="D108" s="22"/>
      <c r="E108" s="22"/>
      <c r="F108" s="22"/>
      <c r="G108" s="22"/>
      <c r="H108" s="22"/>
      <c r="I108" s="22"/>
      <c r="J108" s="22"/>
      <c r="L108" s="65" t="s">
        <v>320</v>
      </c>
      <c r="M108" s="121"/>
      <c r="N108" s="121"/>
      <c r="O108" s="65"/>
      <c r="P108" s="65"/>
      <c r="Q108" s="65"/>
      <c r="R108" s="65"/>
      <c r="S108" s="65"/>
      <c r="T108" s="65"/>
      <c r="U108" s="65"/>
    </row>
    <row r="109" spans="1:21" x14ac:dyDescent="0.25">
      <c r="A109" s="22"/>
      <c r="B109" s="123"/>
      <c r="C109" s="123"/>
      <c r="D109" s="22"/>
      <c r="E109" s="22"/>
      <c r="F109" s="22"/>
      <c r="G109" s="22"/>
      <c r="H109" s="22"/>
      <c r="I109" s="22"/>
      <c r="J109" s="22"/>
      <c r="L109" s="65"/>
      <c r="M109" s="121"/>
      <c r="N109" s="121"/>
      <c r="O109" s="65"/>
      <c r="P109" s="65"/>
      <c r="Q109" s="65"/>
      <c r="R109" s="65"/>
      <c r="S109" s="65"/>
      <c r="T109" s="65"/>
      <c r="U109" s="65"/>
    </row>
    <row r="110" spans="1:21" x14ac:dyDescent="0.25">
      <c r="A110" s="22" t="s">
        <v>321</v>
      </c>
      <c r="B110" s="123"/>
      <c r="C110" s="123"/>
      <c r="D110" s="22"/>
      <c r="E110" s="22"/>
      <c r="F110" s="22"/>
      <c r="G110" s="22"/>
      <c r="H110" s="22"/>
      <c r="I110" s="22"/>
      <c r="J110" s="22"/>
      <c r="L110" s="65" t="s">
        <v>321</v>
      </c>
      <c r="M110" s="121"/>
      <c r="N110" s="121"/>
      <c r="O110" s="65"/>
      <c r="P110" s="65"/>
      <c r="Q110" s="65"/>
      <c r="R110" s="65"/>
      <c r="S110" s="65"/>
      <c r="T110" s="65"/>
      <c r="U110" s="65"/>
    </row>
    <row r="111" spans="1:21" x14ac:dyDescent="0.25">
      <c r="A111" s="22"/>
      <c r="B111" s="123"/>
      <c r="C111" s="123"/>
      <c r="D111" s="22"/>
      <c r="E111" s="22"/>
      <c r="F111" s="22"/>
      <c r="G111" s="22"/>
      <c r="H111" s="22"/>
      <c r="I111" s="22"/>
      <c r="J111" s="22"/>
      <c r="L111" s="65"/>
      <c r="M111" s="121"/>
      <c r="N111" s="121"/>
      <c r="O111" s="65"/>
      <c r="P111" s="65"/>
      <c r="Q111" s="65"/>
      <c r="R111" s="65"/>
      <c r="S111" s="65"/>
      <c r="T111" s="65"/>
      <c r="U111" s="65"/>
    </row>
    <row r="112" spans="1:21" x14ac:dyDescent="0.25">
      <c r="A112" s="22" t="s">
        <v>322</v>
      </c>
      <c r="B112" s="123"/>
      <c r="C112" s="123"/>
      <c r="D112" s="22"/>
      <c r="E112" s="22"/>
      <c r="F112" s="22"/>
      <c r="G112" s="22"/>
      <c r="H112" s="22"/>
      <c r="I112" s="22"/>
      <c r="J112" s="22"/>
      <c r="L112" s="65" t="s">
        <v>322</v>
      </c>
      <c r="M112" s="121"/>
      <c r="N112" s="121"/>
      <c r="O112" s="65"/>
      <c r="P112" s="65"/>
      <c r="Q112" s="65"/>
      <c r="R112" s="65"/>
      <c r="S112" s="65"/>
      <c r="T112" s="65"/>
      <c r="U112" s="65"/>
    </row>
    <row r="113" spans="1:21" ht="18" x14ac:dyDescent="0.25">
      <c r="A113" s="22" t="s">
        <v>323</v>
      </c>
      <c r="B113" s="123"/>
      <c r="C113" s="29" t="s">
        <v>1</v>
      </c>
      <c r="D113" s="22">
        <v>20.6</v>
      </c>
      <c r="E113" s="22" t="s">
        <v>262</v>
      </c>
      <c r="F113" s="22"/>
      <c r="G113" s="22"/>
      <c r="H113" s="22"/>
      <c r="I113" s="22"/>
      <c r="J113" s="22"/>
      <c r="L113" s="65" t="s">
        <v>323</v>
      </c>
      <c r="M113" s="121"/>
      <c r="N113" s="74" t="s">
        <v>1</v>
      </c>
      <c r="O113" s="115">
        <f>0.177*S36/(M7*1/60)</f>
        <v>20.645845173267325</v>
      </c>
      <c r="P113" s="65" t="s">
        <v>262</v>
      </c>
      <c r="Q113" s="65"/>
      <c r="R113" s="65"/>
      <c r="S113" s="65"/>
      <c r="T113" s="65"/>
      <c r="U113" s="65"/>
    </row>
    <row r="114" spans="1:21" x14ac:dyDescent="0.25">
      <c r="A114" s="22"/>
      <c r="B114" s="123"/>
      <c r="C114" s="123"/>
      <c r="D114" s="22"/>
      <c r="E114" s="22"/>
      <c r="F114" s="22"/>
      <c r="G114" s="22"/>
      <c r="H114" s="22"/>
      <c r="I114" s="22"/>
      <c r="J114" s="22"/>
      <c r="L114" s="65"/>
      <c r="M114" s="121"/>
      <c r="N114" s="121"/>
      <c r="O114" s="65"/>
      <c r="P114" s="65"/>
      <c r="Q114" s="65"/>
      <c r="R114" s="65"/>
      <c r="S114" s="65"/>
      <c r="T114" s="65"/>
      <c r="U114" s="65"/>
    </row>
    <row r="115" spans="1:21" x14ac:dyDescent="0.25">
      <c r="A115" s="22" t="s">
        <v>294</v>
      </c>
      <c r="B115" s="123"/>
      <c r="C115" s="123"/>
      <c r="D115" s="22"/>
      <c r="E115" s="22"/>
      <c r="F115" s="22"/>
      <c r="G115" s="22"/>
      <c r="H115" s="22"/>
      <c r="I115" s="22"/>
      <c r="J115" s="22"/>
      <c r="L115" s="65" t="s">
        <v>294</v>
      </c>
      <c r="M115" s="121"/>
      <c r="N115" s="121"/>
      <c r="O115" s="65"/>
      <c r="P115" s="65"/>
      <c r="Q115" s="65"/>
      <c r="R115" s="65"/>
      <c r="S115" s="65"/>
      <c r="T115" s="65"/>
      <c r="U115" s="65"/>
    </row>
    <row r="116" spans="1:21" ht="16.5" x14ac:dyDescent="0.3">
      <c r="A116" s="26" t="s">
        <v>324</v>
      </c>
      <c r="B116" s="155" t="s">
        <v>1</v>
      </c>
      <c r="C116" s="123" t="s">
        <v>325</v>
      </c>
      <c r="D116" s="155" t="s">
        <v>1</v>
      </c>
      <c r="E116" s="155" t="s">
        <v>326</v>
      </c>
      <c r="F116" s="155" t="s">
        <v>1</v>
      </c>
      <c r="G116" s="153">
        <v>2.8</v>
      </c>
      <c r="H116" s="171" t="s">
        <v>262</v>
      </c>
      <c r="I116" s="22"/>
      <c r="J116" s="22"/>
      <c r="L116" s="70" t="s">
        <v>324</v>
      </c>
      <c r="M116" s="158" t="s">
        <v>1</v>
      </c>
      <c r="N116" s="121" t="s">
        <v>325</v>
      </c>
      <c r="O116" s="158" t="s">
        <v>1</v>
      </c>
      <c r="P116" s="158" t="s">
        <v>326</v>
      </c>
      <c r="Q116" s="158" t="s">
        <v>1</v>
      </c>
      <c r="R116" s="176">
        <v>2.8</v>
      </c>
      <c r="S116" s="149" t="s">
        <v>262</v>
      </c>
      <c r="T116" s="65"/>
      <c r="U116" s="65"/>
    </row>
    <row r="117" spans="1:21" x14ac:dyDescent="0.25">
      <c r="A117" s="26" t="s">
        <v>299</v>
      </c>
      <c r="B117" s="155"/>
      <c r="C117" s="123" t="s">
        <v>296</v>
      </c>
      <c r="D117" s="155"/>
      <c r="E117" s="155"/>
      <c r="F117" s="155"/>
      <c r="G117" s="153"/>
      <c r="H117" s="171"/>
      <c r="I117" s="22"/>
      <c r="J117" s="22"/>
      <c r="L117" s="70" t="s">
        <v>299</v>
      </c>
      <c r="M117" s="158"/>
      <c r="N117" s="121" t="s">
        <v>296</v>
      </c>
      <c r="O117" s="158"/>
      <c r="P117" s="158"/>
      <c r="Q117" s="158"/>
      <c r="R117" s="176"/>
      <c r="S117" s="149"/>
      <c r="T117" s="65"/>
      <c r="U117" s="65"/>
    </row>
    <row r="118" spans="1:21" x14ac:dyDescent="0.25">
      <c r="A118" s="22"/>
      <c r="B118" s="123"/>
      <c r="C118" s="123"/>
      <c r="D118" s="22"/>
      <c r="E118" s="22"/>
      <c r="F118" s="22"/>
      <c r="G118" s="22"/>
      <c r="H118" s="22"/>
      <c r="I118" s="22"/>
      <c r="J118" s="22"/>
      <c r="L118" s="65"/>
      <c r="M118" s="121"/>
      <c r="N118" s="121"/>
      <c r="O118" s="65"/>
      <c r="P118" s="65"/>
      <c r="Q118" s="65"/>
      <c r="R118" s="65"/>
      <c r="S118" s="65"/>
      <c r="T118" s="65"/>
      <c r="U118" s="65"/>
    </row>
    <row r="119" spans="1:21" x14ac:dyDescent="0.25">
      <c r="A119" s="182" t="s">
        <v>327</v>
      </c>
      <c r="B119" s="182"/>
      <c r="C119" s="182"/>
      <c r="D119" s="182"/>
      <c r="E119" s="182"/>
      <c r="F119" s="182"/>
      <c r="G119" s="182"/>
      <c r="H119" s="182"/>
      <c r="I119" s="182"/>
      <c r="J119" s="22"/>
      <c r="L119" s="174" t="s">
        <v>327</v>
      </c>
      <c r="M119" s="174"/>
      <c r="N119" s="174"/>
      <c r="O119" s="174"/>
      <c r="P119" s="174"/>
      <c r="Q119" s="174"/>
      <c r="R119" s="174"/>
      <c r="S119" s="174"/>
      <c r="T119" s="174"/>
      <c r="U119" s="65"/>
    </row>
    <row r="120" spans="1:21" x14ac:dyDescent="0.25">
      <c r="A120" s="182"/>
      <c r="B120" s="182"/>
      <c r="C120" s="182"/>
      <c r="D120" s="182"/>
      <c r="E120" s="182"/>
      <c r="F120" s="182"/>
      <c r="G120" s="182"/>
      <c r="H120" s="182"/>
      <c r="I120" s="182"/>
      <c r="J120" s="22"/>
      <c r="L120" s="174"/>
      <c r="M120" s="174"/>
      <c r="N120" s="174"/>
      <c r="O120" s="174"/>
      <c r="P120" s="174"/>
      <c r="Q120" s="174"/>
      <c r="R120" s="174"/>
      <c r="S120" s="174"/>
      <c r="T120" s="174"/>
      <c r="U120" s="65"/>
    </row>
    <row r="121" spans="1:21" x14ac:dyDescent="0.25">
      <c r="A121" s="22" t="s">
        <v>328</v>
      </c>
      <c r="B121" s="123"/>
      <c r="C121" s="123"/>
      <c r="D121" s="22"/>
      <c r="E121" s="22"/>
      <c r="F121" s="22"/>
      <c r="G121" s="22"/>
      <c r="H121" s="22"/>
      <c r="I121" s="22"/>
      <c r="J121" s="22"/>
      <c r="L121" s="65" t="s">
        <v>328</v>
      </c>
      <c r="M121" s="121"/>
      <c r="N121" s="121"/>
      <c r="O121" s="65"/>
      <c r="P121" s="65"/>
      <c r="Q121" s="65"/>
      <c r="R121" s="65"/>
      <c r="S121" s="65"/>
      <c r="T121" s="65"/>
      <c r="U121" s="65"/>
    </row>
    <row r="122" spans="1:21" ht="18" x14ac:dyDescent="0.25">
      <c r="A122" s="22" t="s">
        <v>329</v>
      </c>
      <c r="B122" s="123"/>
      <c r="C122" s="29"/>
      <c r="D122" s="22">
        <v>8.83</v>
      </c>
      <c r="E122" s="22" t="s">
        <v>262</v>
      </c>
      <c r="F122" s="22"/>
      <c r="G122" s="22"/>
      <c r="H122" s="22"/>
      <c r="I122" s="22"/>
      <c r="J122" s="22"/>
      <c r="L122" s="65" t="s">
        <v>329</v>
      </c>
      <c r="M122" s="121"/>
      <c r="N122" s="74"/>
      <c r="O122" s="63">
        <v>8.83</v>
      </c>
      <c r="P122" s="65" t="s">
        <v>262</v>
      </c>
      <c r="Q122" s="65"/>
      <c r="R122" s="65"/>
      <c r="S122" s="65"/>
      <c r="T122" s="65"/>
      <c r="U122" s="65"/>
    </row>
    <row r="123" spans="1:21" x14ac:dyDescent="0.25">
      <c r="A123" s="22"/>
      <c r="B123" s="123"/>
      <c r="C123" s="123"/>
      <c r="D123" s="22"/>
      <c r="E123" s="22"/>
      <c r="F123" s="22"/>
      <c r="G123" s="22"/>
      <c r="H123" s="22"/>
      <c r="I123" s="22"/>
      <c r="J123" s="22"/>
      <c r="L123" s="65"/>
      <c r="M123" s="121"/>
      <c r="N123" s="121"/>
      <c r="O123" s="65"/>
      <c r="P123" s="65"/>
      <c r="Q123" s="65"/>
      <c r="R123" s="65"/>
      <c r="S123" s="65"/>
      <c r="T123" s="65"/>
      <c r="U123" s="65"/>
    </row>
    <row r="124" spans="1:21" x14ac:dyDescent="0.25">
      <c r="A124" s="22" t="s">
        <v>294</v>
      </c>
      <c r="B124" s="123"/>
      <c r="C124" s="123"/>
      <c r="D124" s="22"/>
      <c r="E124" s="22"/>
      <c r="F124" s="22"/>
      <c r="G124" s="22"/>
      <c r="H124" s="22"/>
      <c r="I124" s="22"/>
      <c r="J124" s="22"/>
      <c r="L124" s="65" t="s">
        <v>294</v>
      </c>
      <c r="M124" s="121"/>
      <c r="N124" s="121"/>
      <c r="O124" s="65"/>
      <c r="P124" s="65"/>
      <c r="Q124" s="65"/>
      <c r="R124" s="65"/>
      <c r="S124" s="65"/>
      <c r="T124" s="65"/>
      <c r="U124" s="65"/>
    </row>
    <row r="125" spans="1:21" ht="16.5" x14ac:dyDescent="0.3">
      <c r="A125" s="26" t="s">
        <v>330</v>
      </c>
      <c r="B125" s="155" t="s">
        <v>1</v>
      </c>
      <c r="C125" s="123" t="s">
        <v>331</v>
      </c>
      <c r="D125" s="155" t="s">
        <v>1</v>
      </c>
      <c r="E125" s="155" t="s">
        <v>332</v>
      </c>
      <c r="F125" s="155" t="s">
        <v>1</v>
      </c>
      <c r="G125" s="153">
        <v>3.9</v>
      </c>
      <c r="H125" s="171" t="s">
        <v>262</v>
      </c>
      <c r="I125" s="22"/>
      <c r="J125" s="22"/>
      <c r="L125" s="70" t="s">
        <v>330</v>
      </c>
      <c r="M125" s="158" t="s">
        <v>1</v>
      </c>
      <c r="N125" s="121" t="s">
        <v>331</v>
      </c>
      <c r="O125" s="158" t="s">
        <v>1</v>
      </c>
      <c r="P125" s="158" t="s">
        <v>332</v>
      </c>
      <c r="Q125" s="158" t="s">
        <v>1</v>
      </c>
      <c r="R125" s="176">
        <v>3.9</v>
      </c>
      <c r="S125" s="149" t="s">
        <v>262</v>
      </c>
      <c r="T125" s="65"/>
      <c r="U125" s="65"/>
    </row>
    <row r="126" spans="1:21" x14ac:dyDescent="0.25">
      <c r="A126" s="26" t="s">
        <v>299</v>
      </c>
      <c r="B126" s="155"/>
      <c r="C126" s="123" t="s">
        <v>296</v>
      </c>
      <c r="D126" s="155"/>
      <c r="E126" s="155"/>
      <c r="F126" s="155"/>
      <c r="G126" s="153"/>
      <c r="H126" s="171"/>
      <c r="I126" s="22"/>
      <c r="J126" s="22"/>
      <c r="L126" s="70" t="s">
        <v>299</v>
      </c>
      <c r="M126" s="158"/>
      <c r="N126" s="121" t="s">
        <v>296</v>
      </c>
      <c r="O126" s="158"/>
      <c r="P126" s="158"/>
      <c r="Q126" s="158"/>
      <c r="R126" s="176"/>
      <c r="S126" s="149"/>
      <c r="T126" s="65"/>
      <c r="U126" s="65"/>
    </row>
    <row r="127" spans="1:21" x14ac:dyDescent="0.25">
      <c r="A127" s="22"/>
      <c r="B127" s="123"/>
      <c r="C127" s="123"/>
      <c r="D127" s="22"/>
      <c r="E127" s="22"/>
      <c r="F127" s="22"/>
      <c r="G127" s="22"/>
      <c r="H127" s="22"/>
      <c r="I127" s="22"/>
      <c r="J127" s="22"/>
      <c r="L127" s="65"/>
      <c r="M127" s="121"/>
      <c r="N127" s="121"/>
      <c r="O127" s="65"/>
      <c r="P127" s="65"/>
      <c r="Q127" s="65"/>
      <c r="R127" s="65"/>
      <c r="S127" s="65"/>
      <c r="T127" s="65"/>
      <c r="U127" s="65"/>
    </row>
    <row r="128" spans="1:21" x14ac:dyDescent="0.25">
      <c r="A128" s="22" t="s">
        <v>333</v>
      </c>
      <c r="B128" s="123"/>
      <c r="C128" s="123"/>
      <c r="D128" s="22"/>
      <c r="E128" s="22"/>
      <c r="F128" s="22"/>
      <c r="G128" s="22"/>
      <c r="H128" s="22"/>
      <c r="I128" s="22"/>
      <c r="J128" s="22"/>
      <c r="L128" s="65" t="s">
        <v>333</v>
      </c>
      <c r="M128" s="121"/>
      <c r="N128" s="121"/>
      <c r="O128" s="65"/>
      <c r="P128" s="65"/>
      <c r="Q128" s="65"/>
      <c r="R128" s="65"/>
      <c r="S128" s="65"/>
      <c r="T128" s="65"/>
      <c r="U128" s="65"/>
    </row>
    <row r="129" spans="1:21" x14ac:dyDescent="0.25">
      <c r="A129" s="22"/>
      <c r="B129" s="123"/>
      <c r="C129" s="123"/>
      <c r="D129" s="22"/>
      <c r="E129" s="22"/>
      <c r="F129" s="22"/>
      <c r="G129" s="22"/>
      <c r="H129" s="22"/>
      <c r="I129" s="22"/>
      <c r="J129" s="22"/>
      <c r="L129" s="65"/>
      <c r="M129" s="121"/>
      <c r="N129" s="121"/>
      <c r="O129" s="65"/>
      <c r="P129" s="65"/>
      <c r="Q129" s="65"/>
      <c r="R129" s="65"/>
      <c r="S129" s="65"/>
      <c r="T129" s="65"/>
      <c r="U129" s="65"/>
    </row>
    <row r="130" spans="1:21" x14ac:dyDescent="0.25">
      <c r="A130" s="22" t="s">
        <v>334</v>
      </c>
      <c r="B130" s="123"/>
      <c r="C130" s="123"/>
      <c r="D130" s="22"/>
      <c r="E130" s="22"/>
      <c r="F130" s="22"/>
      <c r="G130" s="22"/>
      <c r="H130" s="22"/>
      <c r="I130" s="22"/>
      <c r="J130" s="22"/>
      <c r="L130" s="65" t="s">
        <v>334</v>
      </c>
      <c r="M130" s="121"/>
      <c r="N130" s="121"/>
      <c r="O130" s="65"/>
      <c r="P130" s="65"/>
      <c r="Q130" s="65"/>
      <c r="R130" s="65"/>
      <c r="S130" s="65"/>
      <c r="T130" s="65"/>
      <c r="U130" s="65"/>
    </row>
    <row r="131" spans="1:21" x14ac:dyDescent="0.25">
      <c r="A131" s="22"/>
      <c r="B131" s="123"/>
      <c r="C131" s="123"/>
      <c r="D131" s="22"/>
      <c r="E131" s="22"/>
      <c r="F131" s="22"/>
      <c r="G131" s="22"/>
      <c r="H131" s="22"/>
      <c r="I131" s="22"/>
      <c r="J131" s="22"/>
      <c r="L131" s="65"/>
      <c r="M131" s="121"/>
      <c r="N131" s="121"/>
      <c r="O131" s="65"/>
      <c r="P131" s="65"/>
      <c r="Q131" s="65"/>
      <c r="R131" s="65"/>
      <c r="S131" s="65"/>
      <c r="T131" s="65"/>
      <c r="U131" s="65"/>
    </row>
    <row r="132" spans="1:21" x14ac:dyDescent="0.25">
      <c r="A132" s="160" t="s">
        <v>335</v>
      </c>
      <c r="B132" s="160"/>
      <c r="C132" s="160"/>
      <c r="D132" s="160"/>
      <c r="E132" s="160"/>
      <c r="F132" s="160"/>
      <c r="G132" s="160"/>
      <c r="H132" s="160"/>
      <c r="I132" s="160"/>
      <c r="J132" s="22"/>
      <c r="L132" s="165" t="s">
        <v>335</v>
      </c>
      <c r="M132" s="165"/>
      <c r="N132" s="165"/>
      <c r="O132" s="165"/>
      <c r="P132" s="165"/>
      <c r="Q132" s="165"/>
      <c r="R132" s="165"/>
      <c r="S132" s="165"/>
      <c r="T132" s="165"/>
      <c r="U132" s="65"/>
    </row>
    <row r="133" spans="1:21" x14ac:dyDescent="0.25">
      <c r="A133" s="160"/>
      <c r="B133" s="160"/>
      <c r="C133" s="160"/>
      <c r="D133" s="160"/>
      <c r="E133" s="160"/>
      <c r="F133" s="160"/>
      <c r="G133" s="160"/>
      <c r="H133" s="160"/>
      <c r="I133" s="160"/>
      <c r="J133" s="22"/>
      <c r="L133" s="165"/>
      <c r="M133" s="165"/>
      <c r="N133" s="165"/>
      <c r="O133" s="165"/>
      <c r="P133" s="165"/>
      <c r="Q133" s="165"/>
      <c r="R133" s="165"/>
      <c r="S133" s="165"/>
      <c r="T133" s="165"/>
      <c r="U133" s="65"/>
    </row>
    <row r="134" spans="1:21" x14ac:dyDescent="0.25">
      <c r="A134" s="22"/>
      <c r="B134" s="123"/>
      <c r="C134" s="123"/>
      <c r="D134" s="22"/>
      <c r="E134" s="22"/>
      <c r="F134" s="22"/>
      <c r="G134" s="22"/>
      <c r="H134" s="22"/>
      <c r="I134" s="22"/>
      <c r="J134" s="22"/>
      <c r="L134" s="65"/>
      <c r="M134" s="121"/>
      <c r="N134" s="121"/>
      <c r="O134" s="65"/>
      <c r="P134" s="65"/>
      <c r="Q134" s="65"/>
      <c r="R134" s="65"/>
      <c r="S134" s="65"/>
      <c r="T134" s="65"/>
      <c r="U134" s="65"/>
    </row>
    <row r="135" spans="1:21" x14ac:dyDescent="0.25">
      <c r="A135" s="22" t="s">
        <v>336</v>
      </c>
      <c r="B135" s="123"/>
      <c r="C135" s="123"/>
      <c r="D135" s="22"/>
      <c r="E135" s="22"/>
      <c r="F135" s="22"/>
      <c r="G135" s="22"/>
      <c r="H135" s="22"/>
      <c r="I135" s="22"/>
      <c r="J135" s="22"/>
      <c r="L135" s="65" t="s">
        <v>336</v>
      </c>
      <c r="M135" s="121"/>
      <c r="N135" s="121"/>
      <c r="O135" s="65"/>
      <c r="P135" s="65"/>
      <c r="Q135" s="65"/>
      <c r="R135" s="65"/>
      <c r="S135" s="65"/>
      <c r="T135" s="65"/>
      <c r="U135" s="65"/>
    </row>
    <row r="136" spans="1:21" ht="18" x14ac:dyDescent="0.25">
      <c r="A136" s="22" t="s">
        <v>337</v>
      </c>
      <c r="B136" s="123"/>
      <c r="C136" s="29"/>
      <c r="D136" s="22">
        <v>12.6</v>
      </c>
      <c r="E136" s="22" t="s">
        <v>262</v>
      </c>
      <c r="F136" s="22"/>
      <c r="G136" s="22"/>
      <c r="H136" s="22"/>
      <c r="I136" s="22"/>
      <c r="J136" s="22"/>
      <c r="L136" s="65" t="s">
        <v>337</v>
      </c>
      <c r="M136" s="121"/>
      <c r="N136" s="74"/>
      <c r="O136" s="115">
        <f>((0.688-Q45)*S36)/(M6*1/60)</f>
        <v>12.647732822183377</v>
      </c>
      <c r="P136" s="65" t="s">
        <v>262</v>
      </c>
      <c r="Q136" s="65"/>
      <c r="R136" s="65"/>
      <c r="S136" s="65"/>
      <c r="T136" s="65"/>
      <c r="U136" s="65"/>
    </row>
    <row r="137" spans="1:21" x14ac:dyDescent="0.25">
      <c r="A137" s="22"/>
      <c r="B137" s="123"/>
      <c r="C137" s="123"/>
      <c r="D137" s="22"/>
      <c r="E137" s="22"/>
      <c r="F137" s="22"/>
      <c r="G137" s="22"/>
      <c r="H137" s="22"/>
      <c r="I137" s="22"/>
      <c r="J137" s="22"/>
      <c r="L137" s="65"/>
      <c r="M137" s="121"/>
      <c r="N137" s="121"/>
      <c r="O137" s="65"/>
      <c r="P137" s="65"/>
      <c r="Q137" s="65"/>
      <c r="R137" s="65"/>
      <c r="S137" s="65"/>
      <c r="T137" s="65"/>
      <c r="U137" s="65"/>
    </row>
    <row r="138" spans="1:21" x14ac:dyDescent="0.25">
      <c r="A138" s="22" t="s">
        <v>294</v>
      </c>
      <c r="B138" s="123"/>
      <c r="C138" s="123"/>
      <c r="D138" s="22"/>
      <c r="E138" s="22"/>
      <c r="F138" s="22"/>
      <c r="G138" s="22"/>
      <c r="H138" s="22"/>
      <c r="I138" s="22"/>
      <c r="J138" s="22"/>
      <c r="L138" s="65" t="s">
        <v>294</v>
      </c>
      <c r="M138" s="121"/>
      <c r="N138" s="121"/>
      <c r="O138" s="65"/>
      <c r="P138" s="65"/>
      <c r="Q138" s="65"/>
      <c r="R138" s="65"/>
      <c r="S138" s="65"/>
      <c r="T138" s="65"/>
      <c r="U138" s="65"/>
    </row>
    <row r="139" spans="1:21" ht="16.5" x14ac:dyDescent="0.3">
      <c r="A139" s="26" t="s">
        <v>338</v>
      </c>
      <c r="B139" s="155" t="s">
        <v>1</v>
      </c>
      <c r="C139" s="123" t="s">
        <v>339</v>
      </c>
      <c r="D139" s="155" t="s">
        <v>1</v>
      </c>
      <c r="E139" s="155" t="s">
        <v>340</v>
      </c>
      <c r="F139" s="155" t="s">
        <v>1</v>
      </c>
      <c r="G139" s="153">
        <v>5.6</v>
      </c>
      <c r="H139" s="171" t="s">
        <v>262</v>
      </c>
      <c r="I139" s="22"/>
      <c r="J139" s="22"/>
      <c r="L139" s="70" t="s">
        <v>338</v>
      </c>
      <c r="M139" s="158" t="s">
        <v>1</v>
      </c>
      <c r="N139" s="121" t="s">
        <v>339</v>
      </c>
      <c r="O139" s="158" t="s">
        <v>1</v>
      </c>
      <c r="P139" s="158" t="s">
        <v>340</v>
      </c>
      <c r="Q139" s="158" t="s">
        <v>1</v>
      </c>
      <c r="R139" s="175">
        <v>5.6</v>
      </c>
      <c r="S139" s="149" t="s">
        <v>262</v>
      </c>
      <c r="T139" s="65"/>
      <c r="U139" s="65"/>
    </row>
    <row r="140" spans="1:21" x14ac:dyDescent="0.25">
      <c r="A140" s="26" t="s">
        <v>299</v>
      </c>
      <c r="B140" s="155"/>
      <c r="C140" s="123" t="s">
        <v>296</v>
      </c>
      <c r="D140" s="155"/>
      <c r="E140" s="155"/>
      <c r="F140" s="155"/>
      <c r="G140" s="153"/>
      <c r="H140" s="171"/>
      <c r="I140" s="22"/>
      <c r="J140" s="22"/>
      <c r="L140" s="70" t="s">
        <v>299</v>
      </c>
      <c r="M140" s="158"/>
      <c r="N140" s="121" t="s">
        <v>296</v>
      </c>
      <c r="O140" s="158"/>
      <c r="P140" s="158"/>
      <c r="Q140" s="158"/>
      <c r="R140" s="175"/>
      <c r="S140" s="149"/>
      <c r="T140" s="65"/>
      <c r="U140" s="65"/>
    </row>
    <row r="141" spans="1:21" x14ac:dyDescent="0.25">
      <c r="A141" s="22"/>
      <c r="B141" s="123"/>
      <c r="C141" s="123"/>
      <c r="D141" s="22"/>
      <c r="E141" s="22"/>
      <c r="F141" s="22"/>
      <c r="G141" s="22"/>
      <c r="H141" s="22"/>
      <c r="I141" s="22"/>
      <c r="J141" s="22"/>
      <c r="L141" s="65"/>
      <c r="M141" s="121"/>
      <c r="N141" s="121"/>
      <c r="O141" s="65"/>
      <c r="P141" s="65"/>
      <c r="Q141" s="65"/>
      <c r="R141" s="65"/>
      <c r="S141" s="65"/>
      <c r="T141" s="65"/>
      <c r="U141" s="65"/>
    </row>
    <row r="142" spans="1:21" x14ac:dyDescent="0.25">
      <c r="A142" s="22" t="s">
        <v>341</v>
      </c>
      <c r="B142" s="123"/>
      <c r="C142" s="123"/>
      <c r="D142" s="22"/>
      <c r="E142" s="22"/>
      <c r="F142" s="22"/>
      <c r="G142" s="22"/>
      <c r="H142" s="22"/>
      <c r="I142" s="22"/>
      <c r="J142" s="22"/>
      <c r="L142" s="65" t="s">
        <v>341</v>
      </c>
      <c r="M142" s="121"/>
      <c r="N142" s="121"/>
      <c r="O142" s="65"/>
      <c r="P142" s="65"/>
      <c r="Q142" s="65"/>
      <c r="R142" s="65"/>
      <c r="S142" s="65"/>
      <c r="T142" s="65"/>
      <c r="U142" s="65"/>
    </row>
    <row r="143" spans="1:21" x14ac:dyDescent="0.25">
      <c r="A143" s="22"/>
      <c r="B143" s="123"/>
      <c r="C143" s="123"/>
      <c r="D143" s="22"/>
      <c r="E143" s="22"/>
      <c r="F143" s="22"/>
      <c r="G143" s="22"/>
      <c r="H143" s="22"/>
      <c r="I143" s="22"/>
      <c r="J143" s="22"/>
      <c r="L143" s="65"/>
      <c r="M143" s="121"/>
      <c r="N143" s="121"/>
      <c r="O143" s="65"/>
      <c r="P143" s="65"/>
      <c r="Q143" s="65"/>
      <c r="R143" s="65"/>
      <c r="S143" s="65"/>
      <c r="T143" s="65"/>
      <c r="U143" s="65"/>
    </row>
    <row r="144" spans="1:21" x14ac:dyDescent="0.25">
      <c r="A144" s="22" t="s">
        <v>342</v>
      </c>
      <c r="B144" s="123"/>
      <c r="C144" s="123"/>
      <c r="D144" s="22"/>
      <c r="E144" s="22"/>
      <c r="F144" s="22"/>
      <c r="G144" s="22"/>
      <c r="H144" s="22"/>
      <c r="I144" s="22"/>
      <c r="J144" s="22"/>
      <c r="L144" s="65" t="s">
        <v>342</v>
      </c>
      <c r="M144" s="121"/>
      <c r="N144" s="121"/>
      <c r="O144" s="65"/>
      <c r="P144" s="65"/>
      <c r="Q144" s="65"/>
      <c r="R144" s="65"/>
      <c r="S144" s="65"/>
      <c r="T144" s="65"/>
      <c r="U144" s="65"/>
    </row>
    <row r="145" spans="1:21" x14ac:dyDescent="0.25">
      <c r="A145" s="22"/>
      <c r="B145" s="123"/>
      <c r="C145" s="123"/>
      <c r="D145" s="22"/>
      <c r="E145" s="22"/>
      <c r="F145" s="22"/>
      <c r="G145" s="22"/>
      <c r="H145" s="22"/>
      <c r="I145" s="22"/>
      <c r="J145" s="22"/>
      <c r="L145" s="65"/>
      <c r="M145" s="121"/>
      <c r="N145" s="121"/>
      <c r="O145" s="65"/>
      <c r="P145" s="65"/>
      <c r="Q145" s="65"/>
      <c r="R145" s="65"/>
      <c r="S145" s="65"/>
      <c r="T145" s="65"/>
      <c r="U145" s="65"/>
    </row>
    <row r="146" spans="1:21" x14ac:dyDescent="0.25">
      <c r="A146" s="22" t="s">
        <v>344</v>
      </c>
      <c r="B146" s="123"/>
      <c r="C146" s="123"/>
      <c r="D146" s="22"/>
      <c r="E146" s="22">
        <v>5</v>
      </c>
      <c r="F146" s="22" t="s">
        <v>31</v>
      </c>
      <c r="G146" s="22"/>
      <c r="H146" s="22"/>
      <c r="I146" s="22"/>
      <c r="J146" s="22"/>
      <c r="L146" s="65" t="s">
        <v>344</v>
      </c>
      <c r="M146" s="121"/>
      <c r="N146" s="121"/>
      <c r="O146" s="65"/>
      <c r="P146" s="116">
        <f>S34/2</f>
        <v>4.967942466547794</v>
      </c>
      <c r="Q146" s="65" t="s">
        <v>31</v>
      </c>
      <c r="R146" s="65"/>
      <c r="S146" s="65"/>
      <c r="T146" s="65"/>
      <c r="U146" s="65"/>
    </row>
    <row r="147" spans="1:21" x14ac:dyDescent="0.25">
      <c r="A147" s="22"/>
      <c r="B147" s="123"/>
      <c r="C147" s="123"/>
      <c r="D147" s="22"/>
      <c r="E147" s="22"/>
      <c r="F147" s="22"/>
      <c r="G147" s="22"/>
      <c r="H147" s="22"/>
      <c r="I147" s="22"/>
      <c r="J147" s="22"/>
      <c r="L147" s="65"/>
      <c r="M147" s="121"/>
      <c r="N147" s="121"/>
      <c r="O147" s="65"/>
      <c r="P147" s="65"/>
      <c r="Q147" s="65"/>
      <c r="R147" s="65"/>
      <c r="S147" s="65"/>
      <c r="T147" s="65"/>
      <c r="U147" s="65"/>
    </row>
    <row r="148" spans="1:21" x14ac:dyDescent="0.25">
      <c r="A148" s="22" t="s">
        <v>343</v>
      </c>
      <c r="B148" s="123"/>
      <c r="C148" s="123"/>
      <c r="D148" s="22"/>
      <c r="E148" s="22">
        <v>2.5</v>
      </c>
      <c r="F148" s="22" t="s">
        <v>345</v>
      </c>
      <c r="G148" s="22"/>
      <c r="H148" s="22"/>
      <c r="I148" s="22"/>
      <c r="J148" s="22"/>
      <c r="L148" s="65" t="s">
        <v>343</v>
      </c>
      <c r="M148" s="121"/>
      <c r="N148" s="121"/>
      <c r="O148" s="65"/>
      <c r="P148" s="116">
        <f>0.25*S34</f>
        <v>2.483971233273897</v>
      </c>
      <c r="Q148" s="65" t="s">
        <v>345</v>
      </c>
      <c r="R148" s="65"/>
      <c r="S148" s="65"/>
      <c r="T148" s="65"/>
      <c r="U148" s="65"/>
    </row>
    <row r="149" spans="1:21" x14ac:dyDescent="0.25">
      <c r="A149" s="22"/>
      <c r="B149" s="123"/>
      <c r="C149" s="123"/>
      <c r="D149" s="22"/>
      <c r="E149" s="22"/>
      <c r="F149" s="22"/>
      <c r="G149" s="22"/>
      <c r="H149" s="22"/>
      <c r="I149" s="22"/>
      <c r="J149" s="22"/>
      <c r="L149" s="65"/>
      <c r="M149" s="121"/>
      <c r="N149" s="121"/>
      <c r="O149" s="65"/>
      <c r="P149" s="65"/>
      <c r="Q149" s="65"/>
      <c r="R149" s="65"/>
      <c r="S149" s="65"/>
      <c r="T149" s="65"/>
      <c r="U149" s="65"/>
    </row>
    <row r="150" spans="1:21" x14ac:dyDescent="0.25">
      <c r="A150" s="22" t="s">
        <v>346</v>
      </c>
      <c r="B150" s="123"/>
      <c r="C150" s="26">
        <v>37.5</v>
      </c>
      <c r="D150" s="22" t="s">
        <v>31</v>
      </c>
      <c r="E150" s="22"/>
      <c r="F150" s="22"/>
      <c r="G150" s="22"/>
      <c r="H150" s="22"/>
      <c r="I150" s="22"/>
      <c r="J150" s="22"/>
      <c r="L150" s="65" t="s">
        <v>346</v>
      </c>
      <c r="M150" s="121"/>
      <c r="N150" s="94">
        <f>P146+P148+30</f>
        <v>37.451913699821688</v>
      </c>
      <c r="O150" s="65" t="s">
        <v>31</v>
      </c>
      <c r="P150" s="65"/>
      <c r="Q150" s="65"/>
      <c r="R150" s="65"/>
      <c r="S150" s="65"/>
      <c r="T150" s="65"/>
      <c r="U150" s="65"/>
    </row>
    <row r="151" spans="1:21" x14ac:dyDescent="0.25">
      <c r="A151" s="22"/>
      <c r="B151" s="123"/>
      <c r="C151" s="123"/>
      <c r="D151" s="22"/>
      <c r="E151" s="22"/>
      <c r="F151" s="22"/>
      <c r="G151" s="22"/>
      <c r="H151" s="22"/>
      <c r="I151" s="22"/>
      <c r="J151" s="22"/>
      <c r="L151" s="65"/>
      <c r="M151" s="121"/>
      <c r="N151" s="121"/>
      <c r="O151" s="65"/>
      <c r="P151" s="65"/>
      <c r="Q151" s="65"/>
      <c r="R151" s="65"/>
      <c r="S151" s="65"/>
      <c r="T151" s="65"/>
      <c r="U151" s="65"/>
    </row>
    <row r="152" spans="1:21" x14ac:dyDescent="0.25">
      <c r="A152" s="22" t="s">
        <v>347</v>
      </c>
      <c r="B152" s="123"/>
      <c r="C152" s="123"/>
      <c r="D152" s="22"/>
      <c r="E152" s="22"/>
      <c r="F152" s="22"/>
      <c r="G152" s="22"/>
      <c r="H152" s="22"/>
      <c r="I152" s="22"/>
      <c r="J152" s="22"/>
      <c r="L152" s="65" t="s">
        <v>347</v>
      </c>
      <c r="M152" s="121"/>
      <c r="N152" s="121"/>
      <c r="O152" s="65"/>
      <c r="P152" s="65"/>
      <c r="Q152" s="65"/>
      <c r="R152" s="65"/>
      <c r="S152" s="65"/>
      <c r="T152" s="65"/>
      <c r="U152" s="65"/>
    </row>
    <row r="153" spans="1:21" x14ac:dyDescent="0.25">
      <c r="A153" s="22"/>
      <c r="B153" s="123"/>
      <c r="C153" s="123"/>
      <c r="D153" s="22"/>
      <c r="E153" s="22"/>
      <c r="F153" s="22"/>
      <c r="G153" s="22"/>
      <c r="H153" s="22"/>
      <c r="I153" s="22"/>
      <c r="J153" s="22"/>
      <c r="L153" s="65"/>
      <c r="M153" s="121"/>
      <c r="N153" s="121"/>
      <c r="O153" s="65"/>
      <c r="P153" s="65"/>
      <c r="Q153" s="65"/>
      <c r="R153" s="65"/>
      <c r="S153" s="65"/>
      <c r="T153" s="65"/>
      <c r="U153" s="65"/>
    </row>
    <row r="154" spans="1:21" x14ac:dyDescent="0.25">
      <c r="A154" s="182" t="s">
        <v>348</v>
      </c>
      <c r="B154" s="182"/>
      <c r="C154" s="182"/>
      <c r="D154" s="182"/>
      <c r="E154" s="182"/>
      <c r="F154" s="182"/>
      <c r="G154" s="182"/>
      <c r="H154" s="182"/>
      <c r="I154" s="182"/>
      <c r="J154" s="22"/>
      <c r="L154" s="174" t="s">
        <v>348</v>
      </c>
      <c r="M154" s="174"/>
      <c r="N154" s="174"/>
      <c r="O154" s="174"/>
      <c r="P154" s="174"/>
      <c r="Q154" s="174"/>
      <c r="R154" s="174"/>
      <c r="S154" s="174"/>
      <c r="T154" s="174"/>
      <c r="U154" s="65"/>
    </row>
    <row r="155" spans="1:21" x14ac:dyDescent="0.25">
      <c r="A155" s="182"/>
      <c r="B155" s="182"/>
      <c r="C155" s="182"/>
      <c r="D155" s="182"/>
      <c r="E155" s="182"/>
      <c r="F155" s="182"/>
      <c r="G155" s="182"/>
      <c r="H155" s="182"/>
      <c r="I155" s="182"/>
      <c r="J155" s="22"/>
      <c r="L155" s="174"/>
      <c r="M155" s="174"/>
      <c r="N155" s="174"/>
      <c r="O155" s="174"/>
      <c r="P155" s="174"/>
      <c r="Q155" s="174"/>
      <c r="R155" s="174"/>
      <c r="S155" s="174"/>
      <c r="T155" s="174"/>
      <c r="U155" s="65"/>
    </row>
    <row r="156" spans="1:21" x14ac:dyDescent="0.25">
      <c r="A156" s="182"/>
      <c r="B156" s="182"/>
      <c r="C156" s="182"/>
      <c r="D156" s="182"/>
      <c r="E156" s="182"/>
      <c r="F156" s="182"/>
      <c r="G156" s="182"/>
      <c r="H156" s="182"/>
      <c r="I156" s="182"/>
      <c r="J156" s="22"/>
      <c r="L156" s="174"/>
      <c r="M156" s="174"/>
      <c r="N156" s="174"/>
      <c r="O156" s="174"/>
      <c r="P156" s="174"/>
      <c r="Q156" s="174"/>
      <c r="R156" s="174"/>
      <c r="S156" s="174"/>
      <c r="T156" s="174"/>
      <c r="U156" s="65"/>
    </row>
    <row r="157" spans="1:21" x14ac:dyDescent="0.25">
      <c r="A157" s="22" t="s">
        <v>349</v>
      </c>
      <c r="B157" s="123"/>
      <c r="C157" s="123"/>
      <c r="D157" s="22"/>
      <c r="E157" s="22"/>
      <c r="F157" s="22"/>
      <c r="G157" s="22"/>
      <c r="H157" s="22"/>
      <c r="I157" s="22"/>
      <c r="J157" s="22"/>
      <c r="L157" s="65" t="s">
        <v>349</v>
      </c>
      <c r="M157" s="121"/>
      <c r="N157" s="121"/>
      <c r="O157" s="65"/>
      <c r="P157" s="65"/>
      <c r="Q157" s="65"/>
      <c r="R157" s="65"/>
      <c r="S157" s="65"/>
      <c r="T157" s="65"/>
      <c r="U157" s="65"/>
    </row>
    <row r="158" spans="1:21" x14ac:dyDescent="0.25">
      <c r="A158" s="22"/>
      <c r="B158" s="123"/>
      <c r="C158" s="123"/>
      <c r="D158" s="22"/>
      <c r="E158" s="22"/>
      <c r="F158" s="22"/>
      <c r="G158" s="22"/>
      <c r="H158" s="22"/>
      <c r="I158" s="22"/>
      <c r="J158" s="22"/>
      <c r="L158" s="65"/>
      <c r="M158" s="121"/>
      <c r="N158" s="121"/>
      <c r="O158" s="65"/>
      <c r="P158" s="65"/>
      <c r="Q158" s="65"/>
      <c r="R158" s="65"/>
      <c r="S158" s="65"/>
      <c r="T158" s="65"/>
      <c r="U158" s="65"/>
    </row>
    <row r="159" spans="1:21" x14ac:dyDescent="0.25">
      <c r="A159" s="160" t="s">
        <v>350</v>
      </c>
      <c r="B159" s="160"/>
      <c r="C159" s="160"/>
      <c r="D159" s="160"/>
      <c r="E159" s="160"/>
      <c r="F159" s="160"/>
      <c r="G159" s="160"/>
      <c r="H159" s="160"/>
      <c r="I159" s="160"/>
      <c r="J159" s="22"/>
      <c r="L159" s="165" t="s">
        <v>350</v>
      </c>
      <c r="M159" s="165"/>
      <c r="N159" s="165"/>
      <c r="O159" s="165"/>
      <c r="P159" s="165"/>
      <c r="Q159" s="165"/>
      <c r="R159" s="165"/>
      <c r="S159" s="165"/>
      <c r="T159" s="165"/>
      <c r="U159" s="65"/>
    </row>
    <row r="160" spans="1:21" x14ac:dyDescent="0.25">
      <c r="A160" s="160"/>
      <c r="B160" s="160"/>
      <c r="C160" s="160"/>
      <c r="D160" s="160"/>
      <c r="E160" s="160"/>
      <c r="F160" s="160"/>
      <c r="G160" s="160"/>
      <c r="H160" s="160"/>
      <c r="I160" s="160"/>
      <c r="J160" s="22"/>
      <c r="L160" s="165"/>
      <c r="M160" s="165"/>
      <c r="N160" s="165"/>
      <c r="O160" s="165"/>
      <c r="P160" s="165"/>
      <c r="Q160" s="165"/>
      <c r="R160" s="165"/>
      <c r="S160" s="165"/>
      <c r="T160" s="165"/>
      <c r="U160" s="65"/>
    </row>
    <row r="161" spans="1:21" x14ac:dyDescent="0.25">
      <c r="A161" s="22"/>
      <c r="B161" s="123"/>
      <c r="C161" s="123"/>
      <c r="D161" s="22"/>
      <c r="E161" s="22"/>
      <c r="F161" s="22"/>
      <c r="G161" s="22"/>
      <c r="H161" s="22"/>
      <c r="I161" s="22"/>
      <c r="J161" s="22"/>
      <c r="L161" s="65"/>
      <c r="M161" s="121"/>
      <c r="N161" s="121"/>
      <c r="O161" s="65"/>
      <c r="P161" s="65"/>
      <c r="Q161" s="65"/>
      <c r="R161" s="65"/>
      <c r="S161" s="65"/>
      <c r="T161" s="65"/>
      <c r="U161" s="65"/>
    </row>
    <row r="162" spans="1:21" x14ac:dyDescent="0.25">
      <c r="A162" s="22" t="s">
        <v>351</v>
      </c>
      <c r="B162" s="123"/>
      <c r="C162" s="123"/>
      <c r="D162" s="22"/>
      <c r="E162" s="22"/>
      <c r="F162" s="22"/>
      <c r="G162" s="22"/>
      <c r="H162" s="22"/>
      <c r="I162" s="22"/>
      <c r="J162" s="22"/>
      <c r="L162" s="65" t="s">
        <v>351</v>
      </c>
      <c r="M162" s="121"/>
      <c r="N162" s="121"/>
      <c r="O162" s="65"/>
      <c r="P162" s="65"/>
      <c r="Q162" s="65"/>
      <c r="R162" s="65"/>
      <c r="S162" s="65"/>
      <c r="T162" s="65"/>
      <c r="U162" s="65"/>
    </row>
    <row r="163" spans="1:21" x14ac:dyDescent="0.25">
      <c r="A163" s="22"/>
      <c r="B163" s="123"/>
      <c r="C163" s="123"/>
      <c r="D163" s="22"/>
      <c r="E163" s="22"/>
      <c r="F163" s="22"/>
      <c r="G163" s="22"/>
      <c r="H163" s="22"/>
      <c r="I163" s="22"/>
      <c r="J163" s="22"/>
      <c r="L163" s="65"/>
      <c r="M163" s="121"/>
      <c r="N163" s="121"/>
      <c r="O163" s="65"/>
      <c r="P163" s="65"/>
      <c r="Q163" s="65"/>
      <c r="R163" s="65"/>
      <c r="S163" s="65"/>
      <c r="T163" s="65"/>
      <c r="U163" s="65"/>
    </row>
    <row r="164" spans="1:21" x14ac:dyDescent="0.25">
      <c r="A164" s="22" t="s">
        <v>352</v>
      </c>
      <c r="B164" s="123"/>
      <c r="C164" s="123"/>
      <c r="D164" s="22"/>
      <c r="E164" s="22"/>
      <c r="F164" s="22"/>
      <c r="G164" s="22"/>
      <c r="H164" s="22"/>
      <c r="I164" s="22"/>
      <c r="J164" s="22"/>
      <c r="L164" s="65" t="s">
        <v>352</v>
      </c>
      <c r="M164" s="121"/>
      <c r="N164" s="121"/>
      <c r="O164" s="65"/>
      <c r="P164" s="65"/>
      <c r="Q164" s="65"/>
      <c r="R164" s="65"/>
      <c r="S164" s="65"/>
      <c r="T164" s="65"/>
      <c r="U164" s="65"/>
    </row>
    <row r="165" spans="1:21" x14ac:dyDescent="0.25">
      <c r="A165" s="26" t="s">
        <v>353</v>
      </c>
      <c r="B165" s="123" t="s">
        <v>363</v>
      </c>
      <c r="C165" s="123"/>
      <c r="D165" s="22"/>
      <c r="E165" s="22"/>
      <c r="F165" s="22"/>
      <c r="G165" s="22"/>
      <c r="H165" s="22"/>
      <c r="I165" s="22"/>
      <c r="J165" s="22"/>
      <c r="L165" s="70" t="s">
        <v>353</v>
      </c>
      <c r="M165" s="121" t="s">
        <v>363</v>
      </c>
      <c r="N165" s="121"/>
      <c r="O165" s="65"/>
      <c r="P165" s="65"/>
      <c r="Q165" s="65"/>
      <c r="R165" s="65"/>
      <c r="S165" s="65"/>
      <c r="T165" s="65"/>
      <c r="U165" s="65"/>
    </row>
    <row r="166" spans="1:21" x14ac:dyDescent="0.25">
      <c r="A166" s="26" t="s">
        <v>354</v>
      </c>
      <c r="B166" s="123" t="s">
        <v>364</v>
      </c>
      <c r="C166" s="123"/>
      <c r="D166" s="22"/>
      <c r="E166" s="22"/>
      <c r="F166" s="22"/>
      <c r="G166" s="22"/>
      <c r="H166" s="22"/>
      <c r="I166" s="22"/>
      <c r="J166" s="22"/>
      <c r="L166" s="70" t="s">
        <v>354</v>
      </c>
      <c r="M166" s="121" t="s">
        <v>364</v>
      </c>
      <c r="N166" s="121"/>
      <c r="O166" s="65"/>
      <c r="P166" s="65"/>
      <c r="Q166" s="65"/>
      <c r="R166" s="65"/>
      <c r="S166" s="65"/>
      <c r="T166" s="65"/>
      <c r="U166" s="65"/>
    </row>
    <row r="167" spans="1:21" x14ac:dyDescent="0.25">
      <c r="A167" s="26" t="s">
        <v>357</v>
      </c>
      <c r="B167" s="123" t="s">
        <v>365</v>
      </c>
      <c r="C167" s="123"/>
      <c r="D167" s="22"/>
      <c r="E167" s="22"/>
      <c r="F167" s="22"/>
      <c r="G167" s="22"/>
      <c r="H167" s="22"/>
      <c r="I167" s="22"/>
      <c r="J167" s="22"/>
      <c r="L167" s="70" t="s">
        <v>357</v>
      </c>
      <c r="M167" s="121" t="s">
        <v>365</v>
      </c>
      <c r="N167" s="121"/>
      <c r="O167" s="65"/>
      <c r="P167" s="65"/>
      <c r="Q167" s="65"/>
      <c r="R167" s="65"/>
      <c r="S167" s="65"/>
      <c r="T167" s="65"/>
      <c r="U167" s="65"/>
    </row>
    <row r="168" spans="1:21" x14ac:dyDescent="0.25">
      <c r="A168" s="26" t="s">
        <v>358</v>
      </c>
      <c r="B168" s="123" t="s">
        <v>366</v>
      </c>
      <c r="C168" s="123"/>
      <c r="D168" s="22"/>
      <c r="E168" s="22"/>
      <c r="F168" s="22"/>
      <c r="G168" s="22"/>
      <c r="H168" s="22"/>
      <c r="I168" s="22"/>
      <c r="J168" s="22"/>
      <c r="L168" s="70" t="s">
        <v>358</v>
      </c>
      <c r="M168" s="121" t="s">
        <v>366</v>
      </c>
      <c r="N168" s="121"/>
      <c r="O168" s="65"/>
      <c r="P168" s="65"/>
      <c r="Q168" s="65"/>
      <c r="R168" s="65"/>
      <c r="S168" s="65"/>
      <c r="T168" s="65"/>
      <c r="U168" s="65"/>
    </row>
    <row r="169" spans="1:21" x14ac:dyDescent="0.25">
      <c r="A169" s="26" t="s">
        <v>359</v>
      </c>
      <c r="B169" s="123" t="s">
        <v>367</v>
      </c>
      <c r="C169" s="123"/>
      <c r="D169" s="22"/>
      <c r="E169" s="22"/>
      <c r="F169" s="22"/>
      <c r="G169" s="22"/>
      <c r="H169" s="22"/>
      <c r="I169" s="22"/>
      <c r="J169" s="22"/>
      <c r="L169" s="70" t="s">
        <v>359</v>
      </c>
      <c r="M169" s="121" t="s">
        <v>367</v>
      </c>
      <c r="N169" s="121"/>
      <c r="O169" s="65"/>
      <c r="P169" s="65"/>
      <c r="Q169" s="65"/>
      <c r="R169" s="65"/>
      <c r="S169" s="65"/>
      <c r="T169" s="65"/>
      <c r="U169" s="65"/>
    </row>
    <row r="170" spans="1:21" x14ac:dyDescent="0.25">
      <c r="A170" s="26" t="s">
        <v>360</v>
      </c>
      <c r="B170" s="123" t="s">
        <v>368</v>
      </c>
      <c r="C170" s="123"/>
      <c r="D170" s="22"/>
      <c r="E170" s="22"/>
      <c r="F170" s="22"/>
      <c r="G170" s="22"/>
      <c r="H170" s="22"/>
      <c r="I170" s="22"/>
      <c r="J170" s="22"/>
      <c r="L170" s="70" t="s">
        <v>360</v>
      </c>
      <c r="M170" s="121" t="s">
        <v>368</v>
      </c>
      <c r="N170" s="121"/>
      <c r="O170" s="65"/>
      <c r="P170" s="65"/>
      <c r="Q170" s="65"/>
      <c r="R170" s="65"/>
      <c r="S170" s="65"/>
      <c r="T170" s="65"/>
      <c r="U170" s="65"/>
    </row>
    <row r="171" spans="1:21" x14ac:dyDescent="0.25">
      <c r="A171" s="26" t="s">
        <v>361</v>
      </c>
      <c r="B171" s="123" t="s">
        <v>369</v>
      </c>
      <c r="C171" s="123"/>
      <c r="D171" s="22"/>
      <c r="E171" s="22"/>
      <c r="F171" s="22"/>
      <c r="G171" s="22"/>
      <c r="H171" s="22"/>
      <c r="I171" s="22"/>
      <c r="J171" s="22"/>
      <c r="L171" s="70" t="s">
        <v>361</v>
      </c>
      <c r="M171" s="121" t="s">
        <v>369</v>
      </c>
      <c r="N171" s="121"/>
      <c r="O171" s="65"/>
      <c r="P171" s="65"/>
      <c r="Q171" s="65"/>
      <c r="R171" s="65"/>
      <c r="S171" s="65"/>
      <c r="T171" s="65"/>
      <c r="U171" s="65"/>
    </row>
    <row r="172" spans="1:21" x14ac:dyDescent="0.25">
      <c r="A172" s="26" t="s">
        <v>362</v>
      </c>
      <c r="B172" s="123" t="s">
        <v>370</v>
      </c>
      <c r="C172" s="123"/>
      <c r="D172" s="22"/>
      <c r="E172" s="22"/>
      <c r="F172" s="22"/>
      <c r="G172" s="22"/>
      <c r="H172" s="22"/>
      <c r="I172" s="22"/>
      <c r="J172" s="22"/>
      <c r="L172" s="70" t="s">
        <v>362</v>
      </c>
      <c r="M172" s="121" t="s">
        <v>370</v>
      </c>
      <c r="N172" s="121"/>
      <c r="O172" s="65"/>
      <c r="P172" s="65"/>
      <c r="Q172" s="65"/>
      <c r="R172" s="65"/>
      <c r="S172" s="65"/>
      <c r="T172" s="65"/>
      <c r="U172" s="65"/>
    </row>
    <row r="173" spans="1:21" x14ac:dyDescent="0.25">
      <c r="A173" s="22"/>
      <c r="B173" s="123"/>
      <c r="C173" s="123"/>
      <c r="D173" s="22"/>
      <c r="E173" s="22"/>
      <c r="F173" s="22"/>
      <c r="G173" s="22"/>
      <c r="H173" s="22"/>
      <c r="I173" s="22"/>
      <c r="J173" s="22"/>
      <c r="L173" s="65"/>
      <c r="M173" s="121"/>
      <c r="N173" s="121"/>
      <c r="O173" s="65"/>
      <c r="P173" s="65"/>
      <c r="Q173" s="65"/>
      <c r="R173" s="65"/>
      <c r="S173" s="65"/>
      <c r="T173" s="65"/>
      <c r="U173" s="65"/>
    </row>
    <row r="174" spans="1:21" x14ac:dyDescent="0.25">
      <c r="A174" s="160" t="s">
        <v>355</v>
      </c>
      <c r="B174" s="160"/>
      <c r="C174" s="160"/>
      <c r="D174" s="160"/>
      <c r="E174" s="160"/>
      <c r="F174" s="160"/>
      <c r="G174" s="160"/>
      <c r="H174" s="160"/>
      <c r="I174" s="160"/>
      <c r="J174" s="22"/>
      <c r="L174" s="165" t="s">
        <v>355</v>
      </c>
      <c r="M174" s="165"/>
      <c r="N174" s="165"/>
      <c r="O174" s="165"/>
      <c r="P174" s="165"/>
      <c r="Q174" s="165"/>
      <c r="R174" s="165"/>
      <c r="S174" s="165"/>
      <c r="T174" s="165"/>
      <c r="U174" s="65"/>
    </row>
    <row r="175" spans="1:21" x14ac:dyDescent="0.25">
      <c r="A175" s="160"/>
      <c r="B175" s="160"/>
      <c r="C175" s="160"/>
      <c r="D175" s="160"/>
      <c r="E175" s="160"/>
      <c r="F175" s="160"/>
      <c r="G175" s="160"/>
      <c r="H175" s="160"/>
      <c r="I175" s="160"/>
      <c r="J175" s="22"/>
      <c r="L175" s="165"/>
      <c r="M175" s="165"/>
      <c r="N175" s="165"/>
      <c r="O175" s="165"/>
      <c r="P175" s="165"/>
      <c r="Q175" s="165"/>
      <c r="R175" s="165"/>
      <c r="S175" s="165"/>
      <c r="T175" s="165"/>
      <c r="U175" s="65"/>
    </row>
    <row r="176" spans="1:21" x14ac:dyDescent="0.25">
      <c r="A176" s="22"/>
      <c r="B176" s="123"/>
      <c r="C176" s="123"/>
      <c r="D176" s="22"/>
      <c r="E176" s="22"/>
      <c r="F176" s="22"/>
      <c r="G176" s="22"/>
      <c r="H176" s="22"/>
      <c r="I176" s="22"/>
      <c r="J176" s="22"/>
      <c r="L176" s="65"/>
      <c r="M176" s="121"/>
      <c r="N176" s="121"/>
      <c r="O176" s="65"/>
      <c r="P176" s="65"/>
      <c r="Q176" s="65"/>
      <c r="R176" s="65"/>
      <c r="S176" s="65"/>
      <c r="T176" s="65"/>
      <c r="U176" s="65"/>
    </row>
    <row r="177" spans="1:21" x14ac:dyDescent="0.25">
      <c r="A177" s="160" t="s">
        <v>356</v>
      </c>
      <c r="B177" s="160"/>
      <c r="C177" s="160"/>
      <c r="D177" s="160"/>
      <c r="E177" s="160"/>
      <c r="F177" s="160"/>
      <c r="G177" s="160"/>
      <c r="H177" s="160"/>
      <c r="I177" s="160"/>
      <c r="J177" s="22"/>
      <c r="L177" s="165" t="s">
        <v>356</v>
      </c>
      <c r="M177" s="165"/>
      <c r="N177" s="165"/>
      <c r="O177" s="165"/>
      <c r="P177" s="165"/>
      <c r="Q177" s="165"/>
      <c r="R177" s="165"/>
      <c r="S177" s="165"/>
      <c r="T177" s="165"/>
      <c r="U177" s="65"/>
    </row>
    <row r="178" spans="1:21" x14ac:dyDescent="0.25">
      <c r="A178" s="160"/>
      <c r="B178" s="160"/>
      <c r="C178" s="160"/>
      <c r="D178" s="160"/>
      <c r="E178" s="160"/>
      <c r="F178" s="160"/>
      <c r="G178" s="160"/>
      <c r="H178" s="160"/>
      <c r="I178" s="160"/>
      <c r="J178" s="22"/>
      <c r="L178" s="165"/>
      <c r="M178" s="165"/>
      <c r="N178" s="165"/>
      <c r="O178" s="165"/>
      <c r="P178" s="165"/>
      <c r="Q178" s="165"/>
      <c r="R178" s="165"/>
      <c r="S178" s="165"/>
      <c r="T178" s="165"/>
      <c r="U178" s="65"/>
    </row>
    <row r="179" spans="1:21" x14ac:dyDescent="0.25">
      <c r="A179" s="160"/>
      <c r="B179" s="160"/>
      <c r="C179" s="160"/>
      <c r="D179" s="160"/>
      <c r="E179" s="160"/>
      <c r="F179" s="160"/>
      <c r="G179" s="160"/>
      <c r="H179" s="160"/>
      <c r="I179" s="160"/>
      <c r="J179" s="22"/>
      <c r="L179" s="165"/>
      <c r="M179" s="165"/>
      <c r="N179" s="165"/>
      <c r="O179" s="165"/>
      <c r="P179" s="165"/>
      <c r="Q179" s="165"/>
      <c r="R179" s="165"/>
      <c r="S179" s="165"/>
      <c r="T179" s="165"/>
      <c r="U179" s="65"/>
    </row>
    <row r="180" spans="1:21" x14ac:dyDescent="0.25">
      <c r="A180" s="22"/>
      <c r="B180" s="123"/>
      <c r="C180" s="123"/>
      <c r="D180" s="22"/>
      <c r="E180" s="22"/>
      <c r="F180" s="22"/>
      <c r="G180" s="22"/>
      <c r="H180" s="22"/>
      <c r="I180" s="22"/>
      <c r="J180" s="22"/>
      <c r="L180" s="65"/>
      <c r="M180" s="121"/>
      <c r="N180" s="121"/>
      <c r="O180" s="65"/>
      <c r="P180" s="65"/>
      <c r="Q180" s="65"/>
      <c r="R180" s="65"/>
      <c r="S180" s="65"/>
      <c r="T180" s="65"/>
      <c r="U180" s="65"/>
    </row>
    <row r="182" spans="1:21" x14ac:dyDescent="0.25">
      <c r="A182" s="118" t="s">
        <v>493</v>
      </c>
    </row>
    <row r="183" spans="1:21" x14ac:dyDescent="0.25">
      <c r="A183" s="118" t="s">
        <v>494</v>
      </c>
    </row>
    <row r="184" spans="1:21" x14ac:dyDescent="0.25">
      <c r="A184" s="118" t="s">
        <v>495</v>
      </c>
    </row>
    <row r="185" spans="1:21" x14ac:dyDescent="0.25">
      <c r="A185" s="118" t="s">
        <v>496</v>
      </c>
    </row>
    <row r="186" spans="1:21" x14ac:dyDescent="0.25">
      <c r="A186" s="118" t="s">
        <v>497</v>
      </c>
    </row>
  </sheetData>
  <sheetProtection password="F030" sheet="1" objects="1" scenarios="1" selectLockedCells="1"/>
  <mergeCells count="94">
    <mergeCell ref="A154:I156"/>
    <mergeCell ref="A174:I175"/>
    <mergeCell ref="A177:I179"/>
    <mergeCell ref="A132:I133"/>
    <mergeCell ref="B139:B140"/>
    <mergeCell ref="D139:D140"/>
    <mergeCell ref="E139:E140"/>
    <mergeCell ref="F139:F140"/>
    <mergeCell ref="G139:G140"/>
    <mergeCell ref="H139:H140"/>
    <mergeCell ref="A159:I160"/>
    <mergeCell ref="H116:H117"/>
    <mergeCell ref="A119:I120"/>
    <mergeCell ref="B125:B126"/>
    <mergeCell ref="D125:D126"/>
    <mergeCell ref="E125:E126"/>
    <mergeCell ref="F125:F126"/>
    <mergeCell ref="G125:G126"/>
    <mergeCell ref="H125:H126"/>
    <mergeCell ref="B116:B117"/>
    <mergeCell ref="D116:D117"/>
    <mergeCell ref="E116:E117"/>
    <mergeCell ref="F116:F117"/>
    <mergeCell ref="G116:G117"/>
    <mergeCell ref="E105:E106"/>
    <mergeCell ref="F105:F106"/>
    <mergeCell ref="G105:G106"/>
    <mergeCell ref="H70:H71"/>
    <mergeCell ref="I70:I71"/>
    <mergeCell ref="A73:I74"/>
    <mergeCell ref="A82:I83"/>
    <mergeCell ref="A97:I98"/>
    <mergeCell ref="B70:B71"/>
    <mergeCell ref="D70:D71"/>
    <mergeCell ref="E70:E71"/>
    <mergeCell ref="F70:F71"/>
    <mergeCell ref="G70:G71"/>
    <mergeCell ref="H105:H106"/>
    <mergeCell ref="B105:B106"/>
    <mergeCell ref="D105:D106"/>
    <mergeCell ref="A1:G1"/>
    <mergeCell ref="L1:R1"/>
    <mergeCell ref="A21:C21"/>
    <mergeCell ref="L21:N21"/>
    <mergeCell ref="A41:I43"/>
    <mergeCell ref="A24:G25"/>
    <mergeCell ref="A22:I23"/>
    <mergeCell ref="A26:I28"/>
    <mergeCell ref="A57:I58"/>
    <mergeCell ref="L22:T23"/>
    <mergeCell ref="L24:R25"/>
    <mergeCell ref="L26:T28"/>
    <mergeCell ref="L41:T43"/>
    <mergeCell ref="L57:T58"/>
    <mergeCell ref="S70:S71"/>
    <mergeCell ref="T70:T71"/>
    <mergeCell ref="L73:T74"/>
    <mergeCell ref="L82:T83"/>
    <mergeCell ref="L97:T98"/>
    <mergeCell ref="M70:M71"/>
    <mergeCell ref="O70:O71"/>
    <mergeCell ref="P70:P71"/>
    <mergeCell ref="Q70:Q71"/>
    <mergeCell ref="R70:R71"/>
    <mergeCell ref="S105:S106"/>
    <mergeCell ref="M116:M117"/>
    <mergeCell ref="O116:O117"/>
    <mergeCell ref="P116:P117"/>
    <mergeCell ref="Q116:Q117"/>
    <mergeCell ref="R116:R117"/>
    <mergeCell ref="S116:S117"/>
    <mergeCell ref="M105:M106"/>
    <mergeCell ref="O105:O106"/>
    <mergeCell ref="P105:P106"/>
    <mergeCell ref="Q105:Q106"/>
    <mergeCell ref="R105:R106"/>
    <mergeCell ref="L119:T120"/>
    <mergeCell ref="M125:M126"/>
    <mergeCell ref="O125:O126"/>
    <mergeCell ref="P125:P126"/>
    <mergeCell ref="Q125:Q126"/>
    <mergeCell ref="R125:R126"/>
    <mergeCell ref="S125:S126"/>
    <mergeCell ref="L154:T156"/>
    <mergeCell ref="L159:T160"/>
    <mergeCell ref="L174:T175"/>
    <mergeCell ref="L177:T179"/>
    <mergeCell ref="L132:T133"/>
    <mergeCell ref="M139:M140"/>
    <mergeCell ref="O139:O140"/>
    <mergeCell ref="P139:P140"/>
    <mergeCell ref="Q139:Q140"/>
    <mergeCell ref="R139:R140"/>
    <mergeCell ref="S139:S140"/>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FIG. 7-1 Nomenclature</vt:lpstr>
      <vt:lpstr>Example 7-1</vt:lpstr>
      <vt:lpstr>Example 7-2</vt:lpstr>
      <vt:lpstr>Example 7-3</vt:lpstr>
      <vt:lpstr>Example 7-4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Pearson, Herb</dc:creator>
  <cp:keywords>ᅟ</cp:keywords>
  <cp:lastModifiedBy>Windows User</cp:lastModifiedBy>
  <cp:lastPrinted>2008-10-21T15:49:29Z</cp:lastPrinted>
  <dcterms:created xsi:type="dcterms:W3CDTF">2008-10-20T17:40:35Z</dcterms:created>
  <dcterms:modified xsi:type="dcterms:W3CDTF">2016-02-24T22:00:28Z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90710ac1-c51a-41dd-98bd-8f8dee9b7dcd</vt:lpwstr>
  </property>
  <property fmtid="{D5CDD505-2E9C-101B-9397-08002B2CF9AE}" pid="3" name="Classification">
    <vt:lpwstr>NotClassified</vt:lpwstr>
  </property>
  <property fmtid="{D5CDD505-2E9C-101B-9397-08002B2CF9AE}" pid="4" name="ShowVisibleMarkings">
    <vt:lpwstr>Y</vt:lpwstr>
  </property>
  <property fmtid="{D5CDD505-2E9C-101B-9397-08002B2CF9AE}" pid="5" name="DocMarkingOptions">
    <vt:lpwstr>F</vt:lpwstr>
  </property>
  <property fmtid="{D5CDD505-2E9C-101B-9397-08002B2CF9AE}" pid="6" name="FooterPosition">
    <vt:lpwstr>C</vt:lpwstr>
  </property>
</Properties>
</file>