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5" windowWidth="14175" windowHeight="5325" activeTab="1"/>
  </bookViews>
  <sheets>
    <sheet name="Nomenclature" sheetId="7" r:id="rId1"/>
    <sheet name="Ex 9-1" sheetId="1" r:id="rId2"/>
    <sheet name="Ex 9-2" sheetId="3" r:id="rId3"/>
    <sheet name="Ex 9-3" sheetId="4" r:id="rId4"/>
    <sheet name="Ex 9-4" sheetId="6" r:id="rId5"/>
    <sheet name="Figures" sheetId="5" r:id="rId6"/>
  </sheets>
  <calcPr calcId="145621"/>
</workbook>
</file>

<file path=xl/calcChain.xml><?xml version="1.0" encoding="utf-8"?>
<calcChain xmlns="http://schemas.openxmlformats.org/spreadsheetml/2006/main">
  <c r="E18" i="6" l="1"/>
  <c r="E44" i="6" s="1"/>
  <c r="E45" i="6" s="1"/>
  <c r="N18" i="6"/>
  <c r="N44" i="6" s="1"/>
  <c r="N45" i="6" s="1"/>
  <c r="E29" i="6"/>
  <c r="N29" i="6"/>
  <c r="E30" i="6"/>
  <c r="N30" i="6"/>
  <c r="E31" i="6"/>
  <c r="N31" i="6"/>
  <c r="E33" i="6"/>
  <c r="N33" i="6"/>
  <c r="E37" i="6"/>
  <c r="N37" i="6"/>
  <c r="N39" i="6" s="1"/>
  <c r="N46" i="6" s="1"/>
  <c r="E39" i="6"/>
  <c r="E46" i="6" s="1"/>
  <c r="E48" i="6"/>
  <c r="N48" i="6"/>
  <c r="E51" i="6"/>
  <c r="N51" i="6"/>
  <c r="E13" i="4"/>
  <c r="E15" i="4" s="1"/>
  <c r="E17" i="4" s="1"/>
  <c r="E19" i="4" s="1"/>
  <c r="E21" i="4" s="1"/>
  <c r="L13" i="4"/>
  <c r="L15" i="4" s="1"/>
  <c r="L17" i="4" s="1"/>
  <c r="L19" i="4" s="1"/>
  <c r="L21" i="4" s="1"/>
  <c r="B22" i="3"/>
  <c r="H22" i="3"/>
  <c r="B30" i="3"/>
  <c r="B41" i="3" s="1"/>
  <c r="H30" i="3"/>
  <c r="H49" i="3" s="1"/>
  <c r="B33" i="3"/>
  <c r="B25" i="3" s="1"/>
  <c r="B40" i="3"/>
  <c r="B42" i="3"/>
  <c r="H42" i="3"/>
  <c r="B49" i="3"/>
  <c r="J6" i="1"/>
  <c r="W6" i="1"/>
  <c r="J7" i="1"/>
  <c r="J9" i="1" s="1"/>
  <c r="W7" i="1"/>
  <c r="J12" i="1"/>
  <c r="J16" i="1" s="1"/>
  <c r="W12" i="1"/>
  <c r="W16" i="1" s="1"/>
  <c r="C15" i="1"/>
  <c r="E15" i="1"/>
  <c r="Q15" i="1"/>
  <c r="S15" i="1"/>
  <c r="H21" i="1"/>
  <c r="H22" i="1" s="1"/>
  <c r="V21" i="1"/>
  <c r="V22" i="1"/>
  <c r="H24" i="1"/>
  <c r="H32" i="1" s="1"/>
  <c r="H36" i="1" s="1"/>
  <c r="V24" i="1"/>
  <c r="B32" i="1"/>
  <c r="B33" i="1" s="1"/>
  <c r="B34" i="1" s="1"/>
  <c r="H27" i="1" s="1"/>
  <c r="H28" i="1" s="1"/>
  <c r="P32" i="1"/>
  <c r="V66" i="1" s="1"/>
  <c r="H40" i="1"/>
  <c r="V40" i="1"/>
  <c r="H50" i="1"/>
  <c r="H53" i="1" s="1"/>
  <c r="H56" i="1" s="1"/>
  <c r="V50" i="1"/>
  <c r="V53" i="1"/>
  <c r="V56" i="1" s="1"/>
  <c r="V59" i="1"/>
  <c r="V62" i="1" s="1"/>
  <c r="H66" i="1" l="1"/>
  <c r="H70" i="1" s="1"/>
  <c r="H72" i="1" s="1"/>
  <c r="W9" i="1"/>
  <c r="P33" i="1"/>
  <c r="H59" i="1"/>
  <c r="H62" i="1" s="1"/>
  <c r="H42" i="1"/>
  <c r="H44" i="1" s="1"/>
  <c r="H46" i="1" s="1"/>
  <c r="B50" i="3"/>
  <c r="B55" i="3" s="1"/>
  <c r="B56" i="3" s="1"/>
  <c r="B46" i="3"/>
  <c r="B47" i="3" s="1"/>
  <c r="H33" i="3"/>
  <c r="N52" i="6"/>
  <c r="N49" i="6"/>
  <c r="V42" i="1"/>
  <c r="V44" i="1" s="1"/>
  <c r="V46" i="1" s="1"/>
  <c r="H41" i="3"/>
  <c r="H50" i="3" s="1"/>
  <c r="H55" i="3" s="1"/>
  <c r="H56" i="3" s="1"/>
  <c r="V32" i="1"/>
  <c r="V36" i="1" s="1"/>
  <c r="V70" i="1" s="1"/>
  <c r="V72" i="1" s="1"/>
  <c r="H40" i="3"/>
  <c r="E52" i="6"/>
  <c r="E49" i="6"/>
  <c r="V28" i="1" l="1"/>
  <c r="P34" i="1"/>
  <c r="V27" i="1" s="1"/>
  <c r="B51" i="3"/>
  <c r="B52" i="3" s="1"/>
  <c r="H51" i="3"/>
  <c r="H52" i="3" s="1"/>
  <c r="H46" i="3"/>
  <c r="H47" i="3" s="1"/>
  <c r="H58" i="3" s="1"/>
  <c r="H25" i="3"/>
  <c r="B58" i="3"/>
</calcChain>
</file>

<file path=xl/sharedStrings.xml><?xml version="1.0" encoding="utf-8"?>
<sst xmlns="http://schemas.openxmlformats.org/spreadsheetml/2006/main" count="702" uniqueCount="256">
  <si>
    <t>Fluid Allocation</t>
  </si>
  <si>
    <t>Lean oil</t>
  </si>
  <si>
    <t>Rich oil</t>
  </si>
  <si>
    <t>Name</t>
  </si>
  <si>
    <t>Shell side</t>
  </si>
  <si>
    <t>Tube side</t>
  </si>
  <si>
    <t>Liquid</t>
  </si>
  <si>
    <t>Steam</t>
  </si>
  <si>
    <t>Water</t>
  </si>
  <si>
    <t>Noncondensible</t>
  </si>
  <si>
    <t>Vapor (in/out)</t>
  </si>
  <si>
    <t>Density (#/cf) avg.</t>
  </si>
  <si>
    <t>Viscosity, liquid cP</t>
  </si>
  <si>
    <t>Cp, btu/lb-degF</t>
  </si>
  <si>
    <t>Therm conduct. Btu-ft/hr-sqft-degF</t>
  </si>
  <si>
    <t>Inlet press, psia</t>
  </si>
  <si>
    <t>Press drop (allowable/calc)</t>
  </si>
  <si>
    <t>Heat exchanged, btu/hr</t>
  </si>
  <si>
    <t>MTD, corrected, degF</t>
  </si>
  <si>
    <t>Fluid Quantity, lb/hr</t>
  </si>
  <si>
    <t>Temp, degF (in/out)</t>
  </si>
  <si>
    <t>12 / 9.58</t>
  </si>
  <si>
    <t>10 / 0.51</t>
  </si>
  <si>
    <t>Transfer rate, service/clean</t>
  </si>
  <si>
    <t>100.6 / 148.4</t>
  </si>
  <si>
    <t>btuh</t>
  </si>
  <si>
    <t>LMTD</t>
  </si>
  <si>
    <t>U</t>
  </si>
  <si>
    <t>Surface area, sqft</t>
  </si>
  <si>
    <t>degF</t>
  </si>
  <si>
    <t>btu/hr-sqft-degF</t>
  </si>
  <si>
    <t>No. tubes</t>
  </si>
  <si>
    <t>Tube OD, in</t>
  </si>
  <si>
    <t>Tube wall, in</t>
  </si>
  <si>
    <t>Tube length, ft</t>
  </si>
  <si>
    <t>Total tube side cross sectional area</t>
  </si>
  <si>
    <t>sq.in.</t>
  </si>
  <si>
    <t>lb/(sqft-sec)</t>
  </si>
  <si>
    <t>Viscosity, lbm/ft-sec</t>
  </si>
  <si>
    <t>sq.ft.</t>
  </si>
  <si>
    <t>Tube ID, in</t>
  </si>
  <si>
    <t>Tube ID, ft</t>
  </si>
  <si>
    <t>Single Tube inside area, ft</t>
  </si>
  <si>
    <t>Reynolds Number Calculation</t>
  </si>
  <si>
    <t>Re turbulent</t>
  </si>
  <si>
    <t>Velocity, ft/sec-tube</t>
  </si>
  <si>
    <t>(hr-sqft-degF)/btu</t>
  </si>
  <si>
    <t>Pressure drop, psi/ft</t>
  </si>
  <si>
    <t>Pressure drop factor, f, Eq 9-14</t>
  </si>
  <si>
    <t>Pressure drop for 30 ft tube</t>
  </si>
  <si>
    <t>psi/ft</t>
  </si>
  <si>
    <t>lb/sqft-sec</t>
  </si>
  <si>
    <t>Calculate f from base values in Fig 9-11 and spec sheet data.</t>
  </si>
  <si>
    <t>Calculate f</t>
  </si>
  <si>
    <t>psi</t>
  </si>
  <si>
    <t>Calculate sum of heat transfer resistances</t>
  </si>
  <si>
    <t>Fouling resistance</t>
  </si>
  <si>
    <t>Calculate U</t>
  </si>
  <si>
    <t>btu/(hr-sqft-degF)</t>
  </si>
  <si>
    <t>Compare required U in Step 3. to calculated U in Step 7. (100.75951 vs. 99.087872)</t>
  </si>
  <si>
    <t>Above pressure drops (tube and shell) are within allowable limits.</t>
  </si>
  <si>
    <t>Heat exchanger is adequately sized.</t>
  </si>
  <si>
    <t>Selected Base Values from Fig. 9-11</t>
  </si>
  <si>
    <t>HC Oil, Turbulent</t>
  </si>
  <si>
    <t>Local r</t>
  </si>
  <si>
    <t>k</t>
  </si>
  <si>
    <t>Cp</t>
  </si>
  <si>
    <t>ρ</t>
  </si>
  <si>
    <t>μ</t>
  </si>
  <si>
    <t>dP (shell), dP/ft (tubes)</t>
  </si>
  <si>
    <t>Selected Values from Fig. 9-13</t>
  </si>
  <si>
    <t>Net cross flow area, sq.in.</t>
  </si>
  <si>
    <t xml:space="preserve">psi </t>
  </si>
  <si>
    <t>Calculate shell side mass flow rate, G</t>
  </si>
  <si>
    <t>Within allowed dP of 12 psi.</t>
  </si>
  <si>
    <t>Baffle spacing, c-c, inches</t>
  </si>
  <si>
    <t>Example 9-2 Propane Refrigerant Condenser Sizing</t>
  </si>
  <si>
    <t>Given values:</t>
  </si>
  <si>
    <t>Upper/lower temp</t>
  </si>
  <si>
    <t>Subcooling liquid propane, Zone 3</t>
  </si>
  <si>
    <t>Condensing propane, Zone 2</t>
  </si>
  <si>
    <t>Desuperheating propane, Zone 1</t>
  </si>
  <si>
    <t>the following equation:</t>
  </si>
  <si>
    <t xml:space="preserve">Determine heat duty of desuperheating at </t>
  </si>
  <si>
    <t>Heat Removed</t>
  </si>
  <si>
    <t>mmbtu/hr</t>
  </si>
  <si>
    <t>when adding 5.914167 mmbtu/hr heat input.</t>
  </si>
  <si>
    <t xml:space="preserve">The remainder of desuperheating duty is </t>
  </si>
  <si>
    <t>included in condensing Zone 2.</t>
  </si>
  <si>
    <t>temperature ranges, Fig 9-14.</t>
  </si>
  <si>
    <t>Zone 1 heat duty</t>
  </si>
  <si>
    <t>Zone 2 heat duty</t>
  </si>
  <si>
    <t>Zone 3 heat duty</t>
  </si>
  <si>
    <t>the required surface area for each zone.</t>
  </si>
  <si>
    <t>Zone 1 LMTD</t>
  </si>
  <si>
    <t>Zone 2 LMTD</t>
  </si>
  <si>
    <t>Zone 2 Q</t>
  </si>
  <si>
    <t>Zone 2 Area</t>
  </si>
  <si>
    <t>Zone 1 Area</t>
  </si>
  <si>
    <t>Zone 3 LMTD</t>
  </si>
  <si>
    <t>Zone 3 Area</t>
  </si>
  <si>
    <t>Total Area</t>
  </si>
  <si>
    <t>Zone 2 note: Do not use 133 degF as the inlet temp</t>
  </si>
  <si>
    <t>Example 9-3 Determine shell diameter</t>
  </si>
  <si>
    <t>Tube OD</t>
  </si>
  <si>
    <t>inches</t>
  </si>
  <si>
    <t>Four</t>
  </si>
  <si>
    <t>Pitch layout</t>
  </si>
  <si>
    <t>Square</t>
  </si>
  <si>
    <t>Tube passes</t>
  </si>
  <si>
    <t>Split ring floating head</t>
  </si>
  <si>
    <t>Allow for inlet flow area</t>
  </si>
  <si>
    <t>Round up to nearest inch.  Use as ID.</t>
  </si>
  <si>
    <t>Warm feed gas press</t>
  </si>
  <si>
    <t>psia</t>
  </si>
  <si>
    <t>Residue gas</t>
  </si>
  <si>
    <t>Recycle gas</t>
  </si>
  <si>
    <t>From Fig 9-40 select the typical mass</t>
  </si>
  <si>
    <t>velocities (G) for each stream</t>
  </si>
  <si>
    <t>Operating press</t>
  </si>
  <si>
    <t>sq.ft./sec</t>
  </si>
  <si>
    <t>sq.ft/sec</t>
  </si>
  <si>
    <t>Assumed exchanger width</t>
  </si>
  <si>
    <t>lb/hr</t>
  </si>
  <si>
    <t>Inlet vapor flow rate, feed gas</t>
  </si>
  <si>
    <t>Inlet vapor flow rate, residue</t>
  </si>
  <si>
    <t>Inlet vapor flow rate, recycle</t>
  </si>
  <si>
    <t>Exchanger cross section is 25" X 22.2"</t>
  </si>
  <si>
    <t>vapor (propane) side at propane stream inlet, given</t>
  </si>
  <si>
    <t>Fig-9-8</t>
  </si>
  <si>
    <t>Fig-9-9</t>
  </si>
  <si>
    <t>Fig-9-10</t>
  </si>
  <si>
    <t>Fig-9-11</t>
  </si>
  <si>
    <t>Fig-9-12</t>
  </si>
  <si>
    <t>Fig-9-13</t>
  </si>
  <si>
    <t>Fig-9-14</t>
  </si>
  <si>
    <t>Fig-9-35</t>
  </si>
  <si>
    <t>Fig-9-38</t>
  </si>
  <si>
    <t>Fig-9-39</t>
  </si>
  <si>
    <t>Fig-9-40</t>
  </si>
  <si>
    <t>Feed gas exchanger duty</t>
  </si>
  <si>
    <t>btu/hr</t>
  </si>
  <si>
    <t>Feed gas exchanger CMTD</t>
  </si>
  <si>
    <t>Allowable pressure drop, feed gas</t>
  </si>
  <si>
    <t>Allowable pressure drop, residue gas</t>
  </si>
  <si>
    <t>Allowable pressure drop, recycle gas</t>
  </si>
  <si>
    <t>btu/hr-degF</t>
  </si>
  <si>
    <t>Use Eq. 9-17 (one, gas-to-gas, serrated fin, 25" X 22.2", and required UA = 490,200 BTU/hr-degF exchanger) to obtain exchanger length.</t>
  </si>
  <si>
    <t>Exchanger size is established as 25" X 22.2" X 180 "</t>
  </si>
  <si>
    <t>Density of feed gas outlet (Fig. 9-38)</t>
  </si>
  <si>
    <t>lb/cu.ft.</t>
  </si>
  <si>
    <t>Density of feed gas liquid outlet (Fig. 9-38)</t>
  </si>
  <si>
    <t>Number of exchangers</t>
  </si>
  <si>
    <t>Fin surface type - serrated</t>
  </si>
  <si>
    <t>Feed gas density out</t>
  </si>
  <si>
    <t>Density of feed gas vapor inlet (Fig 9-38)</t>
  </si>
  <si>
    <t>Density of residue gas vapor in (Fig. 9-38)</t>
  </si>
  <si>
    <t>Density of residue gas vapor out (Fig. 9-38)</t>
  </si>
  <si>
    <t>Density of recycle gas vapor outlet (Fig 9-38)</t>
  </si>
  <si>
    <t>Step 1. CHECK HEAT BALANCE</t>
  </si>
  <si>
    <t>Step 2. CALCULATE LMTD</t>
  </si>
  <si>
    <t>Step 3. CHECK REQUIRED HEAT TRANSFER COEFF</t>
  </si>
  <si>
    <t>Step 4. CALCULATE TUBE SIDE PRESSURE DROP AND RESISTANCE TO HEAT TRANSFER</t>
  </si>
  <si>
    <t>Step 5. CALCULATE SHELL SIDE PRESSURE DROP AND RESISTANCE TO HEAT TRANSFER</t>
  </si>
  <si>
    <t>Step 6. CALCULATE TUBE METAL RESISTANCE</t>
  </si>
  <si>
    <t>Step 7. CALCULATE OVERALL HEAT TRANSFER COEFFICIENT</t>
  </si>
  <si>
    <t>Step 8. COMPARE REQUIRED VS. CALCULATED HEAT TRANSFER COEFFICIENTS</t>
  </si>
  <si>
    <t>Fig-9-17</t>
  </si>
  <si>
    <t>Fig-9-26</t>
  </si>
  <si>
    <t>Fig-9-27</t>
  </si>
  <si>
    <t>Fig-9-28</t>
  </si>
  <si>
    <t>Compute the exchanger height, H</t>
  </si>
  <si>
    <t>First use Fig. 9-39 to calculate UA.</t>
  </si>
  <si>
    <t>Delta P (Eq. 9-23). Compare with 10.0 psi allowed</t>
  </si>
  <si>
    <t>Delta P (Eq. 9-22). Compare with 7.0 psi allowed</t>
  </si>
  <si>
    <t>If above pressure drops are excessive, then lower G and return to Step 1.</t>
  </si>
  <si>
    <t xml:space="preserve"> =</t>
  </si>
  <si>
    <t>Within allowed dP of 10 psi.</t>
  </si>
  <si>
    <t>Calculation</t>
  </si>
  <si>
    <t>Net cross flow area is the distance between baffles (~18") times the total open clearance (typically 0.1 to 0.2 inches) between tubes, multiplied by the number of tube clearances.</t>
  </si>
  <si>
    <t>Surface area, sq.ft.</t>
  </si>
  <si>
    <t>The above example is suitable for condensing a pure propane vapor using Fig. 9-14, Propane Condensing Curve.  For condensing another hydrocarbon or mixture of vapors having a condensing temperature range greater than 10 degF, a specialist should be consulted.</t>
  </si>
  <si>
    <t>Application 9-2 Propane Refrigerant Condenser Sizing</t>
  </si>
  <si>
    <t>Application 9-3 Determine shell diameter</t>
  </si>
  <si>
    <t>Common widths are 12, 17, 25, 35, 42, and 48 inches.</t>
  </si>
  <si>
    <t>Make sure the cross section gives a stack height (H) within limits of Fig. 9-35.</t>
  </si>
  <si>
    <t>Refer to Fig. 9-39.</t>
  </si>
  <si>
    <t>Typical mass velocity, from Fig. 9-40.</t>
  </si>
  <si>
    <t>Typical mass velocity from Fig. 9-40.</t>
  </si>
  <si>
    <t>Keep cooling water temp in less than propane temp out (94 degF).</t>
  </si>
  <si>
    <t>The above example is suitable for condensing a pure propane vapor using Fig.9-14, Propane Condensing Curve.  For condensing another hydrocarbon or a mixture of vapors having a condensing temperature range greater than 10 degF, a specialist should be consulted.</t>
  </si>
  <si>
    <t>Density of recycle gas vapor inlet (Fig 9-38)</t>
  </si>
  <si>
    <t>This estimation is suitable for condensing up to 30 wt% of vapors in the feed gas, or for reboilers vaporizing up to 20 wt% of feed liquid.  For services outside these limits, a plate fin design specialist should be consulted.</t>
  </si>
  <si>
    <t>If exchanger length is too long for packaging and/or transportation, then lower G and return to Step 1.</t>
  </si>
  <si>
    <t>Number of tubes can range from 200 to 2,000.</t>
  </si>
  <si>
    <t>Number of tube passes is limited to 2, 4, 6, or 8.</t>
  </si>
  <si>
    <t>To allow for entrance or exit areas, multiply shell ID from Fig. 9-26 by 1.02 for each inlet or outlet area to be used.</t>
  </si>
  <si>
    <t>Residue gas press</t>
  </si>
  <si>
    <t>Recycle gas press</t>
  </si>
  <si>
    <t>Exchanger cross section is establishes as 25" wide X 22.2" high</t>
  </si>
  <si>
    <t>Example 9-1.  Lean Oil to Rich Oil Exchanger.  Evaluate the indicated performance of this design.  Note: Changes in variables may not be carried through to the final results.</t>
  </si>
  <si>
    <t>Application 9-1. This is an evaluation of a heat exchanger performance given fixed parameters, not a sizing design.  Changes to variables may not be carried through to the results.  Use this spreadsheet to follow the calculations on how the performance is evaluated.</t>
  </si>
  <si>
    <t>Example 9-4 Approximate sizing a gas-to-gas exchanger</t>
  </si>
  <si>
    <t>Application 9-4 Approximate sizing a gas-to-gas exchanger</t>
  </si>
  <si>
    <t>The sample calculations, equations and spreadsheets presented herein were developed using examples published in the Engineering Data Book as published by the Gas Processor Suppliers Association as a service to the gas processing industry.  All information and calculation formulae has been compiled and edited in cooperation with Gas Processors Association (GPA).</t>
  </si>
  <si>
    <t>While every effort has been made to present accurate and reliable technical information and calculation spreadsheets based on the GPSA Engineering Data Book sample calculations, the use of such information is voluntary and the GPA and GPSA do not guarantee the accuracy, completeness, efficacy or timeliness of such information.  Reference herein to any specific commercial product, calculation method, process, or service by trade-name, trademark, and service mark manufacturer or otherwise does not constitute or imply endorsement, recommendation or favoring by the GPA and/or GPSA.</t>
  </si>
  <si>
    <t>The Calculation Spreadsheets are provided without warranty of any kind including warranties of accuracy or reasonableness of factual or scientific assumptions, studies or conclusions, or merchantability, fitness for a particular purpose or non-infringement of intellectual property.</t>
  </si>
  <si>
    <t>In no event will the GPA or GPSA and their members be liable for any damages whatsoever (including without limitation, those resulting from lost profits, lost data or business interruption) arising from the use, inability to , reference to or reliance on the information in thes Publication, whether based on warranty, contract, tort or any other legal theory and whether or not advised of the possibility of such damages.</t>
  </si>
  <si>
    <t>These calculation spreadsheets are provided to provide an “Operational level” of accuracy calculation based on rather broad assumptions (including but not limited to; temperatures, pressures, compositions, imperial curves, site conditions etc) and do not replace detailed and accurate Design Engineering taking into account actual process conditions, fluid properties, equipment condition or fowling and actual control set-point dead-band limitations.</t>
  </si>
  <si>
    <r>
      <t>Q</t>
    </r>
    <r>
      <rPr>
        <vertAlign val="subscript"/>
        <sz val="11"/>
        <color indexed="8"/>
        <rFont val="Times New Roman"/>
        <family val="1"/>
      </rPr>
      <t>H</t>
    </r>
  </si>
  <si>
    <r>
      <t>Q</t>
    </r>
    <r>
      <rPr>
        <vertAlign val="subscript"/>
        <sz val="11"/>
        <color indexed="8"/>
        <rFont val="Times New Roman"/>
        <family val="1"/>
      </rPr>
      <t>C</t>
    </r>
  </si>
  <si>
    <r>
      <t>Q</t>
    </r>
    <r>
      <rPr>
        <vertAlign val="subscript"/>
        <sz val="11"/>
        <color indexed="8"/>
        <rFont val="Times New Roman"/>
        <family val="1"/>
      </rPr>
      <t>H</t>
    </r>
    <r>
      <rPr>
        <sz val="11"/>
        <color theme="1"/>
        <rFont val="Times New Roman"/>
        <family val="1"/>
      </rPr>
      <t>/Q</t>
    </r>
    <r>
      <rPr>
        <vertAlign val="subscript"/>
        <sz val="11"/>
        <color indexed="8"/>
        <rFont val="Times New Roman"/>
        <family val="1"/>
      </rPr>
      <t>C</t>
    </r>
  </si>
  <si>
    <r>
      <t>Mass flow rate per total tube area, G</t>
    </r>
    <r>
      <rPr>
        <vertAlign val="subscript"/>
        <sz val="11"/>
        <color indexed="8"/>
        <rFont val="Times New Roman"/>
        <family val="1"/>
      </rPr>
      <t>2</t>
    </r>
  </si>
  <si>
    <r>
      <t>Film resistance factor, f, for determining film resistance, (r</t>
    </r>
    <r>
      <rPr>
        <vertAlign val="subscript"/>
        <sz val="11"/>
        <color indexed="8"/>
        <rFont val="Times New Roman"/>
        <family val="1"/>
      </rPr>
      <t>i</t>
    </r>
    <r>
      <rPr>
        <sz val="11"/>
        <color theme="1"/>
        <rFont val="Times New Roman"/>
        <family val="1"/>
      </rPr>
      <t>)</t>
    </r>
    <r>
      <rPr>
        <vertAlign val="subscript"/>
        <sz val="11"/>
        <color indexed="8"/>
        <rFont val="Times New Roman"/>
        <family val="1"/>
      </rPr>
      <t>2</t>
    </r>
  </si>
  <si>
    <r>
      <t>(r</t>
    </r>
    <r>
      <rPr>
        <vertAlign val="subscript"/>
        <sz val="11"/>
        <color indexed="8"/>
        <rFont val="Times New Roman"/>
        <family val="1"/>
      </rPr>
      <t>i</t>
    </r>
    <r>
      <rPr>
        <sz val="11"/>
        <color theme="1"/>
        <rFont val="Times New Roman"/>
        <family val="1"/>
      </rPr>
      <t>)</t>
    </r>
    <r>
      <rPr>
        <vertAlign val="subscript"/>
        <sz val="11"/>
        <color indexed="8"/>
        <rFont val="Times New Roman"/>
        <family val="1"/>
      </rPr>
      <t>2</t>
    </r>
  </si>
  <si>
    <r>
      <t>(dP</t>
    </r>
    <r>
      <rPr>
        <vertAlign val="subscript"/>
        <sz val="11"/>
        <color indexed="8"/>
        <rFont val="Times New Roman"/>
        <family val="1"/>
      </rPr>
      <t>i</t>
    </r>
    <r>
      <rPr>
        <sz val="11"/>
        <color theme="1"/>
        <rFont val="Times New Roman"/>
        <family val="1"/>
      </rPr>
      <t>)</t>
    </r>
    <r>
      <rPr>
        <vertAlign val="subscript"/>
        <sz val="11"/>
        <color indexed="8"/>
        <rFont val="Times New Roman"/>
        <family val="1"/>
      </rPr>
      <t>1</t>
    </r>
    <r>
      <rPr>
        <sz val="11"/>
        <color theme="1"/>
        <rFont val="Times New Roman"/>
        <family val="1"/>
      </rPr>
      <t xml:space="preserve"> from Fig. 9-11 as HC Oil Turbulent dP/ft</t>
    </r>
  </si>
  <si>
    <r>
      <t>(dP</t>
    </r>
    <r>
      <rPr>
        <vertAlign val="subscript"/>
        <sz val="11"/>
        <color indexed="8"/>
        <rFont val="Times New Roman"/>
        <family val="1"/>
      </rPr>
      <t>i</t>
    </r>
    <r>
      <rPr>
        <sz val="11"/>
        <color theme="1"/>
        <rFont val="Times New Roman"/>
        <family val="1"/>
      </rPr>
      <t>)</t>
    </r>
    <r>
      <rPr>
        <vertAlign val="subscript"/>
        <sz val="11"/>
        <color indexed="8"/>
        <rFont val="Times New Roman"/>
        <family val="1"/>
      </rPr>
      <t>2</t>
    </r>
  </si>
  <si>
    <r>
      <t>G</t>
    </r>
    <r>
      <rPr>
        <vertAlign val="subscript"/>
        <sz val="11"/>
        <color indexed="8"/>
        <rFont val="Times New Roman"/>
        <family val="1"/>
      </rPr>
      <t>i</t>
    </r>
  </si>
  <si>
    <r>
      <t>D</t>
    </r>
    <r>
      <rPr>
        <vertAlign val="subscript"/>
        <sz val="11"/>
        <color indexed="8"/>
        <rFont val="Times New Roman"/>
        <family val="1"/>
      </rPr>
      <t>i</t>
    </r>
  </si>
  <si>
    <r>
      <t>Calculate (r</t>
    </r>
    <r>
      <rPr>
        <vertAlign val="subscript"/>
        <sz val="11"/>
        <color indexed="8"/>
        <rFont val="Times New Roman"/>
        <family val="1"/>
      </rPr>
      <t>o</t>
    </r>
    <r>
      <rPr>
        <sz val="11"/>
        <color theme="1"/>
        <rFont val="Times New Roman"/>
        <family val="1"/>
      </rPr>
      <t>)</t>
    </r>
    <r>
      <rPr>
        <vertAlign val="subscript"/>
        <sz val="11"/>
        <color indexed="8"/>
        <rFont val="Times New Roman"/>
        <family val="1"/>
      </rPr>
      <t>2</t>
    </r>
  </si>
  <si>
    <r>
      <t>Calculate (dP</t>
    </r>
    <r>
      <rPr>
        <vertAlign val="subscript"/>
        <sz val="11"/>
        <color indexed="8"/>
        <rFont val="Times New Roman"/>
        <family val="1"/>
      </rPr>
      <t>o</t>
    </r>
    <r>
      <rPr>
        <sz val="11"/>
        <color theme="1"/>
        <rFont val="Times New Roman"/>
        <family val="1"/>
      </rPr>
      <t>)</t>
    </r>
    <r>
      <rPr>
        <vertAlign val="subscript"/>
        <sz val="11"/>
        <color indexed="8"/>
        <rFont val="Times New Roman"/>
        <family val="1"/>
      </rPr>
      <t>2</t>
    </r>
  </si>
  <si>
    <r>
      <t>Calculate tube metal resistance, r</t>
    </r>
    <r>
      <rPr>
        <vertAlign val="subscript"/>
        <sz val="11"/>
        <color indexed="8"/>
        <rFont val="Times New Roman"/>
        <family val="1"/>
      </rPr>
      <t>w</t>
    </r>
  </si>
  <si>
    <r>
      <t>Upper T</t>
    </r>
    <r>
      <rPr>
        <vertAlign val="subscript"/>
        <sz val="11"/>
        <color indexed="8"/>
        <rFont val="Times New Roman"/>
        <family val="1"/>
      </rPr>
      <t>v</t>
    </r>
    <r>
      <rPr>
        <sz val="11"/>
        <color theme="1"/>
        <rFont val="Times New Roman"/>
        <family val="1"/>
      </rPr>
      <t>/lower temp</t>
    </r>
  </si>
  <si>
    <r>
      <t>U</t>
    </r>
    <r>
      <rPr>
        <vertAlign val="subscript"/>
        <sz val="11"/>
        <color indexed="8"/>
        <rFont val="Times New Roman"/>
        <family val="1"/>
      </rPr>
      <t>v</t>
    </r>
    <r>
      <rPr>
        <sz val="11"/>
        <color indexed="8"/>
        <rFont val="Times New Roman"/>
        <family val="1"/>
      </rPr>
      <t>, overall heat transfer coefficient of vapor</t>
    </r>
  </si>
  <si>
    <r>
      <t>h</t>
    </r>
    <r>
      <rPr>
        <vertAlign val="subscript"/>
        <sz val="11"/>
        <color indexed="8"/>
        <rFont val="Times New Roman"/>
        <family val="1"/>
      </rPr>
      <t>v</t>
    </r>
    <r>
      <rPr>
        <sz val="11"/>
        <color indexed="8"/>
        <rFont val="Times New Roman"/>
        <family val="1"/>
      </rPr>
      <t>, film coefficient of vapor</t>
    </r>
  </si>
  <si>
    <r>
      <t>U</t>
    </r>
    <r>
      <rPr>
        <vertAlign val="subscript"/>
        <sz val="11"/>
        <color indexed="8"/>
        <rFont val="Times New Roman"/>
        <family val="1"/>
      </rPr>
      <t>v</t>
    </r>
  </si>
  <si>
    <t>Cooling water temp (in/out)</t>
  </si>
  <si>
    <r>
      <t>Keep cooling water Temp</t>
    </r>
    <r>
      <rPr>
        <vertAlign val="subscript"/>
        <sz val="11"/>
        <color theme="1"/>
        <rFont val="Times New Roman"/>
        <family val="1"/>
      </rPr>
      <t>in</t>
    </r>
    <r>
      <rPr>
        <sz val="11"/>
        <color theme="1"/>
        <rFont val="Times New Roman"/>
        <family val="1"/>
      </rPr>
      <t xml:space="preserve"> less than propane temp out (94 degF).</t>
    </r>
  </si>
  <si>
    <r>
      <rPr>
        <b/>
        <sz val="11"/>
        <color indexed="8"/>
        <rFont val="Times New Roman"/>
        <family val="1"/>
      </rPr>
      <t xml:space="preserve">Step 1. </t>
    </r>
    <r>
      <rPr>
        <sz val="11"/>
        <color theme="1"/>
        <rFont val="Times New Roman"/>
        <family val="1"/>
      </rPr>
      <t>Calculate outside tube wall surface temp on</t>
    </r>
  </si>
  <si>
    <r>
      <t>T</t>
    </r>
    <r>
      <rPr>
        <vertAlign val="subscript"/>
        <sz val="11"/>
        <color indexed="8"/>
        <rFont val="Times New Roman"/>
        <family val="1"/>
      </rPr>
      <t>wo</t>
    </r>
    <r>
      <rPr>
        <sz val="11"/>
        <color theme="1"/>
        <rFont val="Times New Roman"/>
        <family val="1"/>
      </rPr>
      <t xml:space="preserve"> = T</t>
    </r>
    <r>
      <rPr>
        <vertAlign val="subscript"/>
        <sz val="11"/>
        <color indexed="8"/>
        <rFont val="Times New Roman"/>
        <family val="1"/>
      </rPr>
      <t>V</t>
    </r>
    <r>
      <rPr>
        <sz val="11"/>
        <color theme="1"/>
        <rFont val="Times New Roman"/>
        <family val="1"/>
      </rPr>
      <t xml:space="preserve"> - [U</t>
    </r>
    <r>
      <rPr>
        <vertAlign val="subscript"/>
        <sz val="11"/>
        <color indexed="8"/>
        <rFont val="Times New Roman"/>
        <family val="1"/>
      </rPr>
      <t>v</t>
    </r>
    <r>
      <rPr>
        <sz val="11"/>
        <color theme="1"/>
        <rFont val="Times New Roman"/>
        <family val="1"/>
      </rPr>
      <t>(T</t>
    </r>
    <r>
      <rPr>
        <vertAlign val="subscript"/>
        <sz val="11"/>
        <color indexed="8"/>
        <rFont val="Times New Roman"/>
        <family val="1"/>
      </rPr>
      <t>v</t>
    </r>
    <r>
      <rPr>
        <sz val="11"/>
        <color theme="1"/>
        <rFont val="Times New Roman"/>
        <family val="1"/>
      </rPr>
      <t>-T</t>
    </r>
    <r>
      <rPr>
        <vertAlign val="subscript"/>
        <sz val="11"/>
        <color indexed="8"/>
        <rFont val="Times New Roman"/>
        <family val="1"/>
      </rPr>
      <t>c</t>
    </r>
    <r>
      <rPr>
        <sz val="11"/>
        <color indexed="8"/>
        <rFont val="Times New Roman"/>
        <family val="1"/>
      </rPr>
      <t>)</t>
    </r>
    <r>
      <rPr>
        <sz val="11"/>
        <color theme="1"/>
        <rFont val="Times New Roman"/>
        <family val="1"/>
      </rPr>
      <t>/h</t>
    </r>
    <r>
      <rPr>
        <vertAlign val="subscript"/>
        <sz val="11"/>
        <color indexed="8"/>
        <rFont val="Times New Roman"/>
        <family val="1"/>
      </rPr>
      <t>v</t>
    </r>
    <r>
      <rPr>
        <sz val="11"/>
        <color theme="1"/>
        <rFont val="Times New Roman"/>
        <family val="1"/>
      </rPr>
      <t>]</t>
    </r>
  </si>
  <si>
    <r>
      <rPr>
        <b/>
        <sz val="11"/>
        <color indexed="8"/>
        <rFont val="Times New Roman"/>
        <family val="1"/>
      </rPr>
      <t>Step 2.</t>
    </r>
    <r>
      <rPr>
        <sz val="11"/>
        <color theme="1"/>
        <rFont val="Times New Roman"/>
        <family val="1"/>
      </rPr>
      <t xml:space="preserve"> Since T</t>
    </r>
    <r>
      <rPr>
        <vertAlign val="subscript"/>
        <sz val="11"/>
        <color indexed="8"/>
        <rFont val="Times New Roman"/>
        <family val="1"/>
      </rPr>
      <t>wo</t>
    </r>
    <r>
      <rPr>
        <sz val="11"/>
        <color theme="1"/>
        <rFont val="Times New Roman"/>
        <family val="1"/>
      </rPr>
      <t xml:space="preserve"> is greater than propane saturation temperature, reduce T</t>
    </r>
    <r>
      <rPr>
        <vertAlign val="subscript"/>
        <sz val="11"/>
        <color indexed="8"/>
        <rFont val="Times New Roman"/>
        <family val="1"/>
      </rPr>
      <t xml:space="preserve">v </t>
    </r>
    <r>
      <rPr>
        <sz val="11"/>
        <color theme="1"/>
        <rFont val="Times New Roman"/>
        <family val="1"/>
      </rPr>
      <t>(bulk propane temp. below) until T</t>
    </r>
    <r>
      <rPr>
        <vertAlign val="subscript"/>
        <sz val="11"/>
        <color indexed="8"/>
        <rFont val="Times New Roman"/>
        <family val="1"/>
      </rPr>
      <t>wo</t>
    </r>
    <r>
      <rPr>
        <sz val="11"/>
        <color theme="1"/>
        <rFont val="Times New Roman"/>
        <family val="1"/>
      </rPr>
      <t xml:space="preserve"> is at or below saturation temp. of 108 degF.</t>
    </r>
  </si>
  <si>
    <r>
      <rPr>
        <b/>
        <sz val="11"/>
        <color indexed="8"/>
        <rFont val="Times New Roman"/>
        <family val="1"/>
      </rPr>
      <t>Step 2.</t>
    </r>
    <r>
      <rPr>
        <sz val="11"/>
        <color theme="1"/>
        <rFont val="Times New Roman"/>
        <family val="1"/>
      </rPr>
      <t xml:space="preserve"> Since T</t>
    </r>
    <r>
      <rPr>
        <vertAlign val="subscript"/>
        <sz val="11"/>
        <color indexed="8"/>
        <rFont val="Times New Roman"/>
        <family val="1"/>
      </rPr>
      <t>wo</t>
    </r>
    <r>
      <rPr>
        <sz val="11"/>
        <color theme="1"/>
        <rFont val="Times New Roman"/>
        <family val="1"/>
      </rPr>
      <t xml:space="preserve"> is greater than propane saturation temperature, reduce Tv (bulk propane temp. below) until T</t>
    </r>
    <r>
      <rPr>
        <vertAlign val="subscript"/>
        <sz val="11"/>
        <color indexed="8"/>
        <rFont val="Times New Roman"/>
        <family val="1"/>
      </rPr>
      <t>wo</t>
    </r>
    <r>
      <rPr>
        <sz val="11"/>
        <color theme="1"/>
        <rFont val="Times New Roman"/>
        <family val="1"/>
      </rPr>
      <t xml:space="preserve"> is at or below saturation temp. of approximately 108 degF.</t>
    </r>
  </si>
  <si>
    <r>
      <t>T</t>
    </r>
    <r>
      <rPr>
        <vertAlign val="subscript"/>
        <sz val="11"/>
        <color indexed="8"/>
        <rFont val="Times New Roman"/>
        <family val="1"/>
      </rPr>
      <t>wo</t>
    </r>
    <r>
      <rPr>
        <sz val="11"/>
        <color theme="1"/>
        <rFont val="Times New Roman"/>
        <family val="1"/>
      </rPr>
      <t xml:space="preserve"> is calculated by entering various values of T</t>
    </r>
    <r>
      <rPr>
        <vertAlign val="subscript"/>
        <sz val="11"/>
        <color indexed="8"/>
        <rFont val="Times New Roman"/>
        <family val="1"/>
      </rPr>
      <t>v</t>
    </r>
    <r>
      <rPr>
        <sz val="11"/>
        <color theme="1"/>
        <rFont val="Times New Roman"/>
        <family val="1"/>
      </rPr>
      <t xml:space="preserve"> below (keeping T</t>
    </r>
    <r>
      <rPr>
        <vertAlign val="subscript"/>
        <sz val="11"/>
        <color indexed="8"/>
        <rFont val="Times New Roman"/>
        <family val="1"/>
      </rPr>
      <t>wo</t>
    </r>
    <r>
      <rPr>
        <sz val="11"/>
        <color theme="1"/>
        <rFont val="Times New Roman"/>
        <family val="1"/>
      </rPr>
      <t xml:space="preserve"> at or below 108 degF).         </t>
    </r>
  </si>
  <si>
    <r>
      <t>T</t>
    </r>
    <r>
      <rPr>
        <vertAlign val="subscript"/>
        <sz val="11"/>
        <color indexed="8"/>
        <rFont val="Times New Roman"/>
        <family val="1"/>
      </rPr>
      <t>wo</t>
    </r>
    <r>
      <rPr>
        <sz val="11"/>
        <color theme="1"/>
        <rFont val="Times New Roman"/>
        <family val="1"/>
      </rPr>
      <t>, degF</t>
    </r>
  </si>
  <si>
    <r>
      <t>T</t>
    </r>
    <r>
      <rPr>
        <vertAlign val="subscript"/>
        <sz val="11"/>
        <color indexed="8"/>
        <rFont val="Times New Roman"/>
        <family val="1"/>
      </rPr>
      <t>wo</t>
    </r>
    <r>
      <rPr>
        <sz val="11"/>
        <color theme="1"/>
        <rFont val="Times New Roman"/>
        <family val="1"/>
      </rPr>
      <t>.  By trial and error, determine T</t>
    </r>
    <r>
      <rPr>
        <vertAlign val="subscript"/>
        <sz val="11"/>
        <color indexed="8"/>
        <rFont val="Times New Roman"/>
        <family val="1"/>
      </rPr>
      <t>v</t>
    </r>
    <r>
      <rPr>
        <sz val="11"/>
        <color theme="1"/>
        <rFont val="Times New Roman"/>
        <family val="1"/>
      </rPr>
      <t xml:space="preserve"> (below) such that T</t>
    </r>
    <r>
      <rPr>
        <vertAlign val="subscript"/>
        <sz val="11"/>
        <color indexed="8"/>
        <rFont val="Times New Roman"/>
        <family val="1"/>
      </rPr>
      <t>wo</t>
    </r>
    <r>
      <rPr>
        <sz val="11"/>
        <color theme="1"/>
        <rFont val="Times New Roman"/>
        <family val="1"/>
      </rPr>
      <t xml:space="preserve"> is kept less than value to the right.        </t>
    </r>
  </si>
  <si>
    <r>
      <t>T</t>
    </r>
    <r>
      <rPr>
        <vertAlign val="subscript"/>
        <sz val="11"/>
        <color indexed="8"/>
        <rFont val="Times New Roman"/>
        <family val="1"/>
      </rPr>
      <t>v</t>
    </r>
  </si>
  <si>
    <r>
      <t>T</t>
    </r>
    <r>
      <rPr>
        <vertAlign val="subscript"/>
        <sz val="11"/>
        <color indexed="8"/>
        <rFont val="Times New Roman"/>
        <family val="1"/>
      </rPr>
      <t>wo</t>
    </r>
    <r>
      <rPr>
        <sz val="11"/>
        <color theme="1"/>
        <rFont val="Times New Roman"/>
        <family val="1"/>
      </rPr>
      <t xml:space="preserve"> = 133 degF</t>
    </r>
  </si>
  <si>
    <r>
      <t>Determine water temperature T</t>
    </r>
    <r>
      <rPr>
        <vertAlign val="subscript"/>
        <sz val="11"/>
        <color indexed="8"/>
        <rFont val="Times New Roman"/>
        <family val="1"/>
      </rPr>
      <t>C</t>
    </r>
    <r>
      <rPr>
        <sz val="11"/>
        <color theme="1"/>
        <rFont val="Times New Roman"/>
        <family val="1"/>
      </rPr>
      <t xml:space="preserve"> bulk wtr temp</t>
    </r>
  </si>
  <si>
    <r>
      <rPr>
        <b/>
        <sz val="11"/>
        <color indexed="8"/>
        <rFont val="Times New Roman"/>
        <family val="1"/>
      </rPr>
      <t>Step 3.</t>
    </r>
    <r>
      <rPr>
        <sz val="11"/>
        <color theme="1"/>
        <rFont val="Times New Roman"/>
        <family val="1"/>
      </rPr>
      <t xml:space="preserve"> Obtain the duties for the appropriate</t>
    </r>
  </si>
  <si>
    <r>
      <rPr>
        <b/>
        <sz val="11"/>
        <color indexed="8"/>
        <rFont val="Times New Roman"/>
        <family val="1"/>
      </rPr>
      <t>Step 4.</t>
    </r>
    <r>
      <rPr>
        <sz val="11"/>
        <color theme="1"/>
        <rFont val="Times New Roman"/>
        <family val="1"/>
      </rPr>
      <t xml:space="preserve"> Solve the equation Q = UA(LMTD) to obtain</t>
    </r>
  </si>
  <si>
    <r>
      <t>Zone 2 T</t>
    </r>
    <r>
      <rPr>
        <vertAlign val="subscript"/>
        <sz val="11"/>
        <color indexed="8"/>
        <rFont val="Times New Roman"/>
        <family val="1"/>
      </rPr>
      <t>C</t>
    </r>
  </si>
  <si>
    <r>
      <rPr>
        <b/>
        <sz val="11"/>
        <color indexed="8"/>
        <rFont val="Times New Roman"/>
        <family val="1"/>
      </rPr>
      <t>Step 1.</t>
    </r>
    <r>
      <rPr>
        <sz val="11"/>
        <color theme="1"/>
        <rFont val="Times New Roman"/>
        <family val="1"/>
      </rPr>
      <t xml:space="preserve"> From the top curve (1" OD tubes on 1-1/4" pitch) of Fig 9-26 read 25" corresponding to 320 tubes.</t>
    </r>
  </si>
  <si>
    <r>
      <rPr>
        <b/>
        <sz val="11"/>
        <color indexed="8"/>
        <rFont val="Times New Roman"/>
        <family val="1"/>
      </rPr>
      <t>Step 2</t>
    </r>
    <r>
      <rPr>
        <sz val="11"/>
        <color theme="1"/>
        <rFont val="Times New Roman"/>
        <family val="1"/>
      </rPr>
      <t>. Correct for square pitch by multiplying by 1.075 (see note on Fig 9-26).</t>
    </r>
  </si>
  <si>
    <r>
      <rPr>
        <b/>
        <sz val="11"/>
        <color indexed="8"/>
        <rFont val="Times New Roman"/>
        <family val="1"/>
      </rPr>
      <t>Step 3.</t>
    </r>
    <r>
      <rPr>
        <sz val="11"/>
        <color theme="1"/>
        <rFont val="Times New Roman"/>
        <family val="1"/>
      </rPr>
      <t xml:space="preserve"> Use Fig 9-27 to correct for four pass by multiplying by 1.05</t>
    </r>
  </si>
  <si>
    <r>
      <rPr>
        <b/>
        <sz val="11"/>
        <color indexed="8"/>
        <rFont val="Times New Roman"/>
        <family val="1"/>
      </rPr>
      <t>Step 4.</t>
    </r>
    <r>
      <rPr>
        <sz val="11"/>
        <color theme="1"/>
        <rFont val="Times New Roman"/>
        <family val="1"/>
      </rPr>
      <t xml:space="preserve"> Correct for inlet flow area by mutlipling by 1.02</t>
    </r>
  </si>
  <si>
    <r>
      <rPr>
        <b/>
        <sz val="11"/>
        <color indexed="8"/>
        <rFont val="Times New Roman"/>
        <family val="1"/>
      </rPr>
      <t>Step 5.</t>
    </r>
    <r>
      <rPr>
        <sz val="11"/>
        <color theme="1"/>
        <rFont val="Times New Roman"/>
        <family val="1"/>
      </rPr>
      <t xml:space="preserve"> From Fig 9-28, correct for split ring floating head by adding 1".</t>
    </r>
  </si>
  <si>
    <r>
      <t>Feed gas X</t>
    </r>
    <r>
      <rPr>
        <vertAlign val="subscript"/>
        <sz val="11"/>
        <color indexed="8"/>
        <rFont val="Times New Roman"/>
        <family val="1"/>
      </rPr>
      <t>v</t>
    </r>
    <r>
      <rPr>
        <sz val="11"/>
        <color theme="1"/>
        <rFont val="Times New Roman"/>
        <family val="1"/>
      </rPr>
      <t xml:space="preserve"> @ 54 degF (Fig 9-39)</t>
    </r>
  </si>
  <si>
    <r>
      <t>One (1) minus Feed gas X</t>
    </r>
    <r>
      <rPr>
        <vertAlign val="subscript"/>
        <sz val="11"/>
        <color indexed="8"/>
        <rFont val="Times New Roman"/>
        <family val="1"/>
      </rPr>
      <t>v</t>
    </r>
  </si>
  <si>
    <r>
      <rPr>
        <b/>
        <sz val="11"/>
        <color indexed="8"/>
        <rFont val="Times New Roman"/>
        <family val="1"/>
      </rPr>
      <t>Step 1.</t>
    </r>
    <r>
      <rPr>
        <sz val="11"/>
        <color theme="1"/>
        <rFont val="Times New Roman"/>
        <family val="1"/>
      </rPr>
      <t xml:space="preserve">  Determine Exchanger Cross Section</t>
    </r>
  </si>
  <si>
    <r>
      <t>G</t>
    </r>
    <r>
      <rPr>
        <vertAlign val="subscript"/>
        <sz val="11"/>
        <color indexed="8"/>
        <rFont val="Times New Roman"/>
        <family val="1"/>
      </rPr>
      <t>H</t>
    </r>
  </si>
  <si>
    <r>
      <t>G</t>
    </r>
    <r>
      <rPr>
        <vertAlign val="subscript"/>
        <sz val="11"/>
        <color indexed="8"/>
        <rFont val="Times New Roman"/>
        <family val="1"/>
      </rPr>
      <t>C</t>
    </r>
  </si>
  <si>
    <r>
      <rPr>
        <b/>
        <sz val="11"/>
        <color indexed="8"/>
        <rFont val="Times New Roman"/>
        <family val="1"/>
      </rPr>
      <t>Step 2.</t>
    </r>
    <r>
      <rPr>
        <sz val="11"/>
        <color theme="1"/>
        <rFont val="Times New Roman"/>
        <family val="1"/>
      </rPr>
      <t xml:space="preserve"> Determine exchanger length.</t>
    </r>
  </si>
  <si>
    <r>
      <rPr>
        <b/>
        <sz val="11"/>
        <color indexed="8"/>
        <rFont val="Times New Roman"/>
        <family val="1"/>
      </rPr>
      <t>Step 3</t>
    </r>
    <r>
      <rPr>
        <sz val="11"/>
        <color theme="1"/>
        <rFont val="Times New Roman"/>
        <family val="1"/>
      </rPr>
      <t>. Check pressure drops</t>
    </r>
  </si>
  <si>
    <r>
      <t xml:space="preserve">Feed gas mean density, </t>
    </r>
    <r>
      <rPr>
        <sz val="11"/>
        <color indexed="8"/>
        <rFont val="Times New Roman"/>
        <family val="1"/>
      </rPr>
      <t>ρ</t>
    </r>
    <r>
      <rPr>
        <vertAlign val="subscript"/>
        <sz val="11"/>
        <color indexed="8"/>
        <rFont val="Times New Roman"/>
        <family val="1"/>
      </rPr>
      <t>m</t>
    </r>
    <r>
      <rPr>
        <sz val="11"/>
        <color theme="1"/>
        <rFont val="Times New Roman"/>
        <family val="1"/>
      </rPr>
      <t xml:space="preserve"> (Eq. 9-26)</t>
    </r>
  </si>
  <si>
    <r>
      <t xml:space="preserve">Residue gas mean density, </t>
    </r>
    <r>
      <rPr>
        <sz val="11"/>
        <color indexed="8"/>
        <rFont val="Times New Roman"/>
        <family val="1"/>
      </rPr>
      <t>ρ</t>
    </r>
    <r>
      <rPr>
        <vertAlign val="subscript"/>
        <sz val="11"/>
        <color indexed="8"/>
        <rFont val="Times New Roman"/>
        <family val="1"/>
      </rPr>
      <t>m</t>
    </r>
  </si>
  <si>
    <r>
      <t xml:space="preserve">Recycle gas mean density, </t>
    </r>
    <r>
      <rPr>
        <sz val="11"/>
        <color indexed="8"/>
        <rFont val="Times New Roman"/>
        <family val="1"/>
      </rPr>
      <t>ρ</t>
    </r>
    <r>
      <rPr>
        <vertAlign val="subscript"/>
        <sz val="11"/>
        <color indexed="8"/>
        <rFont val="Times New Roman"/>
        <family val="1"/>
      </rPr>
      <t>m</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</si>
</sst>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00"/>
    <numFmt numFmtId="165" formatCode="#,##0.0"/>
    <numFmt numFmtId="166" formatCode="#,##0.000"/>
    <numFmt numFmtId="167" formatCode="0.0"/>
  </numFmts>
  <fonts count="12" x14ac:knownFonts="1">
    <font>
      <sz val="11"/>
      <color theme="1"/>
      <name val="Calibri"/>
      <family val="2"/>
      <scheme val="minor"/>
    </font>
    <font>
      <b/>
      <sz val="11"/>
      <color indexed="8"/>
      <name val="Calibri"/>
      <family val="2"/>
    </font>
    <font>
      <sz val="11"/>
      <color indexed="8"/>
      <name val="Times New Roman"/>
      <family val="1"/>
    </font>
    <font>
      <sz val="16"/>
      <color indexed="8"/>
      <name val="Franklin Gothic Demi"/>
      <family val="2"/>
    </font>
    <font>
      <b/>
      <sz val="11"/>
      <color indexed="8"/>
      <name val="Calibri"/>
      <family val="2"/>
    </font>
    <font>
      <b/>
      <sz val="11"/>
      <color theme="1"/>
      <name val="Calibri"/>
      <family val="2"/>
      <scheme val="minor"/>
    </font>
    <font>
      <sz val="11"/>
      <color rgb="FFC00000"/>
      <name val="Times New Roman"/>
      <family val="1"/>
    </font>
    <font>
      <b/>
      <sz val="11"/>
      <color indexed="8"/>
      <name val="Times New Roman"/>
      <family val="1"/>
    </font>
    <font>
      <sz val="11"/>
      <color theme="1"/>
      <name val="Times New Roman"/>
      <family val="1"/>
    </font>
    <font>
      <vertAlign val="subscript"/>
      <sz val="11"/>
      <color indexed="8"/>
      <name val="Times New Roman"/>
      <family val="1"/>
    </font>
    <font>
      <b/>
      <sz val="11"/>
      <color theme="1"/>
      <name val="Times New Roman"/>
      <family val="1"/>
    </font>
    <font>
      <vertAlign val="subscript"/>
      <sz val="11"/>
      <color theme="1"/>
      <name val="Times New Roman"/>
      <family val="1"/>
    </font>
  </fonts>
  <fills count="4">
    <fill>
      <patternFill patternType="none"/>
    </fill>
    <fill>
      <patternFill patternType="gray125"/>
    </fill>
    <fill>
      <patternFill patternType="solid">
        <fgColor theme="6" tint="0.59999389629810485"/>
        <bgColor indexed="64"/>
      </patternFill>
    </fill>
    <fill>
      <patternFill patternType="solid">
        <fgColor theme="9" tint="0.59999389629810485"/>
        <bgColor indexed="64"/>
      </patternFill>
    </fill>
  </fills>
  <borders count="1">
    <border>
      <left/>
      <right/>
      <top/>
      <bottom/>
      <diagonal/>
    </border>
  </borders>
  <cellStyleXfs count="1">
    <xf numFmtId="0" fontId="0" fillId="0" borderId="0"/>
  </cellStyleXfs>
  <cellXfs count="107">
    <xf numFmtId="0" fontId="0" fillId="0" borderId="0" xfId="0"/>
    <xf numFmtId="0" fontId="1" fillId="0" borderId="0" xfId="0" applyFont="1"/>
    <xf numFmtId="16" fontId="0" fillId="0" borderId="0" xfId="0" applyNumberFormat="1"/>
    <xf numFmtId="0" fontId="3" fillId="0" borderId="0" xfId="0" applyFont="1" applyAlignment="1">
      <alignment horizontal="center"/>
    </xf>
    <xf numFmtId="0" fontId="4" fillId="0" borderId="0" xfId="0" applyFont="1"/>
    <xf numFmtId="0" fontId="0" fillId="0" borderId="0" xfId="0" applyAlignment="1">
      <alignment vertical="center"/>
    </xf>
    <xf numFmtId="0" fontId="5" fillId="0" borderId="0" xfId="0" applyFont="1"/>
    <xf numFmtId="0" fontId="2" fillId="2" borderId="0" xfId="0" applyFont="1" applyFill="1"/>
    <xf numFmtId="0" fontId="2" fillId="3" borderId="0" xfId="0" applyFont="1" applyFill="1"/>
    <xf numFmtId="0" fontId="6" fillId="0" borderId="0" xfId="0" applyFont="1"/>
    <xf numFmtId="0" fontId="7" fillId="2" borderId="0" xfId="0" applyFont="1" applyFill="1" applyAlignment="1">
      <alignment horizontal="left" vertical="center" wrapText="1"/>
    </xf>
    <xf numFmtId="0" fontId="8" fillId="0" borderId="0" xfId="0" applyFont="1"/>
    <xf numFmtId="0" fontId="7" fillId="3" borderId="0" xfId="0" applyFont="1" applyFill="1" applyAlignment="1">
      <alignment horizontal="left" vertical="center" wrapText="1"/>
    </xf>
    <xf numFmtId="0" fontId="7" fillId="2" borderId="0" xfId="0" applyFont="1" applyFill="1"/>
    <xf numFmtId="0" fontId="8" fillId="2" borderId="0" xfId="0" applyFont="1" applyFill="1"/>
    <xf numFmtId="0" fontId="7" fillId="3" borderId="0" xfId="0" applyFont="1" applyFill="1"/>
    <xf numFmtId="0" fontId="8" fillId="3" borderId="0" xfId="0" applyFont="1" applyFill="1"/>
    <xf numFmtId="3" fontId="8" fillId="2" borderId="0" xfId="0" applyNumberFormat="1" applyFont="1" applyFill="1" applyBorder="1"/>
    <xf numFmtId="0" fontId="8" fillId="2" borderId="0" xfId="0" applyFont="1" applyFill="1" applyBorder="1"/>
    <xf numFmtId="3" fontId="8" fillId="3" borderId="0" xfId="0" applyNumberFormat="1" applyFont="1" applyFill="1" applyBorder="1"/>
    <xf numFmtId="0" fontId="8" fillId="3" borderId="0" xfId="0" applyFont="1" applyFill="1" applyBorder="1"/>
    <xf numFmtId="0" fontId="8" fillId="2" borderId="0" xfId="0" applyFont="1" applyFill="1" applyBorder="1" applyAlignment="1">
      <alignment horizontal="center"/>
    </xf>
    <xf numFmtId="0" fontId="8" fillId="3" borderId="0" xfId="0" applyFont="1" applyFill="1" applyBorder="1" applyAlignment="1">
      <alignment horizontal="center"/>
    </xf>
    <xf numFmtId="3" fontId="8" fillId="2" borderId="0" xfId="0" applyNumberFormat="1" applyFont="1" applyFill="1" applyBorder="1" applyAlignment="1">
      <alignment horizontal="center"/>
    </xf>
    <xf numFmtId="3" fontId="8" fillId="2" borderId="0" xfId="0" applyNumberFormat="1" applyFont="1" applyFill="1"/>
    <xf numFmtId="3" fontId="8" fillId="3" borderId="0" xfId="0" applyNumberFormat="1" applyFont="1" applyFill="1"/>
    <xf numFmtId="167" fontId="8" fillId="2" borderId="0" xfId="0" applyNumberFormat="1" applyFont="1" applyFill="1"/>
    <xf numFmtId="167" fontId="8" fillId="3" borderId="0" xfId="0" applyNumberFormat="1" applyFont="1" applyFill="1"/>
    <xf numFmtId="0" fontId="7" fillId="2" borderId="0" xfId="0" applyFont="1" applyFill="1" applyAlignment="1">
      <alignment horizontal="left" wrapText="1"/>
    </xf>
    <xf numFmtId="0" fontId="7" fillId="3" borderId="0" xfId="0" applyFont="1" applyFill="1" applyAlignment="1">
      <alignment horizontal="left" wrapText="1"/>
    </xf>
    <xf numFmtId="0" fontId="8" fillId="2" borderId="0" xfId="0" applyFont="1" applyFill="1" applyAlignment="1">
      <alignment vertical="center"/>
    </xf>
    <xf numFmtId="0" fontId="8" fillId="2" borderId="0" xfId="0" applyFont="1" applyFill="1" applyBorder="1" applyAlignment="1">
      <alignment vertical="center"/>
    </xf>
    <xf numFmtId="0" fontId="8" fillId="2" borderId="0" xfId="0" applyFont="1" applyFill="1" applyAlignment="1">
      <alignment horizontal="left" wrapText="1"/>
    </xf>
    <xf numFmtId="0" fontId="8" fillId="3" borderId="0" xfId="0" applyFont="1" applyFill="1" applyAlignment="1">
      <alignment horizontal="left" wrapText="1"/>
    </xf>
    <xf numFmtId="2" fontId="8" fillId="2" borderId="0" xfId="0" applyNumberFormat="1" applyFont="1" applyFill="1"/>
    <xf numFmtId="2" fontId="8" fillId="3" borderId="0" xfId="0" applyNumberFormat="1" applyFont="1" applyFill="1"/>
    <xf numFmtId="0" fontId="2" fillId="2" borderId="0" xfId="0" applyFont="1" applyFill="1" applyAlignment="1">
      <alignment vertical="center"/>
    </xf>
    <xf numFmtId="0" fontId="2" fillId="3" borderId="0" xfId="0" applyFont="1" applyFill="1" applyAlignment="1">
      <alignment vertical="center"/>
    </xf>
    <xf numFmtId="0" fontId="8" fillId="3" borderId="0" xfId="0" applyFont="1" applyFill="1" applyBorder="1" applyAlignment="1">
      <alignment vertical="center"/>
    </xf>
    <xf numFmtId="0" fontId="8" fillId="2" borderId="0" xfId="0" applyFont="1" applyFill="1" applyAlignment="1">
      <alignment horizontal="left" vertical="center" wrapText="1"/>
    </xf>
    <xf numFmtId="0" fontId="8" fillId="0" borderId="0" xfId="0" applyFont="1" applyAlignment="1">
      <alignment vertical="center"/>
    </xf>
    <xf numFmtId="0" fontId="8" fillId="3" borderId="0" xfId="0" applyFont="1" applyFill="1" applyAlignment="1">
      <alignment horizontal="left" vertical="center" wrapText="1"/>
    </xf>
    <xf numFmtId="0" fontId="8" fillId="3" borderId="0" xfId="0" applyFont="1" applyFill="1" applyAlignment="1">
      <alignment vertical="center"/>
    </xf>
    <xf numFmtId="164" fontId="8" fillId="2" borderId="0" xfId="0" applyNumberFormat="1" applyFont="1" applyFill="1"/>
    <xf numFmtId="164" fontId="8" fillId="3" borderId="0" xfId="0" applyNumberFormat="1" applyFont="1" applyFill="1"/>
    <xf numFmtId="0" fontId="8" fillId="2" borderId="0" xfId="0" applyFont="1" applyFill="1" applyAlignment="1">
      <alignment horizontal="center"/>
    </xf>
    <xf numFmtId="0" fontId="8" fillId="3" borderId="0" xfId="0" applyFont="1" applyFill="1" applyAlignment="1">
      <alignment horizontal="center"/>
    </xf>
    <xf numFmtId="0" fontId="10" fillId="2" borderId="0" xfId="0" applyFont="1" applyFill="1"/>
    <xf numFmtId="0" fontId="10" fillId="2" borderId="0" xfId="0" applyFont="1" applyFill="1" applyAlignment="1">
      <alignment horizontal="center"/>
    </xf>
    <xf numFmtId="0" fontId="10" fillId="0" borderId="0" xfId="0" applyFont="1"/>
    <xf numFmtId="0" fontId="10" fillId="3" borderId="0" xfId="0" applyFont="1" applyFill="1"/>
    <xf numFmtId="0" fontId="10" fillId="3" borderId="0" xfId="0" applyFont="1" applyFill="1" applyAlignment="1">
      <alignment horizontal="center"/>
    </xf>
    <xf numFmtId="0" fontId="8" fillId="2" borderId="0" xfId="0" applyFont="1" applyFill="1" applyAlignment="1">
      <alignment vertical="center" wrapText="1"/>
    </xf>
    <xf numFmtId="0" fontId="8" fillId="2" borderId="0" xfId="0" applyFont="1" applyFill="1" applyAlignment="1">
      <alignment horizontal="center" vertical="center"/>
    </xf>
    <xf numFmtId="0" fontId="8" fillId="3" borderId="0" xfId="0" applyFont="1" applyFill="1" applyAlignment="1">
      <alignment vertical="center" wrapText="1"/>
    </xf>
    <xf numFmtId="0" fontId="8" fillId="3" borderId="0" xfId="0" applyFont="1" applyFill="1" applyAlignment="1">
      <alignment horizontal="center" vertical="center"/>
    </xf>
    <xf numFmtId="2" fontId="8" fillId="2" borderId="0" xfId="0" applyNumberFormat="1" applyFont="1" applyFill="1" applyAlignment="1">
      <alignment horizontal="center"/>
    </xf>
    <xf numFmtId="167" fontId="8" fillId="2" borderId="0" xfId="0" applyNumberFormat="1" applyFont="1" applyFill="1" applyAlignment="1">
      <alignment horizontal="center" vertical="center"/>
    </xf>
    <xf numFmtId="3" fontId="8" fillId="2" borderId="0" xfId="0" applyNumberFormat="1" applyFont="1" applyFill="1" applyAlignment="1">
      <alignment horizontal="center"/>
    </xf>
    <xf numFmtId="3" fontId="8" fillId="3" borderId="0" xfId="0" applyNumberFormat="1" applyFont="1" applyFill="1" applyAlignment="1">
      <alignment horizontal="center"/>
    </xf>
    <xf numFmtId="3" fontId="7" fillId="2" borderId="0" xfId="0" applyNumberFormat="1" applyFont="1" applyFill="1" applyAlignment="1">
      <alignment horizontal="center"/>
    </xf>
    <xf numFmtId="0" fontId="7" fillId="2" borderId="0" xfId="0" applyFont="1" applyFill="1" applyAlignment="1">
      <alignment horizontal="center"/>
    </xf>
    <xf numFmtId="0" fontId="7" fillId="0" borderId="0" xfId="0" applyFont="1"/>
    <xf numFmtId="3" fontId="7" fillId="3" borderId="0" xfId="0" applyNumberFormat="1" applyFont="1" applyFill="1" applyAlignment="1">
      <alignment horizontal="center"/>
    </xf>
    <xf numFmtId="0" fontId="7" fillId="3" borderId="0" xfId="0" applyFont="1" applyFill="1" applyAlignment="1">
      <alignment horizontal="center"/>
    </xf>
    <xf numFmtId="0" fontId="8" fillId="0" borderId="0" xfId="0" applyFont="1" applyAlignment="1">
      <alignment horizontal="center"/>
    </xf>
    <xf numFmtId="0" fontId="7" fillId="2" borderId="0" xfId="0" applyFont="1" applyFill="1" applyAlignment="1">
      <alignment horizontal="center"/>
    </xf>
    <xf numFmtId="0" fontId="7" fillId="3" borderId="0" xfId="0" applyFont="1" applyFill="1" applyAlignment="1">
      <alignment horizontal="center"/>
    </xf>
    <xf numFmtId="0" fontId="8" fillId="2" borderId="0" xfId="0" applyFont="1" applyFill="1" applyAlignment="1">
      <alignment horizontal="left" vertical="center"/>
    </xf>
    <xf numFmtId="0" fontId="8" fillId="3" borderId="0" xfId="0" applyFont="1" applyFill="1" applyAlignment="1">
      <alignment horizontal="left" vertical="center"/>
    </xf>
    <xf numFmtId="0" fontId="8" fillId="2" borderId="0" xfId="0" applyFont="1" applyFill="1" applyAlignment="1">
      <alignment horizontal="left"/>
    </xf>
    <xf numFmtId="0" fontId="8" fillId="3" borderId="0" xfId="0" applyFont="1" applyFill="1" applyAlignment="1">
      <alignment horizontal="left"/>
    </xf>
    <xf numFmtId="0" fontId="8" fillId="2" borderId="0" xfId="0" applyFont="1" applyFill="1" applyAlignment="1">
      <alignment horizontal="left" vertical="center"/>
    </xf>
    <xf numFmtId="0" fontId="7" fillId="2" borderId="0" xfId="0" applyFont="1" applyFill="1" applyAlignment="1">
      <alignment horizontal="center" vertical="center"/>
    </xf>
    <xf numFmtId="0" fontId="7" fillId="2" borderId="0" xfId="0" applyFont="1" applyFill="1" applyAlignment="1">
      <alignment horizontal="left"/>
    </xf>
    <xf numFmtId="0" fontId="7" fillId="3" borderId="0" xfId="0" applyFont="1" applyFill="1" applyAlignment="1">
      <alignment horizontal="left"/>
    </xf>
    <xf numFmtId="0" fontId="8" fillId="0" borderId="0" xfId="0" applyFont="1" applyAlignment="1">
      <alignment horizontal="left"/>
    </xf>
    <xf numFmtId="165" fontId="8" fillId="2" borderId="0" xfId="0" applyNumberFormat="1" applyFont="1" applyFill="1" applyAlignment="1">
      <alignment horizontal="center"/>
    </xf>
    <xf numFmtId="166" fontId="8" fillId="2" borderId="0" xfId="0" applyNumberFormat="1" applyFont="1" applyFill="1" applyAlignment="1">
      <alignment horizontal="center"/>
    </xf>
    <xf numFmtId="0" fontId="8" fillId="2" borderId="0" xfId="0" applyFont="1" applyFill="1" applyAlignment="1">
      <alignment horizontal="left" wrapText="1"/>
    </xf>
    <xf numFmtId="0" fontId="8" fillId="3" borderId="0" xfId="0" applyFont="1" applyFill="1" applyAlignment="1">
      <alignment horizontal="center" wrapText="1"/>
    </xf>
    <xf numFmtId="0" fontId="8" fillId="2" borderId="0" xfId="0" applyFont="1" applyFill="1" applyAlignment="1">
      <alignment horizontal="left" vertical="center" wrapText="1"/>
    </xf>
    <xf numFmtId="1" fontId="8" fillId="2" borderId="0" xfId="0" applyNumberFormat="1" applyFont="1" applyFill="1" applyAlignment="1">
      <alignment horizontal="center" vertical="center"/>
    </xf>
    <xf numFmtId="0" fontId="8" fillId="3" borderId="0" xfId="0" applyFont="1" applyFill="1" applyAlignment="1">
      <alignment horizontal="center" vertical="center" wrapText="1"/>
    </xf>
    <xf numFmtId="167" fontId="10" fillId="2" borderId="0" xfId="0" applyNumberFormat="1" applyFont="1" applyFill="1" applyAlignment="1">
      <alignment horizontal="center"/>
    </xf>
    <xf numFmtId="2" fontId="10" fillId="2" borderId="0" xfId="0" applyNumberFormat="1" applyFont="1" applyFill="1" applyAlignment="1">
      <alignment horizontal="center"/>
    </xf>
    <xf numFmtId="0" fontId="2" fillId="2" borderId="0" xfId="0" applyFont="1" applyFill="1" applyAlignment="1">
      <alignment horizontal="left" vertical="center" wrapText="1"/>
    </xf>
    <xf numFmtId="0" fontId="7" fillId="2" borderId="0" xfId="0" applyFont="1" applyFill="1" applyAlignment="1">
      <alignment horizontal="left" vertical="center" wrapText="1"/>
    </xf>
    <xf numFmtId="0" fontId="2" fillId="3" borderId="0" xfId="0" applyFont="1" applyFill="1" applyAlignment="1">
      <alignment horizontal="left" vertical="center" wrapText="1"/>
    </xf>
    <xf numFmtId="0" fontId="7" fillId="3" borderId="0" xfId="0" applyFont="1" applyFill="1" applyAlignment="1">
      <alignment horizontal="center" vertical="center" wrapText="1"/>
    </xf>
    <xf numFmtId="3" fontId="8" fillId="3" borderId="0" xfId="0" applyNumberFormat="1" applyFont="1" applyFill="1" applyBorder="1" applyProtection="1">
      <protection locked="0"/>
    </xf>
    <xf numFmtId="3" fontId="8" fillId="3" borderId="0" xfId="0" applyNumberFormat="1" applyFont="1" applyFill="1" applyBorder="1" applyAlignment="1" applyProtection="1">
      <alignment horizontal="center"/>
      <protection locked="0"/>
    </xf>
    <xf numFmtId="0" fontId="8" fillId="3" borderId="0" xfId="0" applyFont="1" applyFill="1" applyBorder="1" applyProtection="1">
      <protection locked="0"/>
    </xf>
    <xf numFmtId="0" fontId="8" fillId="3" borderId="0" xfId="0" applyFont="1" applyFill="1" applyBorder="1" applyAlignment="1" applyProtection="1">
      <alignment vertical="center"/>
      <protection locked="0"/>
    </xf>
    <xf numFmtId="0" fontId="8" fillId="3" borderId="0" xfId="0" applyFont="1" applyFill="1" applyProtection="1">
      <protection locked="0"/>
    </xf>
    <xf numFmtId="0" fontId="8" fillId="3" borderId="0" xfId="0" applyFont="1" applyFill="1" applyAlignment="1" applyProtection="1">
      <alignment horizontal="center"/>
      <protection locked="0"/>
    </xf>
    <xf numFmtId="2" fontId="8" fillId="3" borderId="0" xfId="0" applyNumberFormat="1" applyFont="1" applyFill="1" applyAlignment="1" applyProtection="1">
      <alignment horizontal="center"/>
      <protection locked="0"/>
    </xf>
    <xf numFmtId="167" fontId="8" fillId="3" borderId="0" xfId="0" applyNumberFormat="1" applyFont="1" applyFill="1" applyAlignment="1" applyProtection="1">
      <alignment horizontal="center" vertical="center"/>
      <protection locked="0"/>
    </xf>
    <xf numFmtId="0" fontId="8" fillId="0" borderId="0" xfId="0" applyFont="1" applyProtection="1">
      <protection locked="0"/>
    </xf>
    <xf numFmtId="0" fontId="8" fillId="3" borderId="0" xfId="0" applyFont="1" applyFill="1" applyAlignment="1" applyProtection="1">
      <alignment horizontal="center" vertical="center"/>
      <protection locked="0"/>
    </xf>
    <xf numFmtId="0" fontId="7" fillId="3" borderId="0" xfId="0" applyFont="1" applyFill="1" applyAlignment="1" applyProtection="1">
      <alignment horizontal="center" vertical="center"/>
      <protection locked="0"/>
    </xf>
    <xf numFmtId="3" fontId="8" fillId="3" borderId="0" xfId="0" applyNumberFormat="1" applyFont="1" applyFill="1" applyAlignment="1" applyProtection="1">
      <alignment horizontal="center"/>
      <protection locked="0"/>
    </xf>
    <xf numFmtId="165" fontId="8" fillId="3" borderId="0" xfId="0" applyNumberFormat="1" applyFont="1" applyFill="1" applyAlignment="1" applyProtection="1">
      <alignment horizontal="center"/>
      <protection locked="0"/>
    </xf>
    <xf numFmtId="166" fontId="8" fillId="3" borderId="0" xfId="0" applyNumberFormat="1" applyFont="1" applyFill="1" applyAlignment="1" applyProtection="1">
      <alignment horizontal="center"/>
      <protection locked="0"/>
    </xf>
    <xf numFmtId="1" fontId="8" fillId="3" borderId="0" xfId="0" applyNumberFormat="1" applyFont="1" applyFill="1" applyAlignment="1" applyProtection="1">
      <alignment horizontal="center" vertical="center"/>
      <protection locked="0"/>
    </xf>
    <xf numFmtId="167" fontId="10" fillId="3" borderId="0" xfId="0" applyNumberFormat="1" applyFont="1" applyFill="1" applyAlignment="1" applyProtection="1">
      <alignment horizontal="center"/>
      <protection locked="0"/>
    </xf>
    <xf numFmtId="2" fontId="10" fillId="3" borderId="0" xfId="0" applyNumberFormat="1" applyFont="1" applyFill="1" applyAlignment="1" applyProtection="1">
      <alignment horizontal="center"/>
      <protection locked="0"/>
    </xf>
  </cellXfs>
  <cellStyles count="1">
    <cellStyle name="Normal"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4.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5" Type="http://schemas.openxmlformats.org/officeDocument/2006/relationships/image" Target="../media/image1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 Id="rId14"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123825</xdr:colOff>
      <xdr:row>50</xdr:row>
      <xdr:rowOff>76200</xdr:rowOff>
    </xdr:to>
    <xdr:pic>
      <xdr:nvPicPr>
        <xdr:cNvPr id="7204"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439025" cy="9601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257175</xdr:rowOff>
    </xdr:from>
    <xdr:to>
      <xdr:col>9</xdr:col>
      <xdr:colOff>342900</xdr:colOff>
      <xdr:row>31</xdr:row>
      <xdr:rowOff>95250</xdr:rowOff>
    </xdr:to>
    <xdr:pic>
      <xdr:nvPicPr>
        <xdr:cNvPr id="8399" name="Picture 7" descr="9-8"/>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57175"/>
          <a:ext cx="6429375" cy="5819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9</xdr:col>
      <xdr:colOff>342900</xdr:colOff>
      <xdr:row>59</xdr:row>
      <xdr:rowOff>142875</xdr:rowOff>
    </xdr:to>
    <xdr:pic>
      <xdr:nvPicPr>
        <xdr:cNvPr id="8400" name="Picture 8" descr="9-9"/>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6896100"/>
          <a:ext cx="6429375" cy="471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63</xdr:row>
      <xdr:rowOff>0</xdr:rowOff>
    </xdr:from>
    <xdr:to>
      <xdr:col>19</xdr:col>
      <xdr:colOff>400050</xdr:colOff>
      <xdr:row>104</xdr:row>
      <xdr:rowOff>19050</xdr:rowOff>
    </xdr:to>
    <xdr:pic>
      <xdr:nvPicPr>
        <xdr:cNvPr id="8401" name="Picture 9" descr="9-10"/>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12306300"/>
          <a:ext cx="13201650" cy="782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107</xdr:row>
      <xdr:rowOff>0</xdr:rowOff>
    </xdr:from>
    <xdr:to>
      <xdr:col>19</xdr:col>
      <xdr:colOff>390525</xdr:colOff>
      <xdr:row>148</xdr:row>
      <xdr:rowOff>28575</xdr:rowOff>
    </xdr:to>
    <xdr:pic>
      <xdr:nvPicPr>
        <xdr:cNvPr id="8402" name="Picture 10" descr="9-11"/>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20764500"/>
          <a:ext cx="13192125" cy="783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152</xdr:row>
      <xdr:rowOff>0</xdr:rowOff>
    </xdr:from>
    <xdr:to>
      <xdr:col>19</xdr:col>
      <xdr:colOff>304800</xdr:colOff>
      <xdr:row>237</xdr:row>
      <xdr:rowOff>95250</xdr:rowOff>
    </xdr:to>
    <xdr:pic>
      <xdr:nvPicPr>
        <xdr:cNvPr id="8403" name="Picture 11" descr="9-12"/>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0" y="29413200"/>
          <a:ext cx="13106400" cy="1628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241</xdr:row>
      <xdr:rowOff>0</xdr:rowOff>
    </xdr:from>
    <xdr:to>
      <xdr:col>9</xdr:col>
      <xdr:colOff>0</xdr:colOff>
      <xdr:row>308</xdr:row>
      <xdr:rowOff>9525</xdr:rowOff>
    </xdr:to>
    <xdr:pic>
      <xdr:nvPicPr>
        <xdr:cNvPr id="8404" name="Picture 12" descr="9-13"/>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0" y="46443900"/>
          <a:ext cx="6086475" cy="12773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312</xdr:row>
      <xdr:rowOff>0</xdr:rowOff>
    </xdr:from>
    <xdr:to>
      <xdr:col>9</xdr:col>
      <xdr:colOff>314325</xdr:colOff>
      <xdr:row>338</xdr:row>
      <xdr:rowOff>38100</xdr:rowOff>
    </xdr:to>
    <xdr:pic>
      <xdr:nvPicPr>
        <xdr:cNvPr id="8405" name="Picture 13" descr="9-14"/>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0" y="60045600"/>
          <a:ext cx="6400800" cy="499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468</xdr:row>
      <xdr:rowOff>0</xdr:rowOff>
    </xdr:from>
    <xdr:to>
      <xdr:col>9</xdr:col>
      <xdr:colOff>323850</xdr:colOff>
      <xdr:row>487</xdr:row>
      <xdr:rowOff>66675</xdr:rowOff>
    </xdr:to>
    <xdr:pic>
      <xdr:nvPicPr>
        <xdr:cNvPr id="8406" name="Picture 14" descr="9-35"/>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0" y="90297000"/>
          <a:ext cx="6410325" cy="3686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491</xdr:row>
      <xdr:rowOff>0</xdr:rowOff>
    </xdr:from>
    <xdr:to>
      <xdr:col>19</xdr:col>
      <xdr:colOff>304800</xdr:colOff>
      <xdr:row>575</xdr:row>
      <xdr:rowOff>180975</xdr:rowOff>
    </xdr:to>
    <xdr:pic>
      <xdr:nvPicPr>
        <xdr:cNvPr id="8407" name="Picture 15" descr="9-38"/>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0" y="94754700"/>
          <a:ext cx="13106400" cy="1618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580</xdr:row>
      <xdr:rowOff>0</xdr:rowOff>
    </xdr:from>
    <xdr:to>
      <xdr:col>19</xdr:col>
      <xdr:colOff>295275</xdr:colOff>
      <xdr:row>664</xdr:row>
      <xdr:rowOff>123825</xdr:rowOff>
    </xdr:to>
    <xdr:pic>
      <xdr:nvPicPr>
        <xdr:cNvPr id="8408" name="Picture 16" descr="9-39"/>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0" y="111785400"/>
          <a:ext cx="13096875" cy="1612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669</xdr:row>
      <xdr:rowOff>0</xdr:rowOff>
    </xdr:from>
    <xdr:to>
      <xdr:col>9</xdr:col>
      <xdr:colOff>323850</xdr:colOff>
      <xdr:row>710</xdr:row>
      <xdr:rowOff>152400</xdr:rowOff>
    </xdr:to>
    <xdr:pic>
      <xdr:nvPicPr>
        <xdr:cNvPr id="8409" name="Picture 17" descr="9-40"/>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0" y="128816100"/>
          <a:ext cx="6410325" cy="796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340</xdr:row>
      <xdr:rowOff>257175</xdr:rowOff>
    </xdr:from>
    <xdr:to>
      <xdr:col>9</xdr:col>
      <xdr:colOff>466725</xdr:colOff>
      <xdr:row>386</xdr:row>
      <xdr:rowOff>38100</xdr:rowOff>
    </xdr:to>
    <xdr:pic>
      <xdr:nvPicPr>
        <xdr:cNvPr id="8410" name="Picture 327" descr="9-17"/>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t="3996"/>
        <a:stretch>
          <a:fillRect/>
        </a:stretch>
      </xdr:blipFill>
      <xdr:spPr bwMode="auto">
        <a:xfrm>
          <a:off x="0" y="65636775"/>
          <a:ext cx="6553200" cy="869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388</xdr:row>
      <xdr:rowOff>257175</xdr:rowOff>
    </xdr:from>
    <xdr:to>
      <xdr:col>9</xdr:col>
      <xdr:colOff>304800</xdr:colOff>
      <xdr:row>424</xdr:row>
      <xdr:rowOff>28575</xdr:rowOff>
    </xdr:to>
    <xdr:pic>
      <xdr:nvPicPr>
        <xdr:cNvPr id="8411" name="Picture 328" descr="9-26"/>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t="3957"/>
        <a:stretch>
          <a:fillRect/>
        </a:stretch>
      </xdr:blipFill>
      <xdr:spPr bwMode="auto">
        <a:xfrm>
          <a:off x="0" y="74933175"/>
          <a:ext cx="6391275" cy="6705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427</xdr:row>
      <xdr:rowOff>257175</xdr:rowOff>
    </xdr:from>
    <xdr:to>
      <xdr:col>9</xdr:col>
      <xdr:colOff>323850</xdr:colOff>
      <xdr:row>445</xdr:row>
      <xdr:rowOff>47625</xdr:rowOff>
    </xdr:to>
    <xdr:pic>
      <xdr:nvPicPr>
        <xdr:cNvPr id="8412" name="Picture 329" descr="9-27"/>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t="9186"/>
        <a:stretch>
          <a:fillRect/>
        </a:stretch>
      </xdr:blipFill>
      <xdr:spPr bwMode="auto">
        <a:xfrm>
          <a:off x="0" y="82438875"/>
          <a:ext cx="6410325" cy="3295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xdr:colOff>
      <xdr:row>448</xdr:row>
      <xdr:rowOff>247650</xdr:rowOff>
    </xdr:from>
    <xdr:to>
      <xdr:col>9</xdr:col>
      <xdr:colOff>342900</xdr:colOff>
      <xdr:row>463</xdr:row>
      <xdr:rowOff>161925</xdr:rowOff>
    </xdr:to>
    <xdr:pic>
      <xdr:nvPicPr>
        <xdr:cNvPr id="8413" name="Picture 330" descr="9-28"/>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t="10756"/>
        <a:stretch>
          <a:fillRect/>
        </a:stretch>
      </xdr:blipFill>
      <xdr:spPr bwMode="auto">
        <a:xfrm>
          <a:off x="9525" y="86506050"/>
          <a:ext cx="6419850" cy="2924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topLeftCell="A19" zoomScale="85" zoomScaleNormal="85" workbookViewId="0"/>
  </sheetViews>
  <sheetFormatPr defaultRowHeight="15" x14ac:dyDescent="0.25"/>
  <sheetData/>
  <printOptions horizontalCentered="1"/>
  <pageMargins left="0.7" right="0.7" top="0.75" bottom="0.75" header="0.3" footer="0.3"/>
  <pageSetup paperSize="199" orientation="portrait" r:id="rId1"/>
  <headerFooter>
    <oddHeader>&amp;CNOMENCLATURE FOR GPSA ENGINEERING DATA BOOK, 12&amp;Xth&amp;X ED.
SECTION 9, HEAT EXCHANGERS</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83"/>
  <sheetViews>
    <sheetView tabSelected="1" zoomScale="80" zoomScaleNormal="80" workbookViewId="0">
      <selection activeCell="O27" sqref="O27"/>
    </sheetView>
  </sheetViews>
  <sheetFormatPr defaultRowHeight="15" x14ac:dyDescent="0.25"/>
  <cols>
    <col min="1" max="1" width="32.5703125" style="11" customWidth="1"/>
    <col min="2" max="2" width="12.85546875" style="11" customWidth="1"/>
    <col min="3" max="7" width="9.140625" style="11"/>
    <col min="8" max="8" width="11.28515625" style="11" customWidth="1"/>
    <col min="9" max="9" width="4.7109375" style="11" customWidth="1"/>
    <col min="10" max="10" width="12" style="11" customWidth="1"/>
    <col min="11" max="11" width="9.140625" style="11"/>
    <col min="12" max="12" width="10.7109375" style="11" customWidth="1"/>
    <col min="13" max="14" width="9.140625" style="11"/>
    <col min="15" max="15" width="30" style="11" customWidth="1"/>
    <col min="16" max="16" width="11.42578125" style="11" customWidth="1"/>
    <col min="17" max="22" width="9.140625" style="11"/>
    <col min="23" max="23" width="12.28515625" style="11" customWidth="1"/>
    <col min="24" max="25" width="9.140625" style="11"/>
    <col min="26" max="26" width="17.7109375" style="11" customWidth="1"/>
    <col min="27" max="27" width="9.140625" style="11"/>
  </cols>
  <sheetData>
    <row r="1" spans="1:26" ht="39.75" customHeight="1" x14ac:dyDescent="0.25">
      <c r="A1" s="10" t="s">
        <v>200</v>
      </c>
      <c r="B1" s="10"/>
      <c r="C1" s="10"/>
      <c r="D1" s="10"/>
      <c r="E1" s="10"/>
      <c r="F1" s="10"/>
      <c r="G1" s="10"/>
      <c r="H1" s="10"/>
      <c r="I1" s="10"/>
      <c r="J1" s="10"/>
      <c r="K1" s="10"/>
      <c r="L1" s="10"/>
      <c r="M1" s="10"/>
      <c r="O1" s="12" t="s">
        <v>201</v>
      </c>
      <c r="P1" s="12"/>
      <c r="Q1" s="12"/>
      <c r="R1" s="12"/>
      <c r="S1" s="12"/>
      <c r="T1" s="12"/>
      <c r="U1" s="12"/>
      <c r="V1" s="12"/>
      <c r="W1" s="12"/>
      <c r="X1" s="12"/>
      <c r="Y1" s="12"/>
      <c r="Z1" s="12"/>
    </row>
    <row r="2" spans="1:26" x14ac:dyDescent="0.25">
      <c r="A2" s="13" t="s">
        <v>77</v>
      </c>
      <c r="B2" s="14"/>
      <c r="C2" s="14"/>
      <c r="D2" s="14"/>
      <c r="E2" s="14"/>
      <c r="F2" s="14"/>
      <c r="G2" s="14"/>
      <c r="H2" s="14"/>
      <c r="I2" s="14"/>
      <c r="J2" s="14"/>
      <c r="K2" s="14"/>
      <c r="L2" s="14"/>
      <c r="M2" s="14"/>
      <c r="O2" s="15" t="s">
        <v>77</v>
      </c>
      <c r="P2" s="16"/>
      <c r="Q2" s="16"/>
      <c r="R2" s="16"/>
      <c r="S2" s="16"/>
      <c r="T2" s="16"/>
      <c r="U2" s="16"/>
      <c r="V2" s="16"/>
      <c r="W2" s="16"/>
      <c r="X2" s="16"/>
      <c r="Y2" s="16"/>
      <c r="Z2" s="16"/>
    </row>
    <row r="3" spans="1:26" x14ac:dyDescent="0.25">
      <c r="A3" s="14" t="s">
        <v>180</v>
      </c>
      <c r="B3" s="17">
        <v>4525</v>
      </c>
      <c r="C3" s="18"/>
      <c r="D3" s="18"/>
      <c r="E3" s="18"/>
      <c r="F3" s="18"/>
      <c r="G3" s="14"/>
      <c r="H3" s="14"/>
      <c r="I3" s="14"/>
      <c r="J3" s="14"/>
      <c r="K3" s="14"/>
      <c r="L3" s="14"/>
      <c r="M3" s="14"/>
      <c r="O3" s="16" t="s">
        <v>28</v>
      </c>
      <c r="P3" s="90">
        <v>4525</v>
      </c>
      <c r="Q3" s="20"/>
      <c r="R3" s="20"/>
      <c r="S3" s="20"/>
      <c r="T3" s="20"/>
      <c r="U3" s="16"/>
      <c r="V3" s="16"/>
      <c r="W3" s="16"/>
      <c r="X3" s="16"/>
      <c r="Y3" s="16"/>
      <c r="Z3" s="16"/>
    </row>
    <row r="4" spans="1:26" x14ac:dyDescent="0.25">
      <c r="A4" s="14" t="s">
        <v>0</v>
      </c>
      <c r="B4" s="18"/>
      <c r="C4" s="21" t="s">
        <v>4</v>
      </c>
      <c r="D4" s="21"/>
      <c r="E4" s="21" t="s">
        <v>5</v>
      </c>
      <c r="F4" s="21"/>
      <c r="G4" s="14"/>
      <c r="H4" s="13" t="s">
        <v>159</v>
      </c>
      <c r="I4" s="13"/>
      <c r="J4" s="14"/>
      <c r="K4" s="14"/>
      <c r="L4" s="14"/>
      <c r="M4" s="14"/>
      <c r="O4" s="16" t="s">
        <v>0</v>
      </c>
      <c r="P4" s="20"/>
      <c r="Q4" s="22" t="s">
        <v>4</v>
      </c>
      <c r="R4" s="22"/>
      <c r="S4" s="22" t="s">
        <v>5</v>
      </c>
      <c r="T4" s="22"/>
      <c r="U4" s="16"/>
      <c r="V4" s="15" t="s">
        <v>159</v>
      </c>
      <c r="W4" s="16"/>
      <c r="X4" s="16"/>
      <c r="Y4" s="16"/>
      <c r="Z4" s="16"/>
    </row>
    <row r="5" spans="1:26" x14ac:dyDescent="0.25">
      <c r="A5" s="14" t="s">
        <v>3</v>
      </c>
      <c r="B5" s="18"/>
      <c r="C5" s="21" t="s">
        <v>1</v>
      </c>
      <c r="D5" s="21"/>
      <c r="E5" s="21" t="s">
        <v>2</v>
      </c>
      <c r="F5" s="21"/>
      <c r="G5" s="14"/>
      <c r="H5" s="14"/>
      <c r="I5" s="14"/>
      <c r="J5" s="14"/>
      <c r="K5" s="14"/>
      <c r="L5" s="14"/>
      <c r="M5" s="14"/>
      <c r="O5" s="16" t="s">
        <v>3</v>
      </c>
      <c r="P5" s="20"/>
      <c r="Q5" s="22" t="s">
        <v>1</v>
      </c>
      <c r="R5" s="22"/>
      <c r="S5" s="22" t="s">
        <v>2</v>
      </c>
      <c r="T5" s="22"/>
      <c r="U5" s="16"/>
      <c r="V5" s="16"/>
      <c r="W5" s="16"/>
      <c r="X5" s="16"/>
      <c r="Y5" s="16"/>
      <c r="Z5" s="16"/>
    </row>
    <row r="6" spans="1:26" ht="16.5" x14ac:dyDescent="0.3">
      <c r="A6" s="14" t="s">
        <v>19</v>
      </c>
      <c r="B6" s="18"/>
      <c r="C6" s="23">
        <v>475723</v>
      </c>
      <c r="D6" s="23"/>
      <c r="E6" s="23">
        <v>650860</v>
      </c>
      <c r="F6" s="23"/>
      <c r="G6" s="14"/>
      <c r="H6" s="14" t="s">
        <v>209</v>
      </c>
      <c r="I6" s="14" t="s">
        <v>176</v>
      </c>
      <c r="J6" s="24">
        <f>'Ex 9-1'!C6*('Ex 9-1'!C12-'Ex 9-1'!D12)*'Ex 9-1'!C18</f>
        <v>25010661.002</v>
      </c>
      <c r="K6" s="14" t="s">
        <v>25</v>
      </c>
      <c r="L6" s="14"/>
      <c r="M6" s="14"/>
      <c r="O6" s="16" t="s">
        <v>19</v>
      </c>
      <c r="P6" s="20"/>
      <c r="Q6" s="91">
        <v>475723</v>
      </c>
      <c r="R6" s="91"/>
      <c r="S6" s="91">
        <v>650860</v>
      </c>
      <c r="T6" s="91"/>
      <c r="U6" s="16"/>
      <c r="V6" s="16" t="s">
        <v>209</v>
      </c>
      <c r="W6" s="25">
        <f>'Ex 9-1'!Q6*('Ex 9-1'!Q12-'Ex 9-1'!R12)*'Ex 9-1'!Q18</f>
        <v>25010661.002</v>
      </c>
      <c r="X6" s="16" t="s">
        <v>25</v>
      </c>
      <c r="Y6" s="16"/>
      <c r="Z6" s="16"/>
    </row>
    <row r="7" spans="1:26" ht="16.5" x14ac:dyDescent="0.3">
      <c r="A7" s="14" t="s">
        <v>10</v>
      </c>
      <c r="B7" s="18"/>
      <c r="C7" s="17"/>
      <c r="D7" s="17"/>
      <c r="E7" s="17"/>
      <c r="F7" s="17"/>
      <c r="G7" s="14"/>
      <c r="H7" s="14" t="s">
        <v>210</v>
      </c>
      <c r="I7" s="14" t="s">
        <v>176</v>
      </c>
      <c r="J7" s="24">
        <f>'Ex 9-1'!E6*('Ex 9-1'!F12-'Ex 9-1'!E12)*'Ex 9-1'!E18</f>
        <v>24993024</v>
      </c>
      <c r="K7" s="14" t="s">
        <v>25</v>
      </c>
      <c r="L7" s="14"/>
      <c r="M7" s="14"/>
      <c r="O7" s="16" t="s">
        <v>10</v>
      </c>
      <c r="P7" s="20"/>
      <c r="Q7" s="19"/>
      <c r="R7" s="19"/>
      <c r="S7" s="19"/>
      <c r="T7" s="19"/>
      <c r="U7" s="16"/>
      <c r="V7" s="16" t="s">
        <v>210</v>
      </c>
      <c r="W7" s="25">
        <f>'Ex 9-1'!S6*('Ex 9-1'!T12-'Ex 9-1'!S12)*'Ex 9-1'!S18</f>
        <v>24993024</v>
      </c>
      <c r="X7" s="16" t="s">
        <v>25</v>
      </c>
      <c r="Y7" s="16"/>
      <c r="Z7" s="16"/>
    </row>
    <row r="8" spans="1:26" x14ac:dyDescent="0.25">
      <c r="A8" s="14" t="s">
        <v>6</v>
      </c>
      <c r="B8" s="18"/>
      <c r="C8" s="17"/>
      <c r="D8" s="17"/>
      <c r="E8" s="17"/>
      <c r="F8" s="17"/>
      <c r="G8" s="14"/>
      <c r="H8" s="14"/>
      <c r="I8" s="14"/>
      <c r="J8" s="14"/>
      <c r="K8" s="14"/>
      <c r="L8" s="14"/>
      <c r="M8" s="14"/>
      <c r="O8" s="16" t="s">
        <v>6</v>
      </c>
      <c r="P8" s="20"/>
      <c r="Q8" s="19"/>
      <c r="R8" s="19"/>
      <c r="S8" s="19"/>
      <c r="T8" s="19"/>
      <c r="U8" s="16"/>
      <c r="V8" s="16"/>
      <c r="W8" s="16"/>
      <c r="X8" s="16"/>
      <c r="Y8" s="16"/>
      <c r="Z8" s="16"/>
    </row>
    <row r="9" spans="1:26" ht="16.5" x14ac:dyDescent="0.3">
      <c r="A9" s="14" t="s">
        <v>7</v>
      </c>
      <c r="B9" s="18"/>
      <c r="C9" s="17"/>
      <c r="D9" s="17"/>
      <c r="E9" s="17"/>
      <c r="F9" s="17"/>
      <c r="G9" s="14"/>
      <c r="H9" s="14" t="s">
        <v>211</v>
      </c>
      <c r="I9" s="14" t="s">
        <v>176</v>
      </c>
      <c r="J9" s="14">
        <f>J6/J7</f>
        <v>1.0007056769921079</v>
      </c>
      <c r="K9" s="14"/>
      <c r="L9" s="14"/>
      <c r="M9" s="14"/>
      <c r="O9" s="16" t="s">
        <v>7</v>
      </c>
      <c r="P9" s="20"/>
      <c r="Q9" s="19"/>
      <c r="R9" s="19"/>
      <c r="S9" s="19"/>
      <c r="T9" s="19"/>
      <c r="U9" s="16"/>
      <c r="V9" s="16" t="s">
        <v>211</v>
      </c>
      <c r="W9" s="16">
        <f>W6/W7</f>
        <v>1.0007056769921079</v>
      </c>
      <c r="X9" s="16"/>
      <c r="Y9" s="16"/>
      <c r="Z9" s="16"/>
    </row>
    <row r="10" spans="1:26" x14ac:dyDescent="0.25">
      <c r="A10" s="14" t="s">
        <v>8</v>
      </c>
      <c r="B10" s="18"/>
      <c r="C10" s="17"/>
      <c r="D10" s="17"/>
      <c r="E10" s="17"/>
      <c r="F10" s="17"/>
      <c r="G10" s="14"/>
      <c r="H10" s="14"/>
      <c r="I10" s="14"/>
      <c r="J10" s="14"/>
      <c r="K10" s="14"/>
      <c r="L10" s="14"/>
      <c r="M10" s="14"/>
      <c r="O10" s="16" t="s">
        <v>8</v>
      </c>
      <c r="P10" s="20"/>
      <c r="Q10" s="19"/>
      <c r="R10" s="19"/>
      <c r="S10" s="19"/>
      <c r="T10" s="19"/>
      <c r="U10" s="16"/>
      <c r="V10" s="16"/>
      <c r="W10" s="16"/>
      <c r="X10" s="16"/>
      <c r="Y10" s="16"/>
      <c r="Z10" s="16"/>
    </row>
    <row r="11" spans="1:26" x14ac:dyDescent="0.25">
      <c r="A11" s="14" t="s">
        <v>9</v>
      </c>
      <c r="B11" s="18"/>
      <c r="C11" s="17"/>
      <c r="D11" s="17"/>
      <c r="E11" s="17"/>
      <c r="F11" s="17"/>
      <c r="G11" s="14"/>
      <c r="H11" s="13" t="s">
        <v>160</v>
      </c>
      <c r="I11" s="13"/>
      <c r="J11" s="14"/>
      <c r="K11" s="14"/>
      <c r="L11" s="14"/>
      <c r="M11" s="14"/>
      <c r="O11" s="16" t="s">
        <v>9</v>
      </c>
      <c r="P11" s="20"/>
      <c r="Q11" s="19"/>
      <c r="R11" s="19"/>
      <c r="S11" s="19"/>
      <c r="T11" s="19"/>
      <c r="U11" s="16"/>
      <c r="V11" s="15" t="s">
        <v>160</v>
      </c>
      <c r="W11" s="16"/>
      <c r="X11" s="16"/>
      <c r="Y11" s="16"/>
      <c r="Z11" s="16"/>
    </row>
    <row r="12" spans="1:26" x14ac:dyDescent="0.25">
      <c r="A12" s="14" t="s">
        <v>20</v>
      </c>
      <c r="B12" s="18"/>
      <c r="C12" s="18">
        <v>197</v>
      </c>
      <c r="D12" s="18">
        <v>100</v>
      </c>
      <c r="E12" s="18">
        <v>60</v>
      </c>
      <c r="F12" s="18">
        <v>124</v>
      </c>
      <c r="G12" s="14"/>
      <c r="H12" s="14" t="s">
        <v>26</v>
      </c>
      <c r="I12" s="14" t="s">
        <v>176</v>
      </c>
      <c r="J12" s="26">
        <f>(('Ex 9-1'!C12-'Ex 9-1'!F12)-('Ex 9-1'!D12-'Ex 9-1'!E12))/LN(('Ex 9-1'!C12-'Ex 9-1'!F12)/('Ex 9-1'!D12-'Ex 9-1'!E12))</f>
        <v>54.855548241683714</v>
      </c>
      <c r="K12" s="14" t="s">
        <v>29</v>
      </c>
      <c r="L12" s="14"/>
      <c r="M12" s="14"/>
      <c r="O12" s="16" t="s">
        <v>20</v>
      </c>
      <c r="P12" s="20"/>
      <c r="Q12" s="92">
        <v>197</v>
      </c>
      <c r="R12" s="92">
        <v>100</v>
      </c>
      <c r="S12" s="92">
        <v>60</v>
      </c>
      <c r="T12" s="92">
        <v>124</v>
      </c>
      <c r="U12" s="16"/>
      <c r="V12" s="16" t="s">
        <v>26</v>
      </c>
      <c r="W12" s="27">
        <f>(('Ex 9-1'!Q12-'Ex 9-1'!T12)-('Ex 9-1'!R12-'Ex 9-1'!S12))/LN(('Ex 9-1'!Q12-'Ex 9-1'!T12)/('Ex 9-1'!R12-'Ex 9-1'!S12))</f>
        <v>54.855548241683714</v>
      </c>
      <c r="X12" s="16" t="s">
        <v>29</v>
      </c>
      <c r="Y12" s="16"/>
      <c r="Z12" s="16"/>
    </row>
    <row r="13" spans="1:26" x14ac:dyDescent="0.25">
      <c r="A13" s="14" t="s">
        <v>11</v>
      </c>
      <c r="B13" s="18"/>
      <c r="C13" s="18">
        <v>41.2</v>
      </c>
      <c r="D13" s="18"/>
      <c r="E13" s="18">
        <v>38.299999999999997</v>
      </c>
      <c r="F13" s="18"/>
      <c r="G13" s="14"/>
      <c r="H13" s="14"/>
      <c r="I13" s="14"/>
      <c r="J13" s="14"/>
      <c r="K13" s="14"/>
      <c r="L13" s="14"/>
      <c r="M13" s="14"/>
      <c r="O13" s="16" t="s">
        <v>11</v>
      </c>
      <c r="P13" s="20"/>
      <c r="Q13" s="92">
        <v>41.2</v>
      </c>
      <c r="R13" s="20"/>
      <c r="S13" s="92">
        <v>38.299999999999997</v>
      </c>
      <c r="T13" s="20"/>
      <c r="U13" s="16"/>
      <c r="V13" s="16"/>
      <c r="W13" s="16"/>
      <c r="X13" s="16"/>
      <c r="Y13" s="16"/>
      <c r="Z13" s="16"/>
    </row>
    <row r="14" spans="1:26" x14ac:dyDescent="0.25">
      <c r="A14" s="14" t="s">
        <v>12</v>
      </c>
      <c r="B14" s="18"/>
      <c r="C14" s="18">
        <v>0.34</v>
      </c>
      <c r="D14" s="18"/>
      <c r="E14" s="18">
        <v>0.21</v>
      </c>
      <c r="F14" s="18"/>
      <c r="G14" s="14"/>
      <c r="H14" s="13" t="s">
        <v>161</v>
      </c>
      <c r="I14" s="13"/>
      <c r="J14" s="14"/>
      <c r="K14" s="14"/>
      <c r="L14" s="14"/>
      <c r="M14" s="14"/>
      <c r="O14" s="16" t="s">
        <v>12</v>
      </c>
      <c r="P14" s="20"/>
      <c r="Q14" s="92">
        <v>0.34</v>
      </c>
      <c r="R14" s="20"/>
      <c r="S14" s="92">
        <v>0.21</v>
      </c>
      <c r="T14" s="20"/>
      <c r="U14" s="16"/>
      <c r="V14" s="15" t="s">
        <v>161</v>
      </c>
      <c r="W14" s="16"/>
      <c r="X14" s="16"/>
      <c r="Y14" s="16"/>
      <c r="Z14" s="16"/>
    </row>
    <row r="15" spans="1:26" x14ac:dyDescent="0.25">
      <c r="A15" s="14" t="s">
        <v>38</v>
      </c>
      <c r="B15" s="18"/>
      <c r="C15" s="18">
        <f>C14*0.000672</f>
        <v>2.2848000000000001E-4</v>
      </c>
      <c r="D15" s="18"/>
      <c r="E15" s="18">
        <f>E14*0.000672</f>
        <v>1.4111999999999998E-4</v>
      </c>
      <c r="F15" s="18"/>
      <c r="G15" s="14"/>
      <c r="H15" s="13"/>
      <c r="I15" s="13"/>
      <c r="J15" s="14"/>
      <c r="K15" s="14"/>
      <c r="L15" s="14"/>
      <c r="M15" s="14"/>
      <c r="O15" s="16" t="s">
        <v>38</v>
      </c>
      <c r="P15" s="20"/>
      <c r="Q15" s="92">
        <f>Q14*0.000672</f>
        <v>2.2848000000000001E-4</v>
      </c>
      <c r="R15" s="20"/>
      <c r="S15" s="92">
        <f>S14*0.000672</f>
        <v>1.4111999999999998E-4</v>
      </c>
      <c r="T15" s="20"/>
      <c r="U15" s="16"/>
      <c r="V15" s="15"/>
      <c r="W15" s="16"/>
      <c r="X15" s="16"/>
      <c r="Y15" s="16"/>
      <c r="Z15" s="16"/>
    </row>
    <row r="16" spans="1:26" x14ac:dyDescent="0.25">
      <c r="A16" s="14"/>
      <c r="B16" s="18"/>
      <c r="C16" s="18"/>
      <c r="D16" s="18"/>
      <c r="E16" s="18"/>
      <c r="F16" s="18"/>
      <c r="G16" s="14"/>
      <c r="H16" s="14" t="s">
        <v>27</v>
      </c>
      <c r="I16" s="14" t="s">
        <v>176</v>
      </c>
      <c r="J16" s="26">
        <f>J6/B3/J12</f>
        <v>100.75950524899584</v>
      </c>
      <c r="K16" s="14" t="s">
        <v>30</v>
      </c>
      <c r="L16" s="14"/>
      <c r="M16" s="14"/>
      <c r="O16" s="16"/>
      <c r="P16" s="20"/>
      <c r="Q16" s="20"/>
      <c r="R16" s="20"/>
      <c r="S16" s="20"/>
      <c r="T16" s="20"/>
      <c r="U16" s="16"/>
      <c r="V16" s="16" t="s">
        <v>27</v>
      </c>
      <c r="W16" s="27">
        <f>W6/P3/W12</f>
        <v>100.75950524899584</v>
      </c>
      <c r="X16" s="16" t="s">
        <v>30</v>
      </c>
      <c r="Y16" s="16"/>
      <c r="Z16" s="16"/>
    </row>
    <row r="17" spans="1:26" x14ac:dyDescent="0.25">
      <c r="A17" s="14"/>
      <c r="B17" s="18"/>
      <c r="C17" s="18"/>
      <c r="D17" s="18"/>
      <c r="E17" s="18"/>
      <c r="F17" s="18"/>
      <c r="G17" s="14"/>
      <c r="H17" s="14"/>
      <c r="I17" s="14"/>
      <c r="J17" s="14"/>
      <c r="K17" s="14"/>
      <c r="L17" s="14"/>
      <c r="M17" s="14"/>
      <c r="O17" s="16"/>
      <c r="P17" s="20"/>
      <c r="Q17" s="20"/>
      <c r="R17" s="20"/>
      <c r="S17" s="20"/>
      <c r="T17" s="20"/>
      <c r="U17" s="16"/>
      <c r="V17" s="16"/>
      <c r="W17" s="16"/>
      <c r="X17" s="16"/>
      <c r="Y17" s="16"/>
      <c r="Z17" s="16"/>
    </row>
    <row r="18" spans="1:26" ht="58.5" customHeight="1" x14ac:dyDescent="0.25">
      <c r="A18" s="14" t="s">
        <v>13</v>
      </c>
      <c r="B18" s="18"/>
      <c r="C18" s="18">
        <v>0.54200000000000004</v>
      </c>
      <c r="D18" s="18"/>
      <c r="E18" s="18">
        <v>0.6</v>
      </c>
      <c r="F18" s="18"/>
      <c r="G18" s="14"/>
      <c r="H18" s="28" t="s">
        <v>162</v>
      </c>
      <c r="I18" s="28"/>
      <c r="J18" s="28"/>
      <c r="K18" s="28"/>
      <c r="L18" s="28"/>
      <c r="M18" s="14"/>
      <c r="O18" s="16" t="s">
        <v>13</v>
      </c>
      <c r="P18" s="20"/>
      <c r="Q18" s="92">
        <v>0.54200000000000004</v>
      </c>
      <c r="R18" s="20"/>
      <c r="S18" s="92">
        <v>0.6</v>
      </c>
      <c r="T18" s="20"/>
      <c r="U18" s="16"/>
      <c r="V18" s="29" t="s">
        <v>162</v>
      </c>
      <c r="W18" s="29"/>
      <c r="X18" s="29"/>
      <c r="Y18" s="29"/>
      <c r="Z18" s="16"/>
    </row>
    <row r="19" spans="1:26" x14ac:dyDescent="0.25">
      <c r="A19" s="14" t="s">
        <v>14</v>
      </c>
      <c r="B19" s="18"/>
      <c r="C19" s="18">
        <v>7.6999999999999999E-2</v>
      </c>
      <c r="D19" s="18"/>
      <c r="E19" s="18">
        <v>7.8E-2</v>
      </c>
      <c r="F19" s="18"/>
      <c r="G19" s="14"/>
      <c r="H19" s="14"/>
      <c r="I19" s="14"/>
      <c r="J19" s="14"/>
      <c r="K19" s="14"/>
      <c r="L19" s="14"/>
      <c r="M19" s="14"/>
      <c r="O19" s="16" t="s">
        <v>14</v>
      </c>
      <c r="P19" s="20"/>
      <c r="Q19" s="92">
        <v>7.6999999999999999E-2</v>
      </c>
      <c r="R19" s="20"/>
      <c r="S19" s="92">
        <v>7.8E-2</v>
      </c>
      <c r="T19" s="20"/>
      <c r="U19" s="16"/>
      <c r="V19" s="16"/>
      <c r="W19" s="16"/>
      <c r="X19" s="16"/>
      <c r="Y19" s="16"/>
      <c r="Z19" s="16"/>
    </row>
    <row r="20" spans="1:26" x14ac:dyDescent="0.25">
      <c r="A20" s="14"/>
      <c r="B20" s="18"/>
      <c r="C20" s="18"/>
      <c r="D20" s="18"/>
      <c r="E20" s="18"/>
      <c r="F20" s="18"/>
      <c r="G20" s="14"/>
      <c r="H20" s="14" t="s">
        <v>35</v>
      </c>
      <c r="I20" s="14"/>
      <c r="J20" s="14"/>
      <c r="K20" s="14"/>
      <c r="L20" s="14"/>
      <c r="M20" s="14"/>
      <c r="O20" s="16"/>
      <c r="P20" s="20"/>
      <c r="Q20" s="92"/>
      <c r="R20" s="20"/>
      <c r="S20" s="92"/>
      <c r="T20" s="20"/>
      <c r="U20" s="16"/>
      <c r="V20" s="16" t="s">
        <v>35</v>
      </c>
      <c r="W20" s="16"/>
      <c r="X20" s="16"/>
      <c r="Y20" s="16"/>
      <c r="Z20" s="16"/>
    </row>
    <row r="21" spans="1:26" x14ac:dyDescent="0.25">
      <c r="A21" s="14" t="s">
        <v>15</v>
      </c>
      <c r="B21" s="18"/>
      <c r="C21" s="18">
        <v>124.7</v>
      </c>
      <c r="D21" s="18"/>
      <c r="E21" s="18">
        <v>449.7</v>
      </c>
      <c r="F21" s="18"/>
      <c r="G21" s="14"/>
      <c r="H21" s="14">
        <f>B29*3.14159*(B30-2*B31)^2/4</f>
        <v>236.69493041600001</v>
      </c>
      <c r="I21" s="14"/>
      <c r="J21" s="14" t="s">
        <v>36</v>
      </c>
      <c r="K21" s="14"/>
      <c r="L21" s="14"/>
      <c r="M21" s="14"/>
      <c r="O21" s="16" t="s">
        <v>15</v>
      </c>
      <c r="P21" s="20"/>
      <c r="Q21" s="92">
        <v>124.7</v>
      </c>
      <c r="R21" s="20"/>
      <c r="S21" s="92">
        <v>449.7</v>
      </c>
      <c r="T21" s="20"/>
      <c r="U21" s="16"/>
      <c r="V21" s="16">
        <f>P29*3.14159*(P30-2*P31)^2/4</f>
        <v>236.69493041600001</v>
      </c>
      <c r="W21" s="16" t="s">
        <v>36</v>
      </c>
      <c r="X21" s="16"/>
      <c r="Y21" s="16"/>
      <c r="Z21" s="16"/>
    </row>
    <row r="22" spans="1:26" x14ac:dyDescent="0.25">
      <c r="A22" s="14"/>
      <c r="B22" s="18"/>
      <c r="C22" s="18"/>
      <c r="D22" s="18"/>
      <c r="E22" s="18"/>
      <c r="F22" s="18"/>
      <c r="G22" s="14"/>
      <c r="H22" s="14">
        <f>H21/144</f>
        <v>1.6437147945555557</v>
      </c>
      <c r="I22" s="14"/>
      <c r="J22" s="14" t="s">
        <v>39</v>
      </c>
      <c r="K22" s="14"/>
      <c r="L22" s="14"/>
      <c r="M22" s="14"/>
      <c r="O22" s="16"/>
      <c r="P22" s="20"/>
      <c r="Q22" s="20"/>
      <c r="R22" s="20"/>
      <c r="S22" s="20"/>
      <c r="T22" s="20"/>
      <c r="U22" s="16"/>
      <c r="V22" s="16">
        <f>V21/144</f>
        <v>1.6437147945555557</v>
      </c>
      <c r="W22" s="16" t="s">
        <v>39</v>
      </c>
      <c r="X22" s="16"/>
      <c r="Y22" s="16"/>
      <c r="Z22" s="16"/>
    </row>
    <row r="23" spans="1:26" ht="16.5" x14ac:dyDescent="0.3">
      <c r="A23" s="14" t="s">
        <v>16</v>
      </c>
      <c r="B23" s="18"/>
      <c r="C23" s="18" t="s">
        <v>21</v>
      </c>
      <c r="D23" s="18"/>
      <c r="E23" s="18" t="s">
        <v>22</v>
      </c>
      <c r="F23" s="18"/>
      <c r="G23" s="14"/>
      <c r="H23" s="14" t="s">
        <v>212</v>
      </c>
      <c r="I23" s="14"/>
      <c r="J23" s="14"/>
      <c r="K23" s="14"/>
      <c r="L23" s="14"/>
      <c r="M23" s="14"/>
      <c r="O23" s="16" t="s">
        <v>16</v>
      </c>
      <c r="P23" s="20"/>
      <c r="Q23" s="20" t="s">
        <v>21</v>
      </c>
      <c r="R23" s="20"/>
      <c r="S23" s="20" t="s">
        <v>22</v>
      </c>
      <c r="T23" s="20"/>
      <c r="U23" s="16"/>
      <c r="V23" s="16" t="s">
        <v>212</v>
      </c>
      <c r="W23" s="16"/>
      <c r="X23" s="16"/>
      <c r="Y23" s="16"/>
      <c r="Z23" s="16"/>
    </row>
    <row r="24" spans="1:26" x14ac:dyDescent="0.25">
      <c r="A24" s="14"/>
      <c r="B24" s="18"/>
      <c r="C24" s="18"/>
      <c r="D24" s="18"/>
      <c r="E24" s="18"/>
      <c r="F24" s="18"/>
      <c r="G24" s="14"/>
      <c r="H24" s="14">
        <f>E6/3600/(H21/144)</f>
        <v>109.99137140049255</v>
      </c>
      <c r="I24" s="14"/>
      <c r="J24" s="14" t="s">
        <v>37</v>
      </c>
      <c r="K24" s="14"/>
      <c r="L24" s="14"/>
      <c r="M24" s="14"/>
      <c r="O24" s="16"/>
      <c r="P24" s="20"/>
      <c r="Q24" s="20"/>
      <c r="R24" s="20"/>
      <c r="S24" s="20"/>
      <c r="T24" s="20"/>
      <c r="U24" s="16"/>
      <c r="V24" s="16">
        <f>S6/3600/(V21/144)</f>
        <v>109.99137140049255</v>
      </c>
      <c r="W24" s="16" t="s">
        <v>37</v>
      </c>
      <c r="X24" s="16"/>
      <c r="Y24" s="16"/>
      <c r="Z24" s="16"/>
    </row>
    <row r="25" spans="1:26" x14ac:dyDescent="0.25">
      <c r="A25" s="14" t="s">
        <v>17</v>
      </c>
      <c r="B25" s="17">
        <v>25000000</v>
      </c>
      <c r="C25" s="18"/>
      <c r="D25" s="18"/>
      <c r="E25" s="18"/>
      <c r="F25" s="18"/>
      <c r="G25" s="14"/>
      <c r="H25" s="14"/>
      <c r="I25" s="14"/>
      <c r="J25" s="14"/>
      <c r="K25" s="14"/>
      <c r="L25" s="14"/>
      <c r="M25" s="14"/>
      <c r="O25" s="16" t="s">
        <v>17</v>
      </c>
      <c r="P25" s="90">
        <v>25000000</v>
      </c>
      <c r="Q25" s="20"/>
      <c r="R25" s="20"/>
      <c r="S25" s="20"/>
      <c r="T25" s="20"/>
      <c r="U25" s="16"/>
      <c r="V25" s="16"/>
      <c r="W25" s="16"/>
      <c r="X25" s="16"/>
      <c r="Y25" s="16"/>
      <c r="Z25" s="16"/>
    </row>
    <row r="26" spans="1:26" x14ac:dyDescent="0.25">
      <c r="A26" s="14" t="s">
        <v>18</v>
      </c>
      <c r="B26" s="18">
        <v>54.9</v>
      </c>
      <c r="C26" s="18"/>
      <c r="D26" s="18"/>
      <c r="E26" s="18"/>
      <c r="F26" s="18"/>
      <c r="G26" s="14"/>
      <c r="H26" s="14" t="s">
        <v>43</v>
      </c>
      <c r="I26" s="14"/>
      <c r="J26" s="14"/>
      <c r="K26" s="14"/>
      <c r="L26" s="14"/>
      <c r="M26" s="14"/>
      <c r="O26" s="16" t="s">
        <v>18</v>
      </c>
      <c r="P26" s="92">
        <v>54.9</v>
      </c>
      <c r="Q26" s="20"/>
      <c r="R26" s="20"/>
      <c r="S26" s="20"/>
      <c r="T26" s="20"/>
      <c r="U26" s="16"/>
      <c r="V26" s="16" t="s">
        <v>43</v>
      </c>
      <c r="W26" s="16"/>
      <c r="X26" s="16"/>
      <c r="Y26" s="16"/>
      <c r="Z26" s="16"/>
    </row>
    <row r="27" spans="1:26" x14ac:dyDescent="0.25">
      <c r="A27" s="14" t="s">
        <v>23</v>
      </c>
      <c r="B27" s="18" t="s">
        <v>24</v>
      </c>
      <c r="C27" s="18"/>
      <c r="D27" s="18"/>
      <c r="E27" s="18"/>
      <c r="F27" s="18"/>
      <c r="G27" s="14"/>
      <c r="H27" s="14">
        <f>E6/E13/3600/B29/B34</f>
        <v>2.8718373733810072</v>
      </c>
      <c r="I27" s="14"/>
      <c r="J27" s="14" t="s">
        <v>45</v>
      </c>
      <c r="K27" s="14"/>
      <c r="L27" s="14"/>
      <c r="M27" s="14"/>
      <c r="O27" s="16" t="s">
        <v>23</v>
      </c>
      <c r="P27" s="20" t="s">
        <v>24</v>
      </c>
      <c r="Q27" s="20"/>
      <c r="R27" s="20"/>
      <c r="S27" s="20"/>
      <c r="T27" s="20"/>
      <c r="U27" s="16"/>
      <c r="V27" s="16">
        <f>S6/S13/3600/P29/P34</f>
        <v>2.8718373733810072</v>
      </c>
      <c r="W27" s="16" t="s">
        <v>45</v>
      </c>
      <c r="X27" s="16"/>
      <c r="Y27" s="16"/>
      <c r="Z27" s="16"/>
    </row>
    <row r="28" spans="1:26" x14ac:dyDescent="0.25">
      <c r="A28" s="14"/>
      <c r="B28" s="18"/>
      <c r="C28" s="18"/>
      <c r="D28" s="18"/>
      <c r="E28" s="18"/>
      <c r="F28" s="18"/>
      <c r="G28" s="14"/>
      <c r="H28" s="24">
        <f>B33*H27*E13/E15</f>
        <v>40269.894574537866</v>
      </c>
      <c r="I28" s="24"/>
      <c r="J28" s="14" t="s">
        <v>44</v>
      </c>
      <c r="K28" s="14"/>
      <c r="L28" s="14"/>
      <c r="M28" s="14"/>
      <c r="O28" s="16"/>
      <c r="P28" s="20"/>
      <c r="Q28" s="20"/>
      <c r="R28" s="20"/>
      <c r="S28" s="20"/>
      <c r="T28" s="20"/>
      <c r="U28" s="16"/>
      <c r="V28" s="25">
        <f>P33*V27*S13/S15</f>
        <v>40269.894574537866</v>
      </c>
      <c r="W28" s="16" t="s">
        <v>44</v>
      </c>
      <c r="X28" s="16"/>
      <c r="Y28" s="16"/>
      <c r="Z28" s="16"/>
    </row>
    <row r="29" spans="1:26" x14ac:dyDescent="0.25">
      <c r="A29" s="14" t="s">
        <v>31</v>
      </c>
      <c r="B29" s="18">
        <v>784</v>
      </c>
      <c r="C29" s="18"/>
      <c r="D29" s="18"/>
      <c r="E29" s="18"/>
      <c r="F29" s="18"/>
      <c r="G29" s="14"/>
      <c r="H29" s="14"/>
      <c r="I29" s="14"/>
      <c r="J29" s="14"/>
      <c r="K29" s="14"/>
      <c r="L29" s="14"/>
      <c r="M29" s="14"/>
      <c r="O29" s="16" t="s">
        <v>31</v>
      </c>
      <c r="P29" s="92">
        <v>784</v>
      </c>
      <c r="Q29" s="20"/>
      <c r="R29" s="20"/>
      <c r="S29" s="20"/>
      <c r="T29" s="20"/>
      <c r="U29" s="16"/>
      <c r="V29" s="16"/>
      <c r="W29" s="16"/>
      <c r="X29" s="16"/>
      <c r="Y29" s="16"/>
      <c r="Z29" s="16"/>
    </row>
    <row r="30" spans="1:26" x14ac:dyDescent="0.25">
      <c r="A30" s="14" t="s">
        <v>32</v>
      </c>
      <c r="B30" s="18">
        <v>0.75</v>
      </c>
      <c r="C30" s="18"/>
      <c r="D30" s="18"/>
      <c r="E30" s="18"/>
      <c r="F30" s="18"/>
      <c r="G30" s="14"/>
      <c r="H30" s="14"/>
      <c r="I30" s="14"/>
      <c r="J30" s="14"/>
      <c r="K30" s="14"/>
      <c r="L30" s="14"/>
      <c r="M30" s="14"/>
      <c r="O30" s="16" t="s">
        <v>32</v>
      </c>
      <c r="P30" s="92">
        <v>0.75</v>
      </c>
      <c r="Q30" s="20"/>
      <c r="R30" s="20"/>
      <c r="S30" s="20"/>
      <c r="T30" s="20"/>
      <c r="U30" s="16"/>
      <c r="V30" s="16"/>
      <c r="W30" s="16"/>
      <c r="X30" s="16"/>
      <c r="Y30" s="16"/>
      <c r="Z30" s="16"/>
    </row>
    <row r="31" spans="1:26" ht="34.5" customHeight="1" x14ac:dyDescent="0.3">
      <c r="A31" s="30" t="s">
        <v>33</v>
      </c>
      <c r="B31" s="31">
        <v>6.5000000000000002E-2</v>
      </c>
      <c r="C31" s="18"/>
      <c r="D31" s="18"/>
      <c r="E31" s="18"/>
      <c r="F31" s="18"/>
      <c r="G31" s="14"/>
      <c r="H31" s="32" t="s">
        <v>213</v>
      </c>
      <c r="I31" s="32"/>
      <c r="J31" s="32"/>
      <c r="K31" s="32"/>
      <c r="L31" s="32"/>
      <c r="M31" s="14"/>
      <c r="O31" s="16" t="s">
        <v>33</v>
      </c>
      <c r="P31" s="92">
        <v>6.5000000000000002E-2</v>
      </c>
      <c r="Q31" s="20"/>
      <c r="R31" s="20"/>
      <c r="S31" s="20"/>
      <c r="T31" s="20"/>
      <c r="U31" s="16"/>
      <c r="V31" s="33" t="s">
        <v>213</v>
      </c>
      <c r="W31" s="33"/>
      <c r="X31" s="33"/>
      <c r="Y31" s="33"/>
      <c r="Z31" s="16"/>
    </row>
    <row r="32" spans="1:26" x14ac:dyDescent="0.25">
      <c r="A32" s="14" t="s">
        <v>40</v>
      </c>
      <c r="B32" s="18">
        <f>B30-2*B31</f>
        <v>0.62</v>
      </c>
      <c r="C32" s="18"/>
      <c r="D32" s="18"/>
      <c r="E32" s="18"/>
      <c r="F32" s="18"/>
      <c r="G32" s="14"/>
      <c r="H32" s="14">
        <f>(E14/E46)^0.47*(E42/E19)^0.67*(E43/E18)^0.33*(E47/H24)^0.8*(B32/E48)^0.2</f>
        <v>0.83917012591766071</v>
      </c>
      <c r="I32" s="14"/>
      <c r="J32" s="14"/>
      <c r="K32" s="14"/>
      <c r="L32" s="14"/>
      <c r="M32" s="14"/>
      <c r="O32" s="16" t="s">
        <v>40</v>
      </c>
      <c r="P32" s="92">
        <f>P30-2*P31</f>
        <v>0.62</v>
      </c>
      <c r="Q32" s="20"/>
      <c r="R32" s="20"/>
      <c r="S32" s="20"/>
      <c r="T32" s="20"/>
      <c r="U32" s="16"/>
      <c r="V32" s="16">
        <f>(S14/S46)^0.47*(S42/S19)^0.67*(S43/S18)^0.33*(S47/V24)^0.8*(P32/S48)^0.2</f>
        <v>0.83917012591766071</v>
      </c>
      <c r="W32" s="16"/>
      <c r="X32" s="16"/>
      <c r="Y32" s="16"/>
      <c r="Z32" s="16"/>
    </row>
    <row r="33" spans="1:26" x14ac:dyDescent="0.25">
      <c r="A33" s="14" t="s">
        <v>41</v>
      </c>
      <c r="B33" s="18">
        <f>B32/12</f>
        <v>5.1666666666666666E-2</v>
      </c>
      <c r="C33" s="18"/>
      <c r="D33" s="18"/>
      <c r="E33" s="18"/>
      <c r="F33" s="18"/>
      <c r="G33" s="14"/>
      <c r="H33" s="14"/>
      <c r="I33" s="14"/>
      <c r="J33" s="14"/>
      <c r="K33" s="14"/>
      <c r="L33" s="14"/>
      <c r="M33" s="14"/>
      <c r="O33" s="16" t="s">
        <v>41</v>
      </c>
      <c r="P33" s="92">
        <f>P32/12</f>
        <v>5.1666666666666666E-2</v>
      </c>
      <c r="Q33" s="20"/>
      <c r="R33" s="20"/>
      <c r="S33" s="20"/>
      <c r="T33" s="20"/>
      <c r="U33" s="16"/>
      <c r="V33" s="16"/>
      <c r="W33" s="16"/>
      <c r="X33" s="16"/>
      <c r="Y33" s="16"/>
      <c r="Z33" s="16"/>
    </row>
    <row r="34" spans="1:26" x14ac:dyDescent="0.25">
      <c r="A34" s="14" t="s">
        <v>42</v>
      </c>
      <c r="B34" s="18">
        <f>B33^2*3.14159/4</f>
        <v>2.0965749930555552E-3</v>
      </c>
      <c r="C34" s="18"/>
      <c r="D34" s="18"/>
      <c r="E34" s="18"/>
      <c r="F34" s="18"/>
      <c r="G34" s="14"/>
      <c r="H34" s="14"/>
      <c r="I34" s="14"/>
      <c r="J34" s="14"/>
      <c r="K34" s="14"/>
      <c r="L34" s="14"/>
      <c r="M34" s="14"/>
      <c r="O34" s="16" t="s">
        <v>42</v>
      </c>
      <c r="P34" s="92">
        <f>P33^2*3.14159/4</f>
        <v>2.0965749930555552E-3</v>
      </c>
      <c r="Q34" s="20"/>
      <c r="R34" s="20"/>
      <c r="S34" s="20"/>
      <c r="T34" s="20"/>
      <c r="U34" s="16"/>
      <c r="V34" s="16"/>
      <c r="W34" s="16"/>
      <c r="X34" s="16"/>
      <c r="Y34" s="16"/>
      <c r="Z34" s="16"/>
    </row>
    <row r="35" spans="1:26" ht="16.5" x14ac:dyDescent="0.3">
      <c r="A35" s="14" t="s">
        <v>34</v>
      </c>
      <c r="B35" s="18">
        <v>30</v>
      </c>
      <c r="C35" s="18"/>
      <c r="D35" s="18"/>
      <c r="E35" s="18"/>
      <c r="F35" s="18"/>
      <c r="G35" s="14"/>
      <c r="H35" s="14" t="s">
        <v>214</v>
      </c>
      <c r="I35" s="14"/>
      <c r="J35" s="14"/>
      <c r="K35" s="14"/>
      <c r="L35" s="14"/>
      <c r="M35" s="14"/>
      <c r="O35" s="16" t="s">
        <v>34</v>
      </c>
      <c r="P35" s="92">
        <v>30</v>
      </c>
      <c r="Q35" s="20"/>
      <c r="R35" s="20"/>
      <c r="S35" s="20"/>
      <c r="T35" s="20"/>
      <c r="U35" s="16"/>
      <c r="V35" s="16" t="s">
        <v>214</v>
      </c>
      <c r="W35" s="16"/>
      <c r="X35" s="16"/>
      <c r="Y35" s="16"/>
      <c r="Z35" s="16"/>
    </row>
    <row r="36" spans="1:26" x14ac:dyDescent="0.25">
      <c r="A36" s="14" t="s">
        <v>56</v>
      </c>
      <c r="B36" s="18"/>
      <c r="C36" s="18">
        <v>2E-3</v>
      </c>
      <c r="D36" s="18"/>
      <c r="E36" s="18">
        <v>1E-3</v>
      </c>
      <c r="F36" s="18"/>
      <c r="G36" s="14"/>
      <c r="H36" s="14">
        <f>E41*H32</f>
        <v>3.1888464784871106E-3</v>
      </c>
      <c r="I36" s="14"/>
      <c r="J36" s="14" t="s">
        <v>46</v>
      </c>
      <c r="K36" s="14"/>
      <c r="L36" s="14"/>
      <c r="M36" s="14"/>
      <c r="O36" s="16" t="s">
        <v>56</v>
      </c>
      <c r="P36" s="20"/>
      <c r="Q36" s="92">
        <v>2E-3</v>
      </c>
      <c r="R36" s="20"/>
      <c r="S36" s="92">
        <v>1E-3</v>
      </c>
      <c r="T36" s="20"/>
      <c r="U36" s="16"/>
      <c r="V36" s="16">
        <f>S41*V32</f>
        <v>3.1888464784871106E-3</v>
      </c>
      <c r="W36" s="16" t="s">
        <v>46</v>
      </c>
      <c r="X36" s="16"/>
      <c r="Y36" s="16"/>
      <c r="Z36" s="16"/>
    </row>
    <row r="37" spans="1:26" x14ac:dyDescent="0.25">
      <c r="A37" s="14" t="s">
        <v>75</v>
      </c>
      <c r="B37" s="18">
        <v>18.625</v>
      </c>
      <c r="C37" s="18"/>
      <c r="D37" s="18"/>
      <c r="E37" s="18"/>
      <c r="F37" s="18"/>
      <c r="G37" s="14"/>
      <c r="H37" s="14"/>
      <c r="I37" s="14"/>
      <c r="J37" s="14"/>
      <c r="K37" s="14"/>
      <c r="L37" s="14"/>
      <c r="M37" s="14"/>
      <c r="O37" s="16" t="s">
        <v>75</v>
      </c>
      <c r="P37" s="92">
        <v>18.625</v>
      </c>
      <c r="Q37" s="20"/>
      <c r="R37" s="20"/>
      <c r="S37" s="20"/>
      <c r="T37" s="20"/>
      <c r="U37" s="16"/>
      <c r="V37" s="16"/>
      <c r="W37" s="16"/>
      <c r="X37" s="16"/>
      <c r="Y37" s="16"/>
      <c r="Z37" s="16"/>
    </row>
    <row r="38" spans="1:26" x14ac:dyDescent="0.25">
      <c r="A38" s="14"/>
      <c r="B38" s="18"/>
      <c r="C38" s="18"/>
      <c r="D38" s="18"/>
      <c r="E38" s="18"/>
      <c r="F38" s="18"/>
      <c r="G38" s="14"/>
      <c r="H38" s="14" t="s">
        <v>47</v>
      </c>
      <c r="I38" s="14"/>
      <c r="J38" s="14"/>
      <c r="K38" s="14"/>
      <c r="L38" s="14"/>
      <c r="M38" s="14"/>
      <c r="O38" s="16"/>
      <c r="P38" s="20"/>
      <c r="Q38" s="20"/>
      <c r="R38" s="20"/>
      <c r="S38" s="20"/>
      <c r="T38" s="20"/>
      <c r="U38" s="16"/>
      <c r="V38" s="16" t="s">
        <v>47</v>
      </c>
      <c r="W38" s="16"/>
      <c r="X38" s="16"/>
      <c r="Y38" s="16"/>
      <c r="Z38" s="16"/>
    </row>
    <row r="39" spans="1:26" ht="16.5" x14ac:dyDescent="0.3">
      <c r="A39" s="13" t="s">
        <v>62</v>
      </c>
      <c r="B39" s="18"/>
      <c r="C39" s="18"/>
      <c r="D39" s="18"/>
      <c r="E39" s="18"/>
      <c r="F39" s="18"/>
      <c r="G39" s="14"/>
      <c r="H39" s="14" t="s">
        <v>215</v>
      </c>
      <c r="I39" s="14"/>
      <c r="J39" s="14"/>
      <c r="K39" s="14"/>
      <c r="L39" s="14"/>
      <c r="M39" s="14"/>
      <c r="O39" s="15" t="s">
        <v>62</v>
      </c>
      <c r="P39" s="20"/>
      <c r="Q39" s="20"/>
      <c r="R39" s="20"/>
      <c r="S39" s="20"/>
      <c r="T39" s="20"/>
      <c r="U39" s="16"/>
      <c r="V39" s="16" t="s">
        <v>215</v>
      </c>
      <c r="W39" s="16"/>
      <c r="X39" s="16"/>
      <c r="Y39" s="16"/>
      <c r="Z39" s="16"/>
    </row>
    <row r="40" spans="1:26" x14ac:dyDescent="0.25">
      <c r="A40" s="14" t="s">
        <v>63</v>
      </c>
      <c r="B40" s="18"/>
      <c r="C40" s="18"/>
      <c r="D40" s="18"/>
      <c r="E40" s="18"/>
      <c r="F40" s="18"/>
      <c r="G40" s="14"/>
      <c r="H40" s="14">
        <f>E45</f>
        <v>6.0999999999999999E-2</v>
      </c>
      <c r="I40" s="14"/>
      <c r="J40" s="14" t="s">
        <v>50</v>
      </c>
      <c r="K40" s="14"/>
      <c r="L40" s="14"/>
      <c r="M40" s="14"/>
      <c r="O40" s="16" t="s">
        <v>63</v>
      </c>
      <c r="P40" s="20"/>
      <c r="Q40" s="20"/>
      <c r="R40" s="20"/>
      <c r="S40" s="20"/>
      <c r="T40" s="20"/>
      <c r="U40" s="16"/>
      <c r="V40" s="16">
        <f>S45</f>
        <v>6.0999999999999999E-2</v>
      </c>
      <c r="W40" s="16" t="s">
        <v>50</v>
      </c>
      <c r="X40" s="16"/>
      <c r="Y40" s="16"/>
      <c r="Z40" s="16"/>
    </row>
    <row r="41" spans="1:26" x14ac:dyDescent="0.25">
      <c r="A41" s="14" t="s">
        <v>64</v>
      </c>
      <c r="B41" s="18"/>
      <c r="C41" s="18">
        <v>2.8E-3</v>
      </c>
      <c r="D41" s="18"/>
      <c r="E41" s="18">
        <v>3.8E-3</v>
      </c>
      <c r="F41" s="18"/>
      <c r="G41" s="14"/>
      <c r="H41" s="14" t="s">
        <v>48</v>
      </c>
      <c r="I41" s="14"/>
      <c r="J41" s="14"/>
      <c r="K41" s="14"/>
      <c r="L41" s="14"/>
      <c r="M41" s="14"/>
      <c r="O41" s="16" t="s">
        <v>64</v>
      </c>
      <c r="P41" s="20"/>
      <c r="Q41" s="92">
        <v>2.8E-3</v>
      </c>
      <c r="R41" s="20"/>
      <c r="S41" s="92">
        <v>3.8E-3</v>
      </c>
      <c r="T41" s="20"/>
      <c r="U41" s="16"/>
      <c r="V41" s="16" t="s">
        <v>48</v>
      </c>
      <c r="W41" s="16"/>
      <c r="X41" s="16"/>
      <c r="Y41" s="16"/>
      <c r="Z41" s="16"/>
    </row>
    <row r="42" spans="1:26" x14ac:dyDescent="0.25">
      <c r="A42" s="14" t="s">
        <v>65</v>
      </c>
      <c r="B42" s="18"/>
      <c r="C42" s="18">
        <v>7.6200000000000004E-2</v>
      </c>
      <c r="D42" s="18"/>
      <c r="E42" s="18">
        <v>7.8799999999999995E-2</v>
      </c>
      <c r="F42" s="18"/>
      <c r="G42" s="14"/>
      <c r="H42" s="14">
        <f>(E14/E46)^0.2*(H24/E47)^1.8*(E44/E13)*(E48/B32)^1.2*(1/1)</f>
        <v>0.28603765853310398</v>
      </c>
      <c r="I42" s="14"/>
      <c r="J42" s="14"/>
      <c r="K42" s="14"/>
      <c r="L42" s="14"/>
      <c r="M42" s="14"/>
      <c r="O42" s="16" t="s">
        <v>65</v>
      </c>
      <c r="P42" s="20"/>
      <c r="Q42" s="92">
        <v>7.6200000000000004E-2</v>
      </c>
      <c r="R42" s="20"/>
      <c r="S42" s="92">
        <v>7.8799999999999995E-2</v>
      </c>
      <c r="T42" s="20"/>
      <c r="U42" s="16"/>
      <c r="V42" s="16">
        <f>(S14/S46)^0.2*(V24/S47)^1.8*(S44/S13)*(S48/P32)^1.2*(1/1)</f>
        <v>0.28603765853310398</v>
      </c>
      <c r="W42" s="16"/>
      <c r="X42" s="16"/>
      <c r="Y42" s="16"/>
      <c r="Z42" s="16"/>
    </row>
    <row r="43" spans="1:26" ht="16.5" x14ac:dyDescent="0.3">
      <c r="A43" s="14" t="s">
        <v>66</v>
      </c>
      <c r="B43" s="18"/>
      <c r="C43" s="18">
        <v>0.55700000000000005</v>
      </c>
      <c r="D43" s="18"/>
      <c r="E43" s="18">
        <v>0.5</v>
      </c>
      <c r="F43" s="18"/>
      <c r="G43" s="14"/>
      <c r="H43" s="14" t="s">
        <v>216</v>
      </c>
      <c r="I43" s="14"/>
      <c r="J43" s="14"/>
      <c r="K43" s="14"/>
      <c r="L43" s="14"/>
      <c r="M43" s="14"/>
      <c r="O43" s="16" t="s">
        <v>66</v>
      </c>
      <c r="P43" s="20"/>
      <c r="Q43" s="92">
        <v>0.55700000000000005</v>
      </c>
      <c r="R43" s="20"/>
      <c r="S43" s="92">
        <v>0.5</v>
      </c>
      <c r="T43" s="20"/>
      <c r="U43" s="16"/>
      <c r="V43" s="16" t="s">
        <v>216</v>
      </c>
      <c r="W43" s="16"/>
      <c r="X43" s="16"/>
      <c r="Y43" s="16"/>
      <c r="Z43" s="16"/>
    </row>
    <row r="44" spans="1:26" x14ac:dyDescent="0.25">
      <c r="A44" s="7" t="s">
        <v>67</v>
      </c>
      <c r="B44" s="18"/>
      <c r="C44" s="18">
        <v>46.8</v>
      </c>
      <c r="D44" s="18"/>
      <c r="E44" s="18">
        <v>46.9</v>
      </c>
      <c r="F44" s="18"/>
      <c r="G44" s="14"/>
      <c r="H44" s="14">
        <f>H42*H40</f>
        <v>1.7448297170519343E-2</v>
      </c>
      <c r="I44" s="14"/>
      <c r="J44" s="14" t="s">
        <v>50</v>
      </c>
      <c r="K44" s="14"/>
      <c r="L44" s="14"/>
      <c r="M44" s="14"/>
      <c r="O44" s="8" t="s">
        <v>67</v>
      </c>
      <c r="P44" s="20"/>
      <c r="Q44" s="92">
        <v>46.8</v>
      </c>
      <c r="R44" s="20"/>
      <c r="S44" s="92">
        <v>46.9</v>
      </c>
      <c r="T44" s="20"/>
      <c r="U44" s="16"/>
      <c r="V44" s="16">
        <f>V42*V40</f>
        <v>1.7448297170519343E-2</v>
      </c>
      <c r="W44" s="16" t="s">
        <v>50</v>
      </c>
      <c r="X44" s="16"/>
      <c r="Y44" s="16"/>
      <c r="Z44" s="16"/>
    </row>
    <row r="45" spans="1:26" x14ac:dyDescent="0.25">
      <c r="A45" s="7" t="s">
        <v>69</v>
      </c>
      <c r="B45" s="18"/>
      <c r="C45" s="18">
        <v>0.25</v>
      </c>
      <c r="D45" s="18"/>
      <c r="E45" s="18">
        <v>6.0999999999999999E-2</v>
      </c>
      <c r="F45" s="18"/>
      <c r="G45" s="14"/>
      <c r="H45" s="14" t="s">
        <v>49</v>
      </c>
      <c r="I45" s="14"/>
      <c r="J45" s="14"/>
      <c r="K45" s="14"/>
      <c r="L45" s="14"/>
      <c r="M45" s="14"/>
      <c r="O45" s="8" t="s">
        <v>69</v>
      </c>
      <c r="P45" s="20"/>
      <c r="Q45" s="92">
        <v>0.25</v>
      </c>
      <c r="R45" s="20"/>
      <c r="S45" s="92">
        <v>6.0999999999999999E-2</v>
      </c>
      <c r="T45" s="20"/>
      <c r="U45" s="16"/>
      <c r="V45" s="16" t="s">
        <v>49</v>
      </c>
      <c r="W45" s="16"/>
      <c r="X45" s="16"/>
      <c r="Y45" s="16"/>
      <c r="Z45" s="16"/>
    </row>
    <row r="46" spans="1:26" x14ac:dyDescent="0.25">
      <c r="A46" s="7" t="s">
        <v>68</v>
      </c>
      <c r="B46" s="18"/>
      <c r="C46" s="18">
        <v>0.54900000000000004</v>
      </c>
      <c r="D46" s="18"/>
      <c r="E46" s="18">
        <v>0.72599999999999998</v>
      </c>
      <c r="F46" s="18"/>
      <c r="G46" s="14"/>
      <c r="H46" s="34">
        <f>B35*H44</f>
        <v>0.52344891511558034</v>
      </c>
      <c r="I46" s="14"/>
      <c r="J46" s="14" t="s">
        <v>72</v>
      </c>
      <c r="K46" s="14" t="s">
        <v>177</v>
      </c>
      <c r="L46" s="14"/>
      <c r="M46" s="14"/>
      <c r="O46" s="8" t="s">
        <v>68</v>
      </c>
      <c r="P46" s="20"/>
      <c r="Q46" s="92">
        <v>0.54900000000000004</v>
      </c>
      <c r="R46" s="20"/>
      <c r="S46" s="92">
        <v>0.72599999999999998</v>
      </c>
      <c r="T46" s="20"/>
      <c r="U46" s="16"/>
      <c r="V46" s="35">
        <f>P35*V44</f>
        <v>0.52344891511558034</v>
      </c>
      <c r="W46" s="16" t="s">
        <v>72</v>
      </c>
      <c r="X46" s="16" t="s">
        <v>177</v>
      </c>
      <c r="Y46" s="16"/>
      <c r="Z46" s="16"/>
    </row>
    <row r="47" spans="1:26" ht="16.5" x14ac:dyDescent="0.3">
      <c r="A47" s="7" t="s">
        <v>217</v>
      </c>
      <c r="B47" s="18"/>
      <c r="C47" s="18">
        <v>132.4</v>
      </c>
      <c r="D47" s="18"/>
      <c r="E47" s="18">
        <v>185</v>
      </c>
      <c r="F47" s="18"/>
      <c r="G47" s="14"/>
      <c r="H47" s="14"/>
      <c r="I47" s="14"/>
      <c r="J47" s="14"/>
      <c r="K47" s="14"/>
      <c r="L47" s="14"/>
      <c r="M47" s="14"/>
      <c r="O47" s="8" t="s">
        <v>217</v>
      </c>
      <c r="P47" s="20"/>
      <c r="Q47" s="92">
        <v>132.4</v>
      </c>
      <c r="R47" s="20"/>
      <c r="S47" s="92">
        <v>185</v>
      </c>
      <c r="T47" s="20"/>
      <c r="U47" s="16"/>
      <c r="V47" s="16"/>
      <c r="W47" s="16"/>
      <c r="X47" s="16"/>
      <c r="Y47" s="16"/>
      <c r="Z47" s="16"/>
    </row>
    <row r="48" spans="1:26" ht="47.25" customHeight="1" x14ac:dyDescent="0.25">
      <c r="A48" s="36" t="s">
        <v>218</v>
      </c>
      <c r="B48" s="31"/>
      <c r="C48" s="31">
        <v>0.625</v>
      </c>
      <c r="D48" s="31"/>
      <c r="E48" s="31">
        <v>0.495</v>
      </c>
      <c r="F48" s="18"/>
      <c r="G48" s="14"/>
      <c r="H48" s="28" t="s">
        <v>163</v>
      </c>
      <c r="I48" s="28"/>
      <c r="J48" s="28"/>
      <c r="K48" s="28"/>
      <c r="L48" s="28"/>
      <c r="M48" s="14"/>
      <c r="O48" s="37" t="s">
        <v>218</v>
      </c>
      <c r="P48" s="38"/>
      <c r="Q48" s="93">
        <v>0.625</v>
      </c>
      <c r="R48" s="38"/>
      <c r="S48" s="93">
        <v>0.495</v>
      </c>
      <c r="T48" s="20"/>
      <c r="U48" s="16"/>
      <c r="V48" s="29" t="s">
        <v>163</v>
      </c>
      <c r="W48" s="29"/>
      <c r="X48" s="29"/>
      <c r="Y48" s="29"/>
      <c r="Z48" s="16"/>
    </row>
    <row r="49" spans="1:27" x14ac:dyDescent="0.25">
      <c r="A49" s="14"/>
      <c r="B49" s="18"/>
      <c r="C49" s="18"/>
      <c r="D49" s="18"/>
      <c r="E49" s="18"/>
      <c r="F49" s="18"/>
      <c r="G49" s="14"/>
      <c r="H49" s="14" t="s">
        <v>73</v>
      </c>
      <c r="I49" s="14"/>
      <c r="J49" s="14"/>
      <c r="K49" s="14"/>
      <c r="L49" s="14"/>
      <c r="M49" s="14"/>
      <c r="O49" s="16"/>
      <c r="P49" s="20"/>
      <c r="Q49" s="20"/>
      <c r="R49" s="20"/>
      <c r="S49" s="20"/>
      <c r="T49" s="20"/>
      <c r="U49" s="16"/>
      <c r="V49" s="16" t="s">
        <v>73</v>
      </c>
      <c r="W49" s="16"/>
      <c r="X49" s="16"/>
      <c r="Y49" s="16"/>
      <c r="Z49" s="16"/>
    </row>
    <row r="50" spans="1:27" x14ac:dyDescent="0.25">
      <c r="A50" s="13" t="s">
        <v>70</v>
      </c>
      <c r="B50" s="18"/>
      <c r="C50" s="18"/>
      <c r="D50" s="18"/>
      <c r="E50" s="18"/>
      <c r="F50" s="18"/>
      <c r="G50" s="14"/>
      <c r="H50" s="14">
        <f>C6/3600/(C51/144)</f>
        <v>121.35790816326529</v>
      </c>
      <c r="I50" s="14"/>
      <c r="J50" s="14" t="s">
        <v>51</v>
      </c>
      <c r="K50" s="14"/>
      <c r="L50" s="14"/>
      <c r="M50" s="14"/>
      <c r="O50" s="15" t="s">
        <v>70</v>
      </c>
      <c r="P50" s="20"/>
      <c r="Q50" s="20"/>
      <c r="R50" s="20"/>
      <c r="S50" s="20"/>
      <c r="T50" s="20"/>
      <c r="U50" s="16"/>
      <c r="V50" s="16">
        <f>Q6/3600/(Q51/144)</f>
        <v>121.35790816326529</v>
      </c>
      <c r="W50" s="16" t="s">
        <v>51</v>
      </c>
      <c r="X50" s="16"/>
      <c r="Y50" s="16"/>
      <c r="Z50" s="16"/>
    </row>
    <row r="51" spans="1:27" x14ac:dyDescent="0.25">
      <c r="A51" s="14" t="s">
        <v>71</v>
      </c>
      <c r="B51" s="18"/>
      <c r="C51" s="18">
        <v>156.80000000000001</v>
      </c>
      <c r="D51" s="18"/>
      <c r="E51" s="18"/>
      <c r="F51" s="18"/>
      <c r="G51" s="14"/>
      <c r="H51" s="14"/>
      <c r="I51" s="14"/>
      <c r="J51" s="14"/>
      <c r="K51" s="14"/>
      <c r="L51" s="14"/>
      <c r="M51" s="14"/>
      <c r="O51" s="16" t="s">
        <v>71</v>
      </c>
      <c r="P51" s="20"/>
      <c r="Q51" s="92">
        <v>156.80000000000001</v>
      </c>
      <c r="R51" s="20"/>
      <c r="S51" s="20"/>
      <c r="T51" s="20"/>
      <c r="U51" s="16"/>
      <c r="V51" s="16"/>
      <c r="W51" s="16"/>
      <c r="X51" s="16"/>
      <c r="Y51" s="16"/>
      <c r="Z51" s="16"/>
    </row>
    <row r="52" spans="1:27" s="5" customFormat="1" ht="30" customHeight="1" x14ac:dyDescent="0.25">
      <c r="A52" s="39" t="s">
        <v>179</v>
      </c>
      <c r="B52" s="31"/>
      <c r="C52" s="31"/>
      <c r="D52" s="31"/>
      <c r="E52" s="31"/>
      <c r="F52" s="31"/>
      <c r="G52" s="30"/>
      <c r="H52" s="39" t="s">
        <v>52</v>
      </c>
      <c r="I52" s="39"/>
      <c r="J52" s="39"/>
      <c r="K52" s="39"/>
      <c r="L52" s="39"/>
      <c r="M52" s="39"/>
      <c r="N52" s="40"/>
      <c r="O52" s="41" t="s">
        <v>179</v>
      </c>
      <c r="P52" s="42"/>
      <c r="Q52" s="42"/>
      <c r="R52" s="42"/>
      <c r="S52" s="42"/>
      <c r="T52" s="42"/>
      <c r="U52" s="42"/>
      <c r="V52" s="41" t="s">
        <v>52</v>
      </c>
      <c r="W52" s="41"/>
      <c r="X52" s="41"/>
      <c r="Y52" s="41"/>
      <c r="Z52" s="41"/>
      <c r="AA52" s="40"/>
    </row>
    <row r="53" spans="1:27" x14ac:dyDescent="0.25">
      <c r="A53" s="39"/>
      <c r="B53" s="18"/>
      <c r="C53" s="18"/>
      <c r="D53" s="18"/>
      <c r="E53" s="18"/>
      <c r="F53" s="18"/>
      <c r="G53" s="14"/>
      <c r="H53" s="14">
        <f>(C14/C46)^0.27*(C42/C19)^0.67*(C43/C18)^0.33*(C47/H50)^0.6*(B30/C48)^0.4</f>
        <v>0.99782116059321946</v>
      </c>
      <c r="I53" s="14"/>
      <c r="J53" s="14"/>
      <c r="K53" s="14"/>
      <c r="L53" s="14"/>
      <c r="M53" s="14"/>
      <c r="O53" s="41"/>
      <c r="P53" s="16"/>
      <c r="Q53" s="16"/>
      <c r="R53" s="16"/>
      <c r="S53" s="16"/>
      <c r="T53" s="16"/>
      <c r="U53" s="16"/>
      <c r="V53" s="16">
        <f>(Q14/Q46)^0.27*(Q42/Q19)^0.67*(Q43/Q18)^0.33*(Q47/V50)^0.6*(P30/Q48)^0.4</f>
        <v>0.99782116059321946</v>
      </c>
      <c r="W53" s="16"/>
      <c r="X53" s="16"/>
      <c r="Y53" s="16"/>
      <c r="Z53" s="16"/>
    </row>
    <row r="54" spans="1:27" x14ac:dyDescent="0.25">
      <c r="A54" s="39"/>
      <c r="B54" s="18"/>
      <c r="C54" s="18"/>
      <c r="D54" s="18"/>
      <c r="E54" s="18"/>
      <c r="F54" s="18"/>
      <c r="G54" s="14"/>
      <c r="H54" s="14"/>
      <c r="I54" s="14"/>
      <c r="J54" s="14"/>
      <c r="K54" s="14"/>
      <c r="L54" s="14"/>
      <c r="M54" s="14"/>
      <c r="O54" s="41"/>
      <c r="P54" s="16"/>
      <c r="Q54" s="16"/>
      <c r="R54" s="16"/>
      <c r="S54" s="16"/>
      <c r="T54" s="16"/>
      <c r="U54" s="16"/>
      <c r="V54" s="16"/>
      <c r="W54" s="16"/>
      <c r="X54" s="16"/>
      <c r="Y54" s="16"/>
      <c r="Z54" s="16"/>
    </row>
    <row r="55" spans="1:27" ht="16.5" x14ac:dyDescent="0.3">
      <c r="A55" s="39"/>
      <c r="B55" s="18"/>
      <c r="C55" s="18"/>
      <c r="D55" s="18"/>
      <c r="E55" s="18"/>
      <c r="F55" s="18"/>
      <c r="G55" s="14"/>
      <c r="H55" s="14" t="s">
        <v>219</v>
      </c>
      <c r="I55" s="14"/>
      <c r="J55" s="14"/>
      <c r="K55" s="14"/>
      <c r="L55" s="14"/>
      <c r="M55" s="14"/>
      <c r="O55" s="41"/>
      <c r="P55" s="16"/>
      <c r="Q55" s="16"/>
      <c r="R55" s="16"/>
      <c r="S55" s="16"/>
      <c r="T55" s="16"/>
      <c r="U55" s="16"/>
      <c r="V55" s="16" t="s">
        <v>219</v>
      </c>
      <c r="W55" s="16"/>
      <c r="X55" s="16"/>
      <c r="Y55" s="16"/>
      <c r="Z55" s="16"/>
    </row>
    <row r="56" spans="1:27" x14ac:dyDescent="0.25">
      <c r="A56" s="39"/>
      <c r="B56" s="18"/>
      <c r="C56" s="18"/>
      <c r="D56" s="18"/>
      <c r="E56" s="18"/>
      <c r="F56" s="18"/>
      <c r="G56" s="14"/>
      <c r="H56" s="14">
        <f>C41*H53</f>
        <v>2.7938992496610144E-3</v>
      </c>
      <c r="I56" s="14"/>
      <c r="J56" s="14" t="s">
        <v>46</v>
      </c>
      <c r="K56" s="14"/>
      <c r="L56" s="14"/>
      <c r="M56" s="14"/>
      <c r="O56" s="41"/>
      <c r="P56" s="16"/>
      <c r="Q56" s="16"/>
      <c r="R56" s="16"/>
      <c r="S56" s="16"/>
      <c r="T56" s="16"/>
      <c r="U56" s="16"/>
      <c r="V56" s="16">
        <f>Q41*V53</f>
        <v>2.7938992496610144E-3</v>
      </c>
      <c r="W56" s="16" t="s">
        <v>46</v>
      </c>
      <c r="X56" s="16"/>
      <c r="Y56" s="16"/>
      <c r="Z56" s="16"/>
    </row>
    <row r="57" spans="1:27" x14ac:dyDescent="0.25">
      <c r="A57" s="39"/>
      <c r="B57" s="18"/>
      <c r="C57" s="18"/>
      <c r="D57" s="18"/>
      <c r="E57" s="18"/>
      <c r="F57" s="18"/>
      <c r="G57" s="14"/>
      <c r="H57" s="14"/>
      <c r="I57" s="14"/>
      <c r="J57" s="14"/>
      <c r="K57" s="14"/>
      <c r="L57" s="14"/>
      <c r="M57" s="14"/>
      <c r="O57" s="41"/>
      <c r="P57" s="16"/>
      <c r="Q57" s="16"/>
      <c r="R57" s="16"/>
      <c r="S57" s="16"/>
      <c r="T57" s="16"/>
      <c r="U57" s="16"/>
      <c r="V57" s="16"/>
      <c r="W57" s="16"/>
      <c r="X57" s="16"/>
      <c r="Y57" s="16"/>
      <c r="Z57" s="16"/>
    </row>
    <row r="58" spans="1:27" x14ac:dyDescent="0.25">
      <c r="A58" s="14"/>
      <c r="B58" s="18"/>
      <c r="C58" s="18"/>
      <c r="D58" s="18"/>
      <c r="E58" s="18"/>
      <c r="F58" s="18"/>
      <c r="G58" s="14"/>
      <c r="H58" s="14" t="s">
        <v>53</v>
      </c>
      <c r="I58" s="14"/>
      <c r="J58" s="14"/>
      <c r="K58" s="14"/>
      <c r="L58" s="14"/>
      <c r="M58" s="14"/>
      <c r="O58" s="16"/>
      <c r="P58" s="16"/>
      <c r="Q58" s="16"/>
      <c r="R58" s="16"/>
      <c r="S58" s="16"/>
      <c r="T58" s="16"/>
      <c r="U58" s="16"/>
      <c r="V58" s="16" t="s">
        <v>53</v>
      </c>
      <c r="W58" s="16"/>
      <c r="X58" s="16"/>
      <c r="Y58" s="16"/>
      <c r="Z58" s="16"/>
    </row>
    <row r="59" spans="1:27" x14ac:dyDescent="0.25">
      <c r="A59" s="14"/>
      <c r="B59" s="18"/>
      <c r="C59" s="18"/>
      <c r="D59" s="18"/>
      <c r="E59" s="18"/>
      <c r="F59" s="18"/>
      <c r="G59" s="14"/>
      <c r="H59" s="14">
        <f>(C14/C46)^0.15*(H50/C47)^1.85*(C44/C13)*(C48/B30)^0.15*(19/1)*(23/10)</f>
        <v>38.26238630729592</v>
      </c>
      <c r="I59" s="14"/>
      <c r="J59" s="14"/>
      <c r="K59" s="14"/>
      <c r="L59" s="14"/>
      <c r="M59" s="14"/>
      <c r="O59" s="16"/>
      <c r="P59" s="16"/>
      <c r="Q59" s="16"/>
      <c r="R59" s="16"/>
      <c r="S59" s="16"/>
      <c r="T59" s="16"/>
      <c r="U59" s="16"/>
      <c r="V59" s="16">
        <f>(Q14/Q46)^0.15*(V50/Q47)^1.85*(Q44/Q13)*(Q48/P30)^0.15*(19/1)*(23/10)</f>
        <v>38.26238630729592</v>
      </c>
      <c r="W59" s="16"/>
      <c r="X59" s="16"/>
      <c r="Y59" s="16"/>
      <c r="Z59" s="16"/>
    </row>
    <row r="60" spans="1:27" x14ac:dyDescent="0.25">
      <c r="A60" s="14"/>
      <c r="B60" s="18"/>
      <c r="C60" s="18"/>
      <c r="D60" s="18"/>
      <c r="E60" s="18"/>
      <c r="F60" s="18"/>
      <c r="G60" s="14"/>
      <c r="H60" s="14"/>
      <c r="I60" s="14"/>
      <c r="J60" s="14"/>
      <c r="K60" s="14"/>
      <c r="L60" s="14"/>
      <c r="M60" s="14"/>
      <c r="O60" s="16"/>
      <c r="P60" s="16"/>
      <c r="Q60" s="16"/>
      <c r="R60" s="16"/>
      <c r="S60" s="16"/>
      <c r="T60" s="16"/>
      <c r="U60" s="16"/>
      <c r="V60" s="16"/>
      <c r="W60" s="16"/>
      <c r="X60" s="16"/>
      <c r="Y60" s="16"/>
      <c r="Z60" s="16"/>
    </row>
    <row r="61" spans="1:27" ht="16.5" x14ac:dyDescent="0.3">
      <c r="A61" s="14"/>
      <c r="B61" s="18"/>
      <c r="C61" s="18"/>
      <c r="D61" s="18"/>
      <c r="E61" s="18"/>
      <c r="F61" s="18"/>
      <c r="G61" s="14"/>
      <c r="H61" s="14" t="s">
        <v>220</v>
      </c>
      <c r="I61" s="14"/>
      <c r="J61" s="14"/>
      <c r="K61" s="14"/>
      <c r="L61" s="14"/>
      <c r="M61" s="14"/>
      <c r="O61" s="16"/>
      <c r="P61" s="16"/>
      <c r="Q61" s="16"/>
      <c r="R61" s="16"/>
      <c r="S61" s="16"/>
      <c r="T61" s="16"/>
      <c r="U61" s="16"/>
      <c r="V61" s="16" t="s">
        <v>220</v>
      </c>
      <c r="W61" s="16"/>
      <c r="X61" s="16"/>
      <c r="Y61" s="16"/>
      <c r="Z61" s="16"/>
    </row>
    <row r="62" spans="1:27" x14ac:dyDescent="0.25">
      <c r="A62" s="14"/>
      <c r="B62" s="18"/>
      <c r="C62" s="18"/>
      <c r="D62" s="18"/>
      <c r="E62" s="18"/>
      <c r="F62" s="18"/>
      <c r="G62" s="14"/>
      <c r="H62" s="34">
        <f>0.25*H59</f>
        <v>9.5655965768239799</v>
      </c>
      <c r="I62" s="14"/>
      <c r="J62" s="14" t="s">
        <v>54</v>
      </c>
      <c r="K62" s="14" t="s">
        <v>74</v>
      </c>
      <c r="L62" s="14"/>
      <c r="M62" s="14"/>
      <c r="O62" s="16"/>
      <c r="P62" s="16"/>
      <c r="Q62" s="16"/>
      <c r="R62" s="16"/>
      <c r="S62" s="16"/>
      <c r="T62" s="16"/>
      <c r="U62" s="16"/>
      <c r="V62" s="35">
        <f>0.25*V59</f>
        <v>9.5655965768239799</v>
      </c>
      <c r="W62" s="16" t="s">
        <v>54</v>
      </c>
      <c r="X62" s="16" t="s">
        <v>74</v>
      </c>
      <c r="Y62" s="16"/>
      <c r="Z62" s="16"/>
    </row>
    <row r="63" spans="1:27" x14ac:dyDescent="0.25">
      <c r="A63" s="14"/>
      <c r="B63" s="18"/>
      <c r="C63" s="18"/>
      <c r="D63" s="18"/>
      <c r="E63" s="18"/>
      <c r="F63" s="18"/>
      <c r="G63" s="14"/>
      <c r="H63" s="14"/>
      <c r="I63" s="14"/>
      <c r="J63" s="14"/>
      <c r="K63" s="14"/>
      <c r="L63" s="14"/>
      <c r="M63" s="14"/>
      <c r="O63" s="16"/>
      <c r="P63" s="16"/>
      <c r="Q63" s="16"/>
      <c r="R63" s="16"/>
      <c r="S63" s="16"/>
      <c r="T63" s="16"/>
      <c r="U63" s="16"/>
      <c r="V63" s="16"/>
      <c r="W63" s="16"/>
      <c r="X63" s="16"/>
      <c r="Y63" s="16"/>
      <c r="Z63" s="16"/>
    </row>
    <row r="64" spans="1:27" x14ac:dyDescent="0.25">
      <c r="A64" s="14"/>
      <c r="B64" s="18"/>
      <c r="C64" s="18"/>
      <c r="D64" s="18"/>
      <c r="E64" s="18"/>
      <c r="F64" s="18"/>
      <c r="G64" s="14"/>
      <c r="H64" s="13" t="s">
        <v>164</v>
      </c>
      <c r="I64" s="13"/>
      <c r="J64" s="14"/>
      <c r="K64" s="14"/>
      <c r="L64" s="14"/>
      <c r="M64" s="14"/>
      <c r="O64" s="16"/>
      <c r="P64" s="16"/>
      <c r="Q64" s="16"/>
      <c r="R64" s="16"/>
      <c r="S64" s="16"/>
      <c r="T64" s="16"/>
      <c r="U64" s="16"/>
      <c r="V64" s="15" t="s">
        <v>164</v>
      </c>
      <c r="W64" s="16"/>
      <c r="X64" s="16"/>
      <c r="Y64" s="16"/>
      <c r="Z64" s="16"/>
    </row>
    <row r="65" spans="1:26" ht="16.5" x14ac:dyDescent="0.3">
      <c r="A65" s="14"/>
      <c r="B65" s="18"/>
      <c r="C65" s="18"/>
      <c r="D65" s="18"/>
      <c r="E65" s="18"/>
      <c r="F65" s="18"/>
      <c r="G65" s="14"/>
      <c r="H65" s="14" t="s">
        <v>221</v>
      </c>
      <c r="I65" s="14"/>
      <c r="J65" s="14"/>
      <c r="K65" s="14"/>
      <c r="L65" s="14"/>
      <c r="M65" s="14"/>
      <c r="O65" s="16"/>
      <c r="P65" s="16"/>
      <c r="Q65" s="16"/>
      <c r="R65" s="16"/>
      <c r="S65" s="16"/>
      <c r="T65" s="16"/>
      <c r="U65" s="16"/>
      <c r="V65" s="16" t="s">
        <v>221</v>
      </c>
      <c r="W65" s="16"/>
      <c r="X65" s="16"/>
      <c r="Y65" s="16"/>
      <c r="Z65" s="16"/>
    </row>
    <row r="66" spans="1:26" x14ac:dyDescent="0.25">
      <c r="A66" s="14"/>
      <c r="B66" s="18"/>
      <c r="C66" s="18"/>
      <c r="D66" s="18"/>
      <c r="E66" s="18"/>
      <c r="F66" s="18"/>
      <c r="G66" s="14"/>
      <c r="H66" s="43">
        <f>B30/24/30*LN(B30/B32)</f>
        <v>1.9828513384501971E-4</v>
      </c>
      <c r="I66" s="43"/>
      <c r="J66" s="14" t="s">
        <v>46</v>
      </c>
      <c r="K66" s="14"/>
      <c r="L66" s="14"/>
      <c r="M66" s="14"/>
      <c r="O66" s="16"/>
      <c r="P66" s="16"/>
      <c r="Q66" s="16"/>
      <c r="R66" s="16"/>
      <c r="S66" s="16"/>
      <c r="T66" s="16"/>
      <c r="U66" s="16"/>
      <c r="V66" s="44">
        <f>P30/24/30*LN(P30/P32)</f>
        <v>1.9828513384501971E-4</v>
      </c>
      <c r="W66" s="16" t="s">
        <v>46</v>
      </c>
      <c r="X66" s="16"/>
      <c r="Y66" s="16"/>
      <c r="Z66" s="16"/>
    </row>
    <row r="67" spans="1:26" x14ac:dyDescent="0.25">
      <c r="A67" s="14"/>
      <c r="B67" s="18"/>
      <c r="C67" s="18"/>
      <c r="D67" s="18"/>
      <c r="E67" s="18"/>
      <c r="F67" s="18"/>
      <c r="G67" s="14"/>
      <c r="H67" s="14"/>
      <c r="I67" s="14"/>
      <c r="J67" s="14"/>
      <c r="K67" s="14"/>
      <c r="L67" s="14"/>
      <c r="M67" s="14"/>
      <c r="O67" s="16"/>
      <c r="P67" s="16"/>
      <c r="Q67" s="16"/>
      <c r="R67" s="16"/>
      <c r="S67" s="16"/>
      <c r="T67" s="16"/>
      <c r="U67" s="16"/>
      <c r="V67" s="16"/>
      <c r="W67" s="16"/>
      <c r="X67" s="16"/>
      <c r="Y67" s="16"/>
      <c r="Z67" s="16"/>
    </row>
    <row r="68" spans="1:26" ht="33" customHeight="1" x14ac:dyDescent="0.25">
      <c r="A68" s="14"/>
      <c r="B68" s="18"/>
      <c r="C68" s="18"/>
      <c r="D68" s="18"/>
      <c r="E68" s="18"/>
      <c r="F68" s="18"/>
      <c r="G68" s="14"/>
      <c r="H68" s="28" t="s">
        <v>165</v>
      </c>
      <c r="I68" s="28"/>
      <c r="J68" s="28"/>
      <c r="K68" s="28"/>
      <c r="L68" s="28"/>
      <c r="M68" s="28"/>
      <c r="O68" s="16"/>
      <c r="P68" s="16"/>
      <c r="Q68" s="16"/>
      <c r="R68" s="16"/>
      <c r="S68" s="16"/>
      <c r="T68" s="16"/>
      <c r="U68" s="16"/>
      <c r="V68" s="12" t="s">
        <v>165</v>
      </c>
      <c r="W68" s="12"/>
      <c r="X68" s="12"/>
      <c r="Y68" s="12"/>
      <c r="Z68" s="12"/>
    </row>
    <row r="69" spans="1:26" x14ac:dyDescent="0.25">
      <c r="A69" s="14"/>
      <c r="B69" s="18"/>
      <c r="C69" s="18"/>
      <c r="D69" s="18"/>
      <c r="E69" s="18"/>
      <c r="F69" s="18"/>
      <c r="G69" s="14"/>
      <c r="H69" s="14" t="s">
        <v>55</v>
      </c>
      <c r="I69" s="14"/>
      <c r="J69" s="14"/>
      <c r="K69" s="14"/>
      <c r="L69" s="14"/>
      <c r="M69" s="14"/>
      <c r="O69" s="16"/>
      <c r="P69" s="16"/>
      <c r="Q69" s="16"/>
      <c r="R69" s="16"/>
      <c r="S69" s="16"/>
      <c r="T69" s="16"/>
      <c r="U69" s="16"/>
      <c r="V69" s="16" t="s">
        <v>55</v>
      </c>
      <c r="W69" s="16"/>
      <c r="X69" s="16"/>
      <c r="Y69" s="16"/>
      <c r="Z69" s="16"/>
    </row>
    <row r="70" spans="1:26" x14ac:dyDescent="0.25">
      <c r="A70" s="14"/>
      <c r="B70" s="14"/>
      <c r="C70" s="14"/>
      <c r="D70" s="14"/>
      <c r="E70" s="14"/>
      <c r="F70" s="14"/>
      <c r="G70" s="14"/>
      <c r="H70" s="14">
        <f>H36*((B30*3.14159*12/144)/(B32*3.14159*12/144))+H56+H66+C36+E36*((B30*3.14159*12/144)/(B32*3.14159*12/144))</f>
        <v>1.0059337381675925E-2</v>
      </c>
      <c r="I70" s="14"/>
      <c r="J70" s="14" t="s">
        <v>46</v>
      </c>
      <c r="K70" s="14"/>
      <c r="L70" s="14"/>
      <c r="M70" s="14"/>
      <c r="O70" s="16"/>
      <c r="P70" s="16"/>
      <c r="Q70" s="16"/>
      <c r="R70" s="16"/>
      <c r="S70" s="16"/>
      <c r="T70" s="16"/>
      <c r="U70" s="16"/>
      <c r="V70" s="16">
        <f>V36*((P30*3.14159*12/144)/(P32*3.14159*12/144))+V56+V66+Q36+S36*((P30*3.14159*12/144)/(P32*3.14159*12/144))</f>
        <v>1.0059337381675925E-2</v>
      </c>
      <c r="W70" s="16" t="s">
        <v>46</v>
      </c>
      <c r="X70" s="16"/>
      <c r="Y70" s="16"/>
      <c r="Z70" s="16"/>
    </row>
    <row r="71" spans="1:26" x14ac:dyDescent="0.25">
      <c r="A71" s="14"/>
      <c r="B71" s="14"/>
      <c r="C71" s="14"/>
      <c r="D71" s="14"/>
      <c r="E71" s="14"/>
      <c r="F71" s="14"/>
      <c r="G71" s="14"/>
      <c r="H71" s="14" t="s">
        <v>57</v>
      </c>
      <c r="I71" s="14"/>
      <c r="J71" s="14"/>
      <c r="K71" s="43"/>
      <c r="L71" s="14"/>
      <c r="M71" s="14"/>
      <c r="O71" s="16"/>
      <c r="P71" s="16"/>
      <c r="Q71" s="16"/>
      <c r="R71" s="16"/>
      <c r="S71" s="16"/>
      <c r="T71" s="16"/>
      <c r="U71" s="16"/>
      <c r="V71" s="16" t="s">
        <v>57</v>
      </c>
      <c r="W71" s="16"/>
      <c r="X71" s="44"/>
      <c r="Y71" s="16"/>
      <c r="Z71" s="16"/>
    </row>
    <row r="72" spans="1:26" x14ac:dyDescent="0.25">
      <c r="A72" s="14"/>
      <c r="B72" s="14"/>
      <c r="C72" s="14"/>
      <c r="D72" s="14"/>
      <c r="E72" s="14"/>
      <c r="F72" s="14"/>
      <c r="G72" s="14"/>
      <c r="H72" s="26">
        <f>1/H70</f>
        <v>99.410126339096507</v>
      </c>
      <c r="I72" s="14"/>
      <c r="J72" s="14" t="s">
        <v>58</v>
      </c>
      <c r="K72" s="14"/>
      <c r="L72" s="14"/>
      <c r="M72" s="14"/>
      <c r="O72" s="16"/>
      <c r="P72" s="16"/>
      <c r="Q72" s="16"/>
      <c r="R72" s="16"/>
      <c r="S72" s="16"/>
      <c r="T72" s="16"/>
      <c r="U72" s="16"/>
      <c r="V72" s="27">
        <f>1/V70</f>
        <v>99.410126339096507</v>
      </c>
      <c r="W72" s="16" t="s">
        <v>58</v>
      </c>
      <c r="X72" s="16"/>
      <c r="Y72" s="16"/>
      <c r="Z72" s="16"/>
    </row>
    <row r="73" spans="1:26" x14ac:dyDescent="0.25">
      <c r="A73" s="14"/>
      <c r="B73" s="14"/>
      <c r="C73" s="14"/>
      <c r="D73" s="14"/>
      <c r="E73" s="14"/>
      <c r="F73" s="14"/>
      <c r="G73" s="14"/>
      <c r="H73" s="14"/>
      <c r="I73" s="14"/>
      <c r="J73" s="14"/>
      <c r="K73" s="14"/>
      <c r="L73" s="14"/>
      <c r="M73" s="14"/>
      <c r="O73" s="16"/>
      <c r="P73" s="16"/>
      <c r="Q73" s="16"/>
      <c r="R73" s="16"/>
      <c r="S73" s="16"/>
      <c r="T73" s="16"/>
      <c r="U73" s="16"/>
      <c r="V73" s="16"/>
      <c r="W73" s="16"/>
      <c r="X73" s="16"/>
      <c r="Y73" s="16"/>
      <c r="Z73" s="16"/>
    </row>
    <row r="74" spans="1:26" ht="29.25" customHeight="1" x14ac:dyDescent="0.25">
      <c r="A74" s="14"/>
      <c r="B74" s="14"/>
      <c r="C74" s="14"/>
      <c r="D74" s="14"/>
      <c r="E74" s="14"/>
      <c r="F74" s="14"/>
      <c r="G74" s="14"/>
      <c r="H74" s="28" t="s">
        <v>166</v>
      </c>
      <c r="I74" s="28"/>
      <c r="J74" s="28"/>
      <c r="K74" s="28"/>
      <c r="L74" s="28"/>
      <c r="M74" s="28"/>
      <c r="O74" s="16"/>
      <c r="P74" s="16"/>
      <c r="Q74" s="16"/>
      <c r="R74" s="16"/>
      <c r="S74" s="16"/>
      <c r="T74" s="16"/>
      <c r="U74" s="16"/>
      <c r="V74" s="29" t="s">
        <v>166</v>
      </c>
      <c r="W74" s="29"/>
      <c r="X74" s="29"/>
      <c r="Y74" s="29"/>
      <c r="Z74" s="29"/>
    </row>
    <row r="75" spans="1:26" ht="32.25" customHeight="1" x14ac:dyDescent="0.25">
      <c r="A75" s="14"/>
      <c r="B75" s="14"/>
      <c r="C75" s="14"/>
      <c r="D75" s="14"/>
      <c r="E75" s="14"/>
      <c r="F75" s="14"/>
      <c r="G75" s="14"/>
      <c r="H75" s="28" t="s">
        <v>59</v>
      </c>
      <c r="I75" s="28"/>
      <c r="J75" s="28"/>
      <c r="K75" s="28"/>
      <c r="L75" s="28"/>
      <c r="M75" s="28"/>
      <c r="O75" s="16"/>
      <c r="P75" s="16"/>
      <c r="Q75" s="16"/>
      <c r="R75" s="16"/>
      <c r="S75" s="16"/>
      <c r="T75" s="16"/>
      <c r="U75" s="16"/>
      <c r="V75" s="29" t="s">
        <v>59</v>
      </c>
      <c r="W75" s="29"/>
      <c r="X75" s="29"/>
      <c r="Y75" s="29"/>
      <c r="Z75" s="29"/>
    </row>
    <row r="76" spans="1:26" ht="31.5" customHeight="1" x14ac:dyDescent="0.25">
      <c r="A76" s="14"/>
      <c r="B76" s="14"/>
      <c r="C76" s="14"/>
      <c r="D76" s="14"/>
      <c r="E76" s="14"/>
      <c r="F76" s="14"/>
      <c r="G76" s="14"/>
      <c r="H76" s="28" t="s">
        <v>60</v>
      </c>
      <c r="I76" s="28"/>
      <c r="J76" s="28"/>
      <c r="K76" s="28"/>
      <c r="L76" s="28"/>
      <c r="M76" s="28"/>
      <c r="O76" s="16"/>
      <c r="P76" s="16"/>
      <c r="Q76" s="16"/>
      <c r="R76" s="16"/>
      <c r="S76" s="16"/>
      <c r="T76" s="16"/>
      <c r="U76" s="16"/>
      <c r="V76" s="29" t="s">
        <v>60</v>
      </c>
      <c r="W76" s="29"/>
      <c r="X76" s="29"/>
      <c r="Y76" s="29"/>
      <c r="Z76" s="29"/>
    </row>
    <row r="77" spans="1:26" x14ac:dyDescent="0.25">
      <c r="A77" s="14"/>
      <c r="B77" s="14"/>
      <c r="C77" s="14"/>
      <c r="D77" s="14"/>
      <c r="E77" s="14"/>
      <c r="F77" s="14"/>
      <c r="G77" s="14"/>
      <c r="H77" s="13" t="s">
        <v>61</v>
      </c>
      <c r="I77" s="13"/>
      <c r="J77" s="14"/>
      <c r="K77" s="14"/>
      <c r="L77" s="14"/>
      <c r="M77" s="14"/>
      <c r="O77" s="16"/>
      <c r="P77" s="16"/>
      <c r="Q77" s="16"/>
      <c r="R77" s="16"/>
      <c r="S77" s="16"/>
      <c r="T77" s="16"/>
      <c r="U77" s="16"/>
      <c r="V77" s="15" t="s">
        <v>61</v>
      </c>
      <c r="W77" s="16"/>
      <c r="X77" s="16"/>
      <c r="Y77" s="16"/>
      <c r="Z77" s="16"/>
    </row>
    <row r="79" spans="1:26" x14ac:dyDescent="0.25">
      <c r="A79" s="9" t="s">
        <v>204</v>
      </c>
      <c r="B79" s="9"/>
      <c r="C79" s="9"/>
      <c r="D79" s="9"/>
      <c r="E79" s="9"/>
      <c r="F79" s="9"/>
      <c r="G79" s="9"/>
      <c r="H79" s="9"/>
      <c r="I79" s="9"/>
      <c r="J79" s="9"/>
      <c r="K79" s="9"/>
      <c r="L79" s="9"/>
      <c r="M79" s="9"/>
      <c r="N79" s="9"/>
      <c r="O79" s="9"/>
      <c r="P79" s="9"/>
      <c r="Q79" s="9"/>
      <c r="R79" s="9"/>
      <c r="S79" s="9"/>
      <c r="T79" s="9"/>
      <c r="U79" s="9"/>
      <c r="V79" s="9"/>
      <c r="W79" s="9"/>
      <c r="X79" s="9"/>
      <c r="Y79" s="9"/>
      <c r="Z79" s="9"/>
    </row>
    <row r="80" spans="1:26" x14ac:dyDescent="0.25">
      <c r="A80" s="9" t="s">
        <v>205</v>
      </c>
      <c r="B80" s="9"/>
      <c r="C80" s="9"/>
      <c r="D80" s="9"/>
      <c r="E80" s="9"/>
      <c r="F80" s="9"/>
      <c r="G80" s="9"/>
      <c r="H80" s="9"/>
      <c r="I80" s="9"/>
      <c r="J80" s="9"/>
      <c r="K80" s="9"/>
      <c r="L80" s="9"/>
      <c r="M80" s="9"/>
      <c r="N80" s="9"/>
      <c r="O80" s="9"/>
      <c r="P80" s="9"/>
      <c r="Q80" s="9"/>
      <c r="R80" s="9"/>
      <c r="S80" s="9"/>
      <c r="T80" s="9"/>
      <c r="U80" s="9"/>
      <c r="V80" s="9"/>
      <c r="W80" s="9"/>
      <c r="X80" s="9"/>
      <c r="Y80" s="9"/>
      <c r="Z80" s="9"/>
    </row>
    <row r="81" spans="1:26" x14ac:dyDescent="0.25">
      <c r="A81" s="9" t="s">
        <v>206</v>
      </c>
      <c r="B81" s="9"/>
      <c r="C81" s="9"/>
      <c r="D81" s="9"/>
      <c r="E81" s="9"/>
      <c r="F81" s="9"/>
      <c r="G81" s="9"/>
      <c r="H81" s="9"/>
      <c r="I81" s="9"/>
      <c r="J81" s="9"/>
      <c r="K81" s="9"/>
      <c r="L81" s="9"/>
      <c r="M81" s="9"/>
      <c r="N81" s="9"/>
      <c r="O81" s="9"/>
      <c r="P81" s="9"/>
      <c r="Q81" s="9"/>
      <c r="R81" s="9"/>
      <c r="S81" s="9"/>
      <c r="T81" s="9"/>
      <c r="U81" s="9"/>
      <c r="V81" s="9"/>
      <c r="W81" s="9"/>
      <c r="X81" s="9"/>
      <c r="Y81" s="9"/>
      <c r="Z81" s="9"/>
    </row>
    <row r="82" spans="1:26" x14ac:dyDescent="0.25">
      <c r="A82" s="9" t="s">
        <v>207</v>
      </c>
      <c r="B82" s="9"/>
      <c r="C82" s="9"/>
      <c r="D82" s="9"/>
      <c r="E82" s="9"/>
      <c r="F82" s="9"/>
      <c r="G82" s="9"/>
      <c r="H82" s="9"/>
      <c r="I82" s="9"/>
      <c r="J82" s="9"/>
      <c r="K82" s="9"/>
      <c r="L82" s="9"/>
      <c r="M82" s="9"/>
      <c r="N82" s="9"/>
      <c r="O82" s="9"/>
      <c r="P82" s="9"/>
      <c r="Q82" s="9"/>
      <c r="R82" s="9"/>
      <c r="S82" s="9"/>
      <c r="T82" s="9"/>
      <c r="U82" s="9"/>
      <c r="V82" s="9"/>
      <c r="W82" s="9"/>
      <c r="X82" s="9"/>
      <c r="Y82" s="9"/>
      <c r="Z82" s="9"/>
    </row>
    <row r="83" spans="1:26" x14ac:dyDescent="0.25">
      <c r="A83" s="9" t="s">
        <v>208</v>
      </c>
      <c r="B83" s="9"/>
      <c r="C83" s="9"/>
      <c r="D83" s="9"/>
      <c r="E83" s="9"/>
      <c r="F83" s="9"/>
      <c r="G83" s="9"/>
      <c r="H83" s="9"/>
      <c r="I83" s="9"/>
      <c r="J83" s="9"/>
      <c r="K83" s="9"/>
      <c r="L83" s="9"/>
      <c r="M83" s="9"/>
      <c r="N83" s="9"/>
      <c r="O83" s="9"/>
      <c r="P83" s="9"/>
      <c r="Q83" s="9"/>
      <c r="R83" s="9"/>
      <c r="S83" s="9"/>
      <c r="T83" s="9"/>
      <c r="U83" s="9"/>
      <c r="V83" s="9"/>
      <c r="W83" s="9"/>
      <c r="X83" s="9"/>
      <c r="Y83" s="9"/>
      <c r="Z83" s="9"/>
    </row>
  </sheetData>
  <sheetProtection password="F7A2" sheet="1" objects="1" scenarios="1"/>
  <mergeCells count="32">
    <mergeCell ref="V31:Y31"/>
    <mergeCell ref="S4:T4"/>
    <mergeCell ref="O1:Z1"/>
    <mergeCell ref="V68:Z68"/>
    <mergeCell ref="V74:Z74"/>
    <mergeCell ref="Q4:R4"/>
    <mergeCell ref="Q5:R5"/>
    <mergeCell ref="S5:T5"/>
    <mergeCell ref="V75:Z75"/>
    <mergeCell ref="H76:M76"/>
    <mergeCell ref="Q6:R6"/>
    <mergeCell ref="A52:A57"/>
    <mergeCell ref="O52:O57"/>
    <mergeCell ref="H48:L48"/>
    <mergeCell ref="H31:L31"/>
    <mergeCell ref="H68:M68"/>
    <mergeCell ref="H75:M75"/>
    <mergeCell ref="V76:Z76"/>
    <mergeCell ref="V52:Z52"/>
    <mergeCell ref="S6:T6"/>
    <mergeCell ref="V18:Y18"/>
    <mergeCell ref="V48:Y48"/>
    <mergeCell ref="H74:M74"/>
    <mergeCell ref="H52:M52"/>
    <mergeCell ref="A1:M1"/>
    <mergeCell ref="C4:D4"/>
    <mergeCell ref="E4:F4"/>
    <mergeCell ref="H18:L18"/>
    <mergeCell ref="C6:D6"/>
    <mergeCell ref="E6:F6"/>
    <mergeCell ref="C5:D5"/>
    <mergeCell ref="E5:F5"/>
  </mergeCells>
  <phoneticPr fontId="0" type="noConversion"/>
  <printOptions horizontalCentered="1"/>
  <pageMargins left="0.7" right="0.7" top="0.75" bottom="0.75" header="0.3" footer="0.3"/>
  <pageSetup paperSize="199" scale="37" orientation="landscape" r:id="rId1"/>
  <headerFooter>
    <oddHeader>&amp;CCALCULATION SPREADSHEET FOR GPSA ENGINEERING DATA BOOK 13&amp;Xth&amp;X ED.
EXAMPLE 9-1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6"/>
  <sheetViews>
    <sheetView zoomScale="80" zoomScaleNormal="80" workbookViewId="0">
      <selection activeCell="E22" sqref="E22"/>
    </sheetView>
  </sheetViews>
  <sheetFormatPr defaultRowHeight="15" x14ac:dyDescent="0.25"/>
  <cols>
    <col min="1" max="1" width="46.85546875" style="11" bestFit="1" customWidth="1"/>
    <col min="2" max="3" width="9.140625" style="65"/>
    <col min="4" max="6" width="9.140625" style="11"/>
    <col min="7" max="7" width="46" style="11" customWidth="1"/>
    <col min="8" max="9" width="9.140625" style="65"/>
    <col min="10" max="13" width="9.140625" style="11"/>
  </cols>
  <sheetData>
    <row r="1" spans="1:13" x14ac:dyDescent="0.25">
      <c r="A1" s="13" t="s">
        <v>76</v>
      </c>
      <c r="B1" s="45"/>
      <c r="C1" s="45"/>
      <c r="D1" s="14"/>
      <c r="E1" s="14"/>
      <c r="G1" s="15" t="s">
        <v>182</v>
      </c>
      <c r="H1" s="46"/>
      <c r="I1" s="46"/>
      <c r="J1" s="16"/>
      <c r="K1" s="16"/>
    </row>
    <row r="2" spans="1:13" s="6" customFormat="1" x14ac:dyDescent="0.25">
      <c r="A2" s="47" t="s">
        <v>77</v>
      </c>
      <c r="B2" s="48"/>
      <c r="C2" s="48"/>
      <c r="D2" s="47"/>
      <c r="E2" s="47"/>
      <c r="F2" s="49"/>
      <c r="G2" s="50" t="s">
        <v>77</v>
      </c>
      <c r="H2" s="51"/>
      <c r="I2" s="51"/>
      <c r="J2" s="50"/>
      <c r="K2" s="50"/>
      <c r="L2" s="49"/>
      <c r="M2" s="49"/>
    </row>
    <row r="3" spans="1:13" x14ac:dyDescent="0.25">
      <c r="A3" s="13" t="s">
        <v>81</v>
      </c>
      <c r="B3" s="45"/>
      <c r="C3" s="45"/>
      <c r="D3" s="14"/>
      <c r="E3" s="14"/>
      <c r="G3" s="15" t="s">
        <v>81</v>
      </c>
      <c r="H3" s="46"/>
      <c r="I3" s="46"/>
      <c r="J3" s="16"/>
      <c r="K3" s="16"/>
    </row>
    <row r="4" spans="1:13" ht="16.5" x14ac:dyDescent="0.3">
      <c r="A4" s="14" t="s">
        <v>222</v>
      </c>
      <c r="B4" s="45">
        <v>180</v>
      </c>
      <c r="C4" s="45">
        <v>108</v>
      </c>
      <c r="D4" s="14" t="s">
        <v>29</v>
      </c>
      <c r="E4" s="14"/>
      <c r="G4" s="16" t="s">
        <v>222</v>
      </c>
      <c r="H4" s="95">
        <v>180</v>
      </c>
      <c r="I4" s="95">
        <v>108</v>
      </c>
      <c r="J4" s="16" t="s">
        <v>29</v>
      </c>
      <c r="K4" s="16"/>
    </row>
    <row r="5" spans="1:13" ht="16.5" x14ac:dyDescent="0.3">
      <c r="A5" s="14" t="s">
        <v>223</v>
      </c>
      <c r="B5" s="45">
        <v>69.900000000000006</v>
      </c>
      <c r="C5" s="45"/>
      <c r="D5" s="14" t="s">
        <v>58</v>
      </c>
      <c r="E5" s="14"/>
      <c r="G5" s="16" t="s">
        <v>223</v>
      </c>
      <c r="H5" s="95">
        <v>69.900000000000006</v>
      </c>
      <c r="I5" s="95"/>
      <c r="J5" s="16" t="s">
        <v>58</v>
      </c>
      <c r="K5" s="16"/>
    </row>
    <row r="6" spans="1:13" ht="16.5" x14ac:dyDescent="0.3">
      <c r="A6" s="14" t="s">
        <v>224</v>
      </c>
      <c r="B6" s="45">
        <v>111.1</v>
      </c>
      <c r="C6" s="45"/>
      <c r="D6" s="14" t="s">
        <v>58</v>
      </c>
      <c r="E6" s="14"/>
      <c r="G6" s="16" t="s">
        <v>224</v>
      </c>
      <c r="H6" s="95">
        <v>111.1</v>
      </c>
      <c r="I6" s="95"/>
      <c r="J6" s="16" t="s">
        <v>58</v>
      </c>
      <c r="K6" s="16"/>
    </row>
    <row r="7" spans="1:13" x14ac:dyDescent="0.25">
      <c r="A7" s="14" t="s">
        <v>84</v>
      </c>
      <c r="B7" s="45">
        <v>9.06</v>
      </c>
      <c r="C7" s="45"/>
      <c r="D7" s="14" t="s">
        <v>85</v>
      </c>
      <c r="E7" s="14"/>
      <c r="G7" s="16" t="s">
        <v>84</v>
      </c>
      <c r="H7" s="95">
        <v>9.06</v>
      </c>
      <c r="I7" s="95"/>
      <c r="J7" s="16" t="s">
        <v>85</v>
      </c>
      <c r="K7" s="16"/>
    </row>
    <row r="8" spans="1:13" x14ac:dyDescent="0.25">
      <c r="A8" s="13" t="s">
        <v>80</v>
      </c>
      <c r="B8" s="45"/>
      <c r="C8" s="45"/>
      <c r="D8" s="14"/>
      <c r="E8" s="14"/>
      <c r="G8" s="15" t="s">
        <v>80</v>
      </c>
      <c r="H8" s="95"/>
      <c r="I8" s="95"/>
      <c r="J8" s="16"/>
      <c r="K8" s="16"/>
    </row>
    <row r="9" spans="1:13" x14ac:dyDescent="0.25">
      <c r="A9" s="14" t="s">
        <v>78</v>
      </c>
      <c r="B9" s="45">
        <v>108</v>
      </c>
      <c r="C9" s="45">
        <v>108</v>
      </c>
      <c r="D9" s="14" t="s">
        <v>29</v>
      </c>
      <c r="E9" s="14"/>
      <c r="G9" s="16" t="s">
        <v>78</v>
      </c>
      <c r="H9" s="95">
        <v>108</v>
      </c>
      <c r="I9" s="95">
        <v>108</v>
      </c>
      <c r="J9" s="16" t="s">
        <v>29</v>
      </c>
      <c r="K9" s="16"/>
    </row>
    <row r="10" spans="1:13" ht="16.5" x14ac:dyDescent="0.3">
      <c r="A10" s="14" t="s">
        <v>225</v>
      </c>
      <c r="B10" s="45">
        <v>140</v>
      </c>
      <c r="C10" s="45"/>
      <c r="D10" s="14" t="s">
        <v>58</v>
      </c>
      <c r="E10" s="14"/>
      <c r="G10" s="16" t="s">
        <v>225</v>
      </c>
      <c r="H10" s="95">
        <v>140</v>
      </c>
      <c r="I10" s="95"/>
      <c r="J10" s="16" t="s">
        <v>58</v>
      </c>
      <c r="K10" s="16"/>
    </row>
    <row r="11" spans="1:13" x14ac:dyDescent="0.25">
      <c r="A11" s="14" t="s">
        <v>84</v>
      </c>
      <c r="B11" s="45">
        <v>30.29</v>
      </c>
      <c r="C11" s="45"/>
      <c r="D11" s="14" t="s">
        <v>85</v>
      </c>
      <c r="E11" s="14"/>
      <c r="G11" s="16" t="s">
        <v>84</v>
      </c>
      <c r="H11" s="95">
        <v>30.29</v>
      </c>
      <c r="I11" s="95"/>
      <c r="J11" s="16" t="s">
        <v>85</v>
      </c>
      <c r="K11" s="16"/>
    </row>
    <row r="12" spans="1:13" x14ac:dyDescent="0.25">
      <c r="A12" s="13" t="s">
        <v>79</v>
      </c>
      <c r="B12" s="45"/>
      <c r="C12" s="45"/>
      <c r="D12" s="14"/>
      <c r="E12" s="14"/>
      <c r="G12" s="15" t="s">
        <v>79</v>
      </c>
      <c r="H12" s="95"/>
      <c r="I12" s="95"/>
      <c r="J12" s="16"/>
      <c r="K12" s="16"/>
    </row>
    <row r="13" spans="1:13" x14ac:dyDescent="0.25">
      <c r="A13" s="14" t="s">
        <v>78</v>
      </c>
      <c r="B13" s="45">
        <v>108</v>
      </c>
      <c r="C13" s="45">
        <v>95</v>
      </c>
      <c r="D13" s="14" t="s">
        <v>29</v>
      </c>
      <c r="E13" s="14"/>
      <c r="G13" s="16" t="s">
        <v>78</v>
      </c>
      <c r="H13" s="95">
        <v>108</v>
      </c>
      <c r="I13" s="95">
        <v>95</v>
      </c>
      <c r="J13" s="16" t="s">
        <v>29</v>
      </c>
      <c r="K13" s="16"/>
    </row>
    <row r="14" spans="1:13" ht="16.5" x14ac:dyDescent="0.3">
      <c r="A14" s="14" t="s">
        <v>225</v>
      </c>
      <c r="B14" s="45">
        <v>114.5</v>
      </c>
      <c r="C14" s="45"/>
      <c r="D14" s="14" t="s">
        <v>58</v>
      </c>
      <c r="E14" s="14"/>
      <c r="G14" s="16" t="s">
        <v>225</v>
      </c>
      <c r="H14" s="95">
        <v>114.5</v>
      </c>
      <c r="I14" s="95"/>
      <c r="J14" s="16" t="s">
        <v>58</v>
      </c>
      <c r="K14" s="16"/>
    </row>
    <row r="15" spans="1:13" x14ac:dyDescent="0.25">
      <c r="A15" s="14" t="s">
        <v>84</v>
      </c>
      <c r="B15" s="45">
        <v>2.13</v>
      </c>
      <c r="C15" s="45"/>
      <c r="D15" s="14" t="s">
        <v>85</v>
      </c>
      <c r="E15" s="14"/>
      <c r="G15" s="16" t="s">
        <v>84</v>
      </c>
      <c r="H15" s="95">
        <v>2.13</v>
      </c>
      <c r="I15" s="95"/>
      <c r="J15" s="16" t="s">
        <v>85</v>
      </c>
      <c r="K15" s="16"/>
    </row>
    <row r="16" spans="1:13" x14ac:dyDescent="0.25">
      <c r="A16" s="14"/>
      <c r="B16" s="45"/>
      <c r="C16" s="45"/>
      <c r="D16" s="14"/>
      <c r="E16" s="14"/>
      <c r="G16" s="16"/>
      <c r="H16" s="95"/>
      <c r="I16" s="95"/>
      <c r="J16" s="16"/>
      <c r="K16" s="16"/>
    </row>
    <row r="17" spans="1:13" x14ac:dyDescent="0.25">
      <c r="A17" s="14" t="s">
        <v>226</v>
      </c>
      <c r="B17" s="45">
        <v>82</v>
      </c>
      <c r="C17" s="45">
        <v>94</v>
      </c>
      <c r="D17" s="14" t="s">
        <v>29</v>
      </c>
      <c r="E17" s="14"/>
      <c r="G17" s="16" t="s">
        <v>226</v>
      </c>
      <c r="H17" s="95">
        <v>82</v>
      </c>
      <c r="I17" s="95">
        <v>94</v>
      </c>
      <c r="J17" s="16" t="s">
        <v>29</v>
      </c>
      <c r="K17" s="16"/>
    </row>
    <row r="18" spans="1:13" s="5" customFormat="1" ht="36.75" customHeight="1" x14ac:dyDescent="0.25">
      <c r="A18" s="52" t="s">
        <v>227</v>
      </c>
      <c r="B18" s="53"/>
      <c r="C18" s="53"/>
      <c r="D18" s="30"/>
      <c r="E18" s="30"/>
      <c r="F18" s="40"/>
      <c r="G18" s="54" t="s">
        <v>189</v>
      </c>
      <c r="H18" s="55"/>
      <c r="I18" s="55"/>
      <c r="J18" s="42"/>
      <c r="K18" s="42"/>
      <c r="L18" s="40"/>
      <c r="M18" s="40"/>
    </row>
    <row r="19" spans="1:13" s="5" customFormat="1" ht="24" customHeight="1" x14ac:dyDescent="0.25">
      <c r="A19" s="30" t="s">
        <v>228</v>
      </c>
      <c r="B19" s="53"/>
      <c r="C19" s="53"/>
      <c r="D19" s="30"/>
      <c r="E19" s="30"/>
      <c r="F19" s="40"/>
      <c r="G19" s="42" t="s">
        <v>228</v>
      </c>
      <c r="H19" s="55"/>
      <c r="I19" s="55"/>
      <c r="J19" s="42"/>
      <c r="K19" s="42"/>
      <c r="L19" s="40"/>
      <c r="M19" s="40"/>
    </row>
    <row r="20" spans="1:13" x14ac:dyDescent="0.25">
      <c r="A20" s="14" t="s">
        <v>128</v>
      </c>
      <c r="B20" s="45"/>
      <c r="C20" s="45"/>
      <c r="D20" s="14"/>
      <c r="E20" s="14"/>
      <c r="G20" s="16" t="s">
        <v>128</v>
      </c>
      <c r="H20" s="46"/>
      <c r="I20" s="46"/>
      <c r="J20" s="16"/>
      <c r="K20" s="16"/>
    </row>
    <row r="21" spans="1:13" x14ac:dyDescent="0.25">
      <c r="A21" s="14" t="s">
        <v>82</v>
      </c>
      <c r="B21" s="45"/>
      <c r="C21" s="45"/>
      <c r="D21" s="14"/>
      <c r="E21" s="14"/>
      <c r="G21" s="16" t="s">
        <v>82</v>
      </c>
      <c r="H21" s="46"/>
      <c r="I21" s="46"/>
      <c r="J21" s="16"/>
      <c r="K21" s="16"/>
    </row>
    <row r="22" spans="1:13" ht="16.5" x14ac:dyDescent="0.3">
      <c r="A22" s="14" t="s">
        <v>229</v>
      </c>
      <c r="B22" s="56">
        <f>B4-((B5*(B4-C17)/B6))</f>
        <v>125.89198919891989</v>
      </c>
      <c r="C22" s="45"/>
      <c r="D22" s="14" t="s">
        <v>29</v>
      </c>
      <c r="E22" s="14"/>
      <c r="G22" s="16" t="s">
        <v>229</v>
      </c>
      <c r="H22" s="96">
        <f>H4-((H5*(H4-I17)/H6))</f>
        <v>125.89198919891989</v>
      </c>
      <c r="I22" s="46"/>
      <c r="J22" s="94" t="s">
        <v>29</v>
      </c>
      <c r="K22" s="16"/>
    </row>
    <row r="23" spans="1:13" x14ac:dyDescent="0.25">
      <c r="A23" s="14"/>
      <c r="B23" s="45"/>
      <c r="C23" s="45"/>
      <c r="D23" s="14"/>
      <c r="E23" s="14"/>
      <c r="G23" s="16"/>
      <c r="H23" s="46"/>
      <c r="I23" s="46"/>
      <c r="J23" s="16"/>
      <c r="K23" s="16"/>
    </row>
    <row r="24" spans="1:13" ht="56.25" customHeight="1" x14ac:dyDescent="0.25">
      <c r="A24" s="39" t="s">
        <v>230</v>
      </c>
      <c r="B24" s="39"/>
      <c r="C24" s="39"/>
      <c r="D24" s="14"/>
      <c r="E24" s="14"/>
      <c r="G24" s="41" t="s">
        <v>231</v>
      </c>
      <c r="H24" s="41"/>
      <c r="I24" s="41"/>
      <c r="J24" s="16"/>
      <c r="K24" s="16"/>
    </row>
    <row r="25" spans="1:13" s="5" customFormat="1" ht="45" customHeight="1" x14ac:dyDescent="0.25">
      <c r="A25" s="52" t="s">
        <v>232</v>
      </c>
      <c r="B25" s="57">
        <f>B27-((B5*(B27-B33)/B6))</f>
        <v>107.38618309757688</v>
      </c>
      <c r="C25" s="53"/>
      <c r="D25" s="30" t="s">
        <v>233</v>
      </c>
      <c r="E25" s="30"/>
      <c r="F25" s="40"/>
      <c r="G25" s="54" t="s">
        <v>234</v>
      </c>
      <c r="H25" s="97">
        <f>H27-((H5*(H27-H33)/H6))</f>
        <v>107.38618309757688</v>
      </c>
      <c r="I25" s="55"/>
      <c r="J25" s="42" t="s">
        <v>233</v>
      </c>
      <c r="K25" s="42"/>
      <c r="L25" s="40"/>
      <c r="M25" s="40"/>
    </row>
    <row r="26" spans="1:13" x14ac:dyDescent="0.25">
      <c r="A26" s="14"/>
      <c r="B26" s="45"/>
      <c r="C26" s="45"/>
      <c r="D26" s="14"/>
      <c r="E26" s="14"/>
      <c r="G26" s="16"/>
      <c r="H26" s="46"/>
      <c r="I26" s="46"/>
      <c r="J26" s="16"/>
      <c r="K26" s="16"/>
    </row>
    <row r="27" spans="1:13" ht="16.5" x14ac:dyDescent="0.3">
      <c r="A27" s="14" t="s">
        <v>235</v>
      </c>
      <c r="B27" s="45">
        <v>133</v>
      </c>
      <c r="C27" s="45"/>
      <c r="D27" s="14" t="s">
        <v>29</v>
      </c>
      <c r="E27" s="14"/>
      <c r="G27" s="16" t="s">
        <v>235</v>
      </c>
      <c r="H27" s="46">
        <v>133</v>
      </c>
      <c r="I27" s="46"/>
      <c r="J27" s="16" t="s">
        <v>29</v>
      </c>
      <c r="K27" s="16"/>
    </row>
    <row r="28" spans="1:13" x14ac:dyDescent="0.25">
      <c r="A28" s="14"/>
      <c r="B28" s="45"/>
      <c r="C28" s="45"/>
      <c r="D28" s="14"/>
      <c r="E28" s="14"/>
      <c r="G28" s="16"/>
      <c r="H28" s="46"/>
      <c r="I28" s="46"/>
      <c r="J28" s="16"/>
      <c r="K28" s="16"/>
    </row>
    <row r="29" spans="1:13" x14ac:dyDescent="0.25">
      <c r="A29" s="14" t="s">
        <v>83</v>
      </c>
      <c r="B29" s="45"/>
      <c r="C29" s="45"/>
      <c r="D29" s="14"/>
      <c r="E29" s="14"/>
      <c r="G29" s="16" t="s">
        <v>83</v>
      </c>
      <c r="H29" s="46"/>
      <c r="I29" s="46"/>
      <c r="J29" s="16"/>
      <c r="K29" s="16"/>
    </row>
    <row r="30" spans="1:13" ht="16.5" x14ac:dyDescent="0.3">
      <c r="A30" s="14" t="s">
        <v>236</v>
      </c>
      <c r="B30" s="45">
        <f>B7*(B4-133)/(B4-C4)</f>
        <v>5.9141666666666675</v>
      </c>
      <c r="C30" s="45"/>
      <c r="D30" s="14" t="s">
        <v>85</v>
      </c>
      <c r="E30" s="14"/>
      <c r="G30" s="16" t="s">
        <v>236</v>
      </c>
      <c r="H30" s="46">
        <f>H7*(H4-133)/(H4-I4)</f>
        <v>5.9141666666666675</v>
      </c>
      <c r="I30" s="46"/>
      <c r="J30" s="16" t="s">
        <v>85</v>
      </c>
      <c r="K30" s="16"/>
    </row>
    <row r="31" spans="1:13" x14ac:dyDescent="0.25">
      <c r="A31" s="14"/>
      <c r="B31" s="45"/>
      <c r="C31" s="45"/>
      <c r="D31" s="14"/>
      <c r="E31" s="14"/>
      <c r="G31" s="16"/>
      <c r="H31" s="46"/>
      <c r="I31" s="46"/>
      <c r="J31" s="16"/>
      <c r="K31" s="16"/>
    </row>
    <row r="32" spans="1:13" ht="16.5" x14ac:dyDescent="0.3">
      <c r="A32" s="14" t="s">
        <v>237</v>
      </c>
      <c r="B32" s="45"/>
      <c r="C32" s="45"/>
      <c r="D32" s="14"/>
      <c r="E32" s="14"/>
      <c r="G32" s="16" t="s">
        <v>237</v>
      </c>
      <c r="H32" s="46"/>
      <c r="I32" s="46"/>
      <c r="J32" s="16"/>
      <c r="K32" s="16"/>
    </row>
    <row r="33" spans="1:11" x14ac:dyDescent="0.25">
      <c r="A33" s="14" t="s">
        <v>86</v>
      </c>
      <c r="B33" s="45">
        <f>C17-((B30/(B7+B11+B15)*(C17-B17)))</f>
        <v>92.289054966248798</v>
      </c>
      <c r="C33" s="45"/>
      <c r="D33" s="14" t="s">
        <v>29</v>
      </c>
      <c r="E33" s="14"/>
      <c r="G33" s="16" t="s">
        <v>86</v>
      </c>
      <c r="H33" s="46">
        <f>I17-((H30/(H7+H11+H15)*(I17-H17)))</f>
        <v>92.289054966248798</v>
      </c>
      <c r="I33" s="46"/>
      <c r="J33" s="16" t="s">
        <v>29</v>
      </c>
      <c r="K33" s="16"/>
    </row>
    <row r="34" spans="1:11" x14ac:dyDescent="0.25">
      <c r="A34" s="14"/>
      <c r="B34" s="45"/>
      <c r="C34" s="45"/>
      <c r="D34" s="14"/>
      <c r="E34" s="14"/>
      <c r="G34" s="16"/>
      <c r="H34" s="46"/>
      <c r="I34" s="46"/>
      <c r="J34" s="16"/>
      <c r="K34" s="16"/>
    </row>
    <row r="35" spans="1:11" x14ac:dyDescent="0.25">
      <c r="A35" s="14" t="s">
        <v>87</v>
      </c>
      <c r="B35" s="45"/>
      <c r="C35" s="45"/>
      <c r="D35" s="14"/>
      <c r="E35" s="14"/>
      <c r="G35" s="16" t="s">
        <v>87</v>
      </c>
      <c r="H35" s="46"/>
      <c r="I35" s="46"/>
      <c r="J35" s="16"/>
      <c r="K35" s="16"/>
    </row>
    <row r="36" spans="1:11" x14ac:dyDescent="0.25">
      <c r="A36" s="14" t="s">
        <v>88</v>
      </c>
      <c r="B36" s="45"/>
      <c r="C36" s="45"/>
      <c r="D36" s="14"/>
      <c r="E36" s="14"/>
      <c r="G36" s="16" t="s">
        <v>88</v>
      </c>
      <c r="H36" s="46"/>
      <c r="I36" s="46"/>
      <c r="J36" s="16"/>
      <c r="K36" s="16"/>
    </row>
    <row r="37" spans="1:11" x14ac:dyDescent="0.25">
      <c r="A37" s="14"/>
      <c r="B37" s="45"/>
      <c r="C37" s="45"/>
      <c r="D37" s="14"/>
      <c r="E37" s="14"/>
      <c r="G37" s="16"/>
      <c r="H37" s="46"/>
      <c r="I37" s="46"/>
      <c r="J37" s="16"/>
      <c r="K37" s="16"/>
    </row>
    <row r="38" spans="1:11" x14ac:dyDescent="0.25">
      <c r="A38" s="14" t="s">
        <v>238</v>
      </c>
      <c r="B38" s="45"/>
      <c r="C38" s="45"/>
      <c r="D38" s="14"/>
      <c r="E38" s="14"/>
      <c r="G38" s="16" t="s">
        <v>238</v>
      </c>
      <c r="H38" s="46"/>
      <c r="I38" s="46"/>
      <c r="J38" s="16"/>
      <c r="K38" s="16"/>
    </row>
    <row r="39" spans="1:11" x14ac:dyDescent="0.25">
      <c r="A39" s="14" t="s">
        <v>89</v>
      </c>
      <c r="B39" s="45"/>
      <c r="C39" s="45"/>
      <c r="D39" s="14"/>
      <c r="E39" s="14"/>
      <c r="G39" s="16" t="s">
        <v>89</v>
      </c>
      <c r="H39" s="46"/>
      <c r="I39" s="46"/>
      <c r="J39" s="16"/>
      <c r="K39" s="16"/>
    </row>
    <row r="40" spans="1:11" x14ac:dyDescent="0.25">
      <c r="A40" s="14" t="s">
        <v>90</v>
      </c>
      <c r="B40" s="45">
        <f>B30</f>
        <v>5.9141666666666675</v>
      </c>
      <c r="C40" s="45"/>
      <c r="D40" s="14" t="s">
        <v>85</v>
      </c>
      <c r="E40" s="14"/>
      <c r="G40" s="16" t="s">
        <v>90</v>
      </c>
      <c r="H40" s="46">
        <f>H30</f>
        <v>5.9141666666666675</v>
      </c>
      <c r="I40" s="46"/>
      <c r="J40" s="16" t="s">
        <v>85</v>
      </c>
      <c r="K40" s="16"/>
    </row>
    <row r="41" spans="1:11" x14ac:dyDescent="0.25">
      <c r="A41" s="14" t="s">
        <v>91</v>
      </c>
      <c r="B41" s="45">
        <f>B11+B7-B30</f>
        <v>33.435833333333335</v>
      </c>
      <c r="C41" s="45"/>
      <c r="D41" s="14" t="s">
        <v>85</v>
      </c>
      <c r="E41" s="14"/>
      <c r="G41" s="16" t="s">
        <v>91</v>
      </c>
      <c r="H41" s="46">
        <f>H11+H7-H30</f>
        <v>33.435833333333335</v>
      </c>
      <c r="I41" s="46"/>
      <c r="J41" s="16" t="s">
        <v>85</v>
      </c>
      <c r="K41" s="16"/>
    </row>
    <row r="42" spans="1:11" x14ac:dyDescent="0.25">
      <c r="A42" s="14" t="s">
        <v>92</v>
      </c>
      <c r="B42" s="45">
        <f>B15</f>
        <v>2.13</v>
      </c>
      <c r="C42" s="45"/>
      <c r="D42" s="14" t="s">
        <v>85</v>
      </c>
      <c r="E42" s="14"/>
      <c r="G42" s="16" t="s">
        <v>92</v>
      </c>
      <c r="H42" s="46">
        <f>H15</f>
        <v>2.13</v>
      </c>
      <c r="I42" s="46"/>
      <c r="J42" s="16" t="s">
        <v>85</v>
      </c>
      <c r="K42" s="16"/>
    </row>
    <row r="43" spans="1:11" x14ac:dyDescent="0.25">
      <c r="A43" s="14"/>
      <c r="B43" s="45"/>
      <c r="C43" s="45"/>
      <c r="D43" s="14"/>
      <c r="E43" s="14"/>
      <c r="G43" s="16"/>
      <c r="H43" s="46"/>
      <c r="I43" s="46"/>
      <c r="J43" s="16"/>
      <c r="K43" s="16"/>
    </row>
    <row r="44" spans="1:11" x14ac:dyDescent="0.25">
      <c r="A44" s="14" t="s">
        <v>239</v>
      </c>
      <c r="B44" s="45"/>
      <c r="C44" s="45"/>
      <c r="D44" s="14"/>
      <c r="E44" s="14"/>
      <c r="G44" s="16" t="s">
        <v>239</v>
      </c>
      <c r="H44" s="46"/>
      <c r="I44" s="46"/>
      <c r="J44" s="16"/>
      <c r="K44" s="16"/>
    </row>
    <row r="45" spans="1:11" x14ac:dyDescent="0.25">
      <c r="A45" s="14" t="s">
        <v>93</v>
      </c>
      <c r="B45" s="45"/>
      <c r="C45" s="45"/>
      <c r="D45" s="14"/>
      <c r="E45" s="14"/>
      <c r="G45" s="16" t="s">
        <v>93</v>
      </c>
      <c r="H45" s="46"/>
      <c r="I45" s="46"/>
      <c r="J45" s="16"/>
      <c r="K45" s="16"/>
    </row>
    <row r="46" spans="1:11" x14ac:dyDescent="0.25">
      <c r="A46" s="14" t="s">
        <v>94</v>
      </c>
      <c r="B46" s="45">
        <f>((B4-C17)-(B27-B33))/LN((B4-C17)/(B27-B33))</f>
        <v>60.558983184736093</v>
      </c>
      <c r="C46" s="45"/>
      <c r="D46" s="14" t="s">
        <v>29</v>
      </c>
      <c r="E46" s="14"/>
      <c r="G46" s="16" t="s">
        <v>94</v>
      </c>
      <c r="H46" s="46">
        <f>((H4-I17)-(H27-H33))/LN((H4-I17)/(H27-H33))</f>
        <v>60.558983184736093</v>
      </c>
      <c r="I46" s="46"/>
      <c r="J46" s="16" t="s">
        <v>29</v>
      </c>
      <c r="K46" s="16"/>
    </row>
    <row r="47" spans="1:11" x14ac:dyDescent="0.25">
      <c r="A47" s="14" t="s">
        <v>98</v>
      </c>
      <c r="B47" s="58">
        <f>B30*1000000/B5/B46</f>
        <v>1397.1331871650389</v>
      </c>
      <c r="C47" s="45"/>
      <c r="D47" s="14" t="s">
        <v>39</v>
      </c>
      <c r="E47" s="14"/>
      <c r="G47" s="16" t="s">
        <v>98</v>
      </c>
      <c r="H47" s="59">
        <f>H30*1000000/H5/H46</f>
        <v>1397.1331871650389</v>
      </c>
      <c r="I47" s="46"/>
      <c r="J47" s="16" t="s">
        <v>39</v>
      </c>
      <c r="K47" s="16"/>
    </row>
    <row r="48" spans="1:11" x14ac:dyDescent="0.25">
      <c r="A48" s="14"/>
      <c r="B48" s="45"/>
      <c r="C48" s="45"/>
      <c r="D48" s="14"/>
      <c r="E48" s="14"/>
      <c r="G48" s="16"/>
      <c r="H48" s="46"/>
      <c r="I48" s="46"/>
      <c r="J48" s="16"/>
      <c r="K48" s="16"/>
    </row>
    <row r="49" spans="1:13" x14ac:dyDescent="0.25">
      <c r="A49" s="14" t="s">
        <v>96</v>
      </c>
      <c r="B49" s="45">
        <f>B11+B7-B30</f>
        <v>33.435833333333335</v>
      </c>
      <c r="C49" s="45"/>
      <c r="D49" s="14" t="s">
        <v>85</v>
      </c>
      <c r="E49" s="14"/>
      <c r="G49" s="16" t="s">
        <v>96</v>
      </c>
      <c r="H49" s="46">
        <f>H11+H7-H30</f>
        <v>33.435833333333335</v>
      </c>
      <c r="I49" s="46"/>
      <c r="J49" s="16" t="s">
        <v>85</v>
      </c>
      <c r="K49" s="16"/>
    </row>
    <row r="50" spans="1:13" ht="16.5" x14ac:dyDescent="0.3">
      <c r="A50" s="14" t="s">
        <v>240</v>
      </c>
      <c r="B50" s="45">
        <f>C17-((B30+B41)/(B7+B11+B15))*(C17-B17)</f>
        <v>82.6162005785921</v>
      </c>
      <c r="C50" s="45"/>
      <c r="D50" s="14" t="s">
        <v>29</v>
      </c>
      <c r="E50" s="14"/>
      <c r="G50" s="16" t="s">
        <v>240</v>
      </c>
      <c r="H50" s="46">
        <f>I17-((H30+H41)/(H7+H11+H15))*(I17-H17)</f>
        <v>82.6162005785921</v>
      </c>
      <c r="I50" s="46"/>
      <c r="J50" s="16" t="s">
        <v>29</v>
      </c>
      <c r="K50" s="16"/>
    </row>
    <row r="51" spans="1:13" x14ac:dyDescent="0.25">
      <c r="A51" s="14" t="s">
        <v>95</v>
      </c>
      <c r="B51" s="45">
        <f>((B9-B33)-(B9-B50))/LN((B9-B33)/(B9-B50))</f>
        <v>20.162132090726036</v>
      </c>
      <c r="C51" s="45"/>
      <c r="D51" s="14" t="s">
        <v>29</v>
      </c>
      <c r="E51" s="14"/>
      <c r="G51" s="16" t="s">
        <v>95</v>
      </c>
      <c r="H51" s="46">
        <f>((H9-H33)-(H9-H50))/LN((H9-H33)/(H9-H50))</f>
        <v>20.162132090726036</v>
      </c>
      <c r="I51" s="46"/>
      <c r="J51" s="16" t="s">
        <v>29</v>
      </c>
      <c r="K51" s="16"/>
    </row>
    <row r="52" spans="1:13" x14ac:dyDescent="0.25">
      <c r="A52" s="14" t="s">
        <v>97</v>
      </c>
      <c r="B52" s="58">
        <f>B49*1000000/B10/B51</f>
        <v>11845.343532008415</v>
      </c>
      <c r="C52" s="45"/>
      <c r="D52" s="14" t="s">
        <v>39</v>
      </c>
      <c r="E52" s="14"/>
      <c r="G52" s="16" t="s">
        <v>97</v>
      </c>
      <c r="H52" s="59">
        <f>H49*1000000/H10/H51</f>
        <v>11845.343532008415</v>
      </c>
      <c r="I52" s="46"/>
      <c r="J52" s="16" t="s">
        <v>39</v>
      </c>
      <c r="K52" s="16"/>
    </row>
    <row r="53" spans="1:13" x14ac:dyDescent="0.25">
      <c r="A53" s="14" t="s">
        <v>102</v>
      </c>
      <c r="B53" s="45"/>
      <c r="C53" s="45"/>
      <c r="D53" s="14"/>
      <c r="E53" s="14"/>
      <c r="G53" s="94" t="s">
        <v>102</v>
      </c>
      <c r="H53" s="46"/>
      <c r="I53" s="46"/>
      <c r="J53" s="16"/>
      <c r="K53" s="16"/>
    </row>
    <row r="54" spans="1:13" x14ac:dyDescent="0.25">
      <c r="A54" s="14"/>
      <c r="B54" s="45"/>
      <c r="C54" s="45"/>
      <c r="D54" s="14"/>
      <c r="E54" s="14"/>
      <c r="G54" s="16"/>
      <c r="H54" s="46"/>
      <c r="I54" s="46"/>
      <c r="J54" s="16"/>
      <c r="K54" s="16"/>
    </row>
    <row r="55" spans="1:13" x14ac:dyDescent="0.25">
      <c r="A55" s="14" t="s">
        <v>99</v>
      </c>
      <c r="B55" s="45">
        <f>((C4-B50)-(C13-B17))/LN((C4-B50)/(C13-B17))</f>
        <v>18.506435235319625</v>
      </c>
      <c r="C55" s="45"/>
      <c r="D55" s="14" t="s">
        <v>29</v>
      </c>
      <c r="E55" s="14"/>
      <c r="G55" s="16" t="s">
        <v>99</v>
      </c>
      <c r="H55" s="46">
        <f>((I4-H50)-(I13-H17))/LN((I4-H50)/(I13-H17))</f>
        <v>18.506435235319625</v>
      </c>
      <c r="I55" s="46"/>
      <c r="J55" s="16" t="s">
        <v>29</v>
      </c>
      <c r="K55" s="16"/>
    </row>
    <row r="56" spans="1:13" x14ac:dyDescent="0.25">
      <c r="A56" s="14" t="s">
        <v>100</v>
      </c>
      <c r="B56" s="58">
        <f>B15*1000000/B14/B55</f>
        <v>1005.1973732808925</v>
      </c>
      <c r="C56" s="45"/>
      <c r="D56" s="14" t="s">
        <v>39</v>
      </c>
      <c r="E56" s="14"/>
      <c r="G56" s="16" t="s">
        <v>100</v>
      </c>
      <c r="H56" s="59">
        <f>H15*1000000/H14/H55</f>
        <v>1005.1973732808925</v>
      </c>
      <c r="I56" s="46"/>
      <c r="J56" s="16" t="s">
        <v>39</v>
      </c>
      <c r="K56" s="16"/>
    </row>
    <row r="57" spans="1:13" x14ac:dyDescent="0.25">
      <c r="A57" s="14"/>
      <c r="B57" s="45"/>
      <c r="C57" s="45"/>
      <c r="D57" s="14"/>
      <c r="E57" s="14"/>
      <c r="G57" s="16"/>
      <c r="H57" s="46"/>
      <c r="I57" s="46"/>
      <c r="J57" s="16"/>
      <c r="K57" s="16"/>
    </row>
    <row r="58" spans="1:13" s="1" customFormat="1" x14ac:dyDescent="0.25">
      <c r="A58" s="13" t="s">
        <v>101</v>
      </c>
      <c r="B58" s="60">
        <f>B47+B52+B56</f>
        <v>14247.674092454346</v>
      </c>
      <c r="C58" s="61"/>
      <c r="D58" s="13" t="s">
        <v>39</v>
      </c>
      <c r="E58" s="13"/>
      <c r="F58" s="62"/>
      <c r="G58" s="15" t="s">
        <v>101</v>
      </c>
      <c r="H58" s="63">
        <f>H47+H52+H56</f>
        <v>14247.674092454346</v>
      </c>
      <c r="I58" s="64"/>
      <c r="J58" s="15" t="s">
        <v>39</v>
      </c>
      <c r="K58" s="15"/>
      <c r="L58" s="62"/>
      <c r="M58" s="62"/>
    </row>
    <row r="59" spans="1:13" x14ac:dyDescent="0.25">
      <c r="A59" s="14"/>
      <c r="B59" s="45"/>
      <c r="C59" s="45"/>
      <c r="D59" s="14"/>
      <c r="E59" s="14"/>
      <c r="G59" s="16"/>
      <c r="H59" s="46"/>
      <c r="I59" s="46"/>
      <c r="J59" s="16"/>
      <c r="K59" s="16"/>
    </row>
    <row r="60" spans="1:13" s="5" customFormat="1" ht="57" customHeight="1" x14ac:dyDescent="0.25">
      <c r="A60" s="39" t="s">
        <v>181</v>
      </c>
      <c r="B60" s="39"/>
      <c r="C60" s="39"/>
      <c r="D60" s="39"/>
      <c r="E60" s="39"/>
      <c r="F60" s="40"/>
      <c r="G60" s="41" t="s">
        <v>190</v>
      </c>
      <c r="H60" s="41"/>
      <c r="I60" s="41"/>
      <c r="J60" s="41"/>
      <c r="K60" s="41"/>
      <c r="L60" s="40"/>
      <c r="M60" s="40"/>
    </row>
    <row r="62" spans="1:13" x14ac:dyDescent="0.25">
      <c r="A62" s="9" t="s">
        <v>204</v>
      </c>
    </row>
    <row r="63" spans="1:13" x14ac:dyDescent="0.25">
      <c r="A63" s="9" t="s">
        <v>205</v>
      </c>
    </row>
    <row r="64" spans="1:13" x14ac:dyDescent="0.25">
      <c r="A64" s="9" t="s">
        <v>206</v>
      </c>
    </row>
    <row r="65" spans="1:1" x14ac:dyDescent="0.25">
      <c r="A65" s="9" t="s">
        <v>207</v>
      </c>
    </row>
    <row r="66" spans="1:1" x14ac:dyDescent="0.25">
      <c r="A66" s="9" t="s">
        <v>208</v>
      </c>
    </row>
  </sheetData>
  <sheetProtection sheet="1" objects="1" scenarios="1"/>
  <mergeCells count="4">
    <mergeCell ref="A60:E60"/>
    <mergeCell ref="G60:K60"/>
    <mergeCell ref="A24:C24"/>
    <mergeCell ref="G24:I24"/>
  </mergeCells>
  <phoneticPr fontId="0" type="noConversion"/>
  <printOptions horizontalCentered="1"/>
  <pageMargins left="0.7" right="0.7" top="0.75" bottom="0.75" header="0.3" footer="0.3"/>
  <pageSetup paperSize="199" scale="51" orientation="portrait" r:id="rId1"/>
  <headerFooter>
    <oddHeader>&amp;CCALCULATION SPREADSHEET FOR GPSA ENGINEERING DATA BOOK, 13&amp;Xth&amp;X ED.
EXAMPLE 9-2</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1"/>
  <sheetViews>
    <sheetView zoomScale="80" zoomScaleNormal="80" workbookViewId="0">
      <selection activeCell="H15" sqref="H15:K15"/>
    </sheetView>
  </sheetViews>
  <sheetFormatPr defaultRowHeight="15" x14ac:dyDescent="0.25"/>
  <cols>
    <col min="1" max="1" width="16.140625" style="11" customWidth="1"/>
    <col min="2" max="3" width="9.140625" style="11"/>
    <col min="4" max="4" width="11.140625" style="11" customWidth="1"/>
    <col min="5" max="5" width="9.140625" style="11"/>
    <col min="6" max="6" width="11" style="11" customWidth="1"/>
    <col min="7" max="7" width="9.140625" style="11"/>
    <col min="8" max="8" width="35.5703125" style="11" customWidth="1"/>
    <col min="9" max="15" width="9.140625" style="11"/>
  </cols>
  <sheetData>
    <row r="1" spans="1:13" x14ac:dyDescent="0.25">
      <c r="A1" s="13" t="s">
        <v>103</v>
      </c>
      <c r="B1" s="14"/>
      <c r="C1" s="14"/>
      <c r="D1" s="14"/>
      <c r="E1" s="14"/>
      <c r="F1" s="14"/>
      <c r="H1" s="15" t="s">
        <v>183</v>
      </c>
      <c r="I1" s="16"/>
      <c r="J1" s="16"/>
      <c r="K1" s="16"/>
      <c r="L1" s="16"/>
      <c r="M1" s="16"/>
    </row>
    <row r="2" spans="1:13" x14ac:dyDescent="0.25">
      <c r="A2" s="14" t="s">
        <v>77</v>
      </c>
      <c r="B2" s="14"/>
      <c r="C2" s="14"/>
      <c r="D2" s="14"/>
      <c r="E2" s="14"/>
      <c r="F2" s="14"/>
      <c r="H2" s="16" t="s">
        <v>77</v>
      </c>
      <c r="I2" s="16"/>
      <c r="J2" s="16"/>
      <c r="K2" s="16"/>
      <c r="L2" s="16"/>
      <c r="M2" s="16"/>
    </row>
    <row r="3" spans="1:13" x14ac:dyDescent="0.25">
      <c r="A3" s="14" t="s">
        <v>31</v>
      </c>
      <c r="B3" s="14">
        <v>320</v>
      </c>
      <c r="C3" s="14"/>
      <c r="D3" s="14"/>
      <c r="E3" s="14"/>
      <c r="F3" s="14"/>
      <c r="H3" s="16" t="s">
        <v>31</v>
      </c>
      <c r="I3" s="94">
        <v>320</v>
      </c>
      <c r="J3" s="16"/>
      <c r="K3" s="16"/>
      <c r="L3" s="16"/>
      <c r="M3" s="16"/>
    </row>
    <row r="4" spans="1:13" x14ac:dyDescent="0.25">
      <c r="A4" s="14" t="s">
        <v>104</v>
      </c>
      <c r="B4" s="14">
        <v>1</v>
      </c>
      <c r="C4" s="14" t="s">
        <v>105</v>
      </c>
      <c r="D4" s="14"/>
      <c r="E4" s="14"/>
      <c r="F4" s="14"/>
      <c r="H4" s="16" t="s">
        <v>104</v>
      </c>
      <c r="I4" s="94">
        <v>1</v>
      </c>
      <c r="J4" s="16" t="s">
        <v>105</v>
      </c>
      <c r="K4" s="16"/>
      <c r="L4" s="16"/>
      <c r="M4" s="16"/>
    </row>
    <row r="5" spans="1:13" x14ac:dyDescent="0.25">
      <c r="A5" s="14" t="s">
        <v>107</v>
      </c>
      <c r="B5" s="14" t="s">
        <v>108</v>
      </c>
      <c r="C5" s="14"/>
      <c r="D5" s="14"/>
      <c r="E5" s="14"/>
      <c r="F5" s="14"/>
      <c r="H5" s="16" t="s">
        <v>107</v>
      </c>
      <c r="I5" s="94" t="s">
        <v>108</v>
      </c>
      <c r="J5" s="16"/>
      <c r="K5" s="16"/>
      <c r="L5" s="16"/>
      <c r="M5" s="16"/>
    </row>
    <row r="6" spans="1:13" x14ac:dyDescent="0.25">
      <c r="A6" s="14" t="s">
        <v>109</v>
      </c>
      <c r="B6" s="14" t="s">
        <v>106</v>
      </c>
      <c r="C6" s="14"/>
      <c r="D6" s="14"/>
      <c r="E6" s="14"/>
      <c r="F6" s="14"/>
      <c r="H6" s="16" t="s">
        <v>109</v>
      </c>
      <c r="I6" s="94" t="s">
        <v>106</v>
      </c>
      <c r="J6" s="16"/>
      <c r="K6" s="16"/>
      <c r="L6" s="16"/>
      <c r="M6" s="16"/>
    </row>
    <row r="7" spans="1:13" x14ac:dyDescent="0.25">
      <c r="A7" s="14" t="s">
        <v>110</v>
      </c>
      <c r="B7" s="14"/>
      <c r="C7" s="14"/>
      <c r="D7" s="14"/>
      <c r="E7" s="14"/>
      <c r="F7" s="14"/>
      <c r="H7" s="16" t="s">
        <v>110</v>
      </c>
      <c r="I7" s="16"/>
      <c r="J7" s="16"/>
      <c r="K7" s="16"/>
      <c r="L7" s="16"/>
      <c r="M7" s="16"/>
    </row>
    <row r="8" spans="1:13" x14ac:dyDescent="0.25">
      <c r="A8" s="14" t="s">
        <v>111</v>
      </c>
      <c r="B8" s="14"/>
      <c r="C8" s="14"/>
      <c r="D8" s="14"/>
      <c r="E8" s="14"/>
      <c r="F8" s="14"/>
      <c r="H8" s="16" t="s">
        <v>111</v>
      </c>
      <c r="I8" s="16"/>
      <c r="J8" s="16"/>
      <c r="K8" s="16"/>
      <c r="L8" s="16"/>
      <c r="M8" s="16"/>
    </row>
    <row r="9" spans="1:13" x14ac:dyDescent="0.25">
      <c r="A9" s="14"/>
      <c r="B9" s="14"/>
      <c r="C9" s="14"/>
      <c r="D9" s="14"/>
      <c r="E9" s="66" t="s">
        <v>178</v>
      </c>
      <c r="F9" s="66"/>
      <c r="H9" s="16"/>
      <c r="I9" s="16"/>
      <c r="J9" s="16"/>
      <c r="K9" s="16"/>
      <c r="L9" s="67" t="s">
        <v>178</v>
      </c>
      <c r="M9" s="67"/>
    </row>
    <row r="10" spans="1:13" ht="50.25" customHeight="1" x14ac:dyDescent="0.25">
      <c r="A10" s="32" t="s">
        <v>241</v>
      </c>
      <c r="B10" s="32"/>
      <c r="C10" s="32"/>
      <c r="D10" s="32"/>
      <c r="E10" s="53">
        <v>25</v>
      </c>
      <c r="F10" s="68" t="s">
        <v>105</v>
      </c>
      <c r="H10" s="33" t="s">
        <v>241</v>
      </c>
      <c r="I10" s="33"/>
      <c r="J10" s="33"/>
      <c r="K10" s="33"/>
      <c r="L10" s="99">
        <v>25</v>
      </c>
      <c r="M10" s="69" t="s">
        <v>105</v>
      </c>
    </row>
    <row r="11" spans="1:13" ht="24.75" customHeight="1" x14ac:dyDescent="0.25">
      <c r="A11" s="39" t="s">
        <v>194</v>
      </c>
      <c r="B11" s="39"/>
      <c r="C11" s="39"/>
      <c r="D11" s="39"/>
      <c r="E11" s="39"/>
      <c r="F11" s="39"/>
      <c r="H11" s="41" t="s">
        <v>194</v>
      </c>
      <c r="I11" s="41"/>
      <c r="J11" s="41"/>
      <c r="K11" s="41"/>
      <c r="L11" s="41"/>
      <c r="M11" s="41"/>
    </row>
    <row r="12" spans="1:13" x14ac:dyDescent="0.25">
      <c r="A12" s="14"/>
      <c r="B12" s="14"/>
      <c r="C12" s="14"/>
      <c r="D12" s="14"/>
      <c r="E12" s="53"/>
      <c r="F12" s="70"/>
      <c r="H12" s="16"/>
      <c r="I12" s="16"/>
      <c r="J12" s="16"/>
      <c r="K12" s="16"/>
      <c r="L12" s="55"/>
      <c r="M12" s="71"/>
    </row>
    <row r="13" spans="1:13" ht="32.25" customHeight="1" x14ac:dyDescent="0.25">
      <c r="A13" s="32" t="s">
        <v>242</v>
      </c>
      <c r="B13" s="32"/>
      <c r="C13" s="32"/>
      <c r="D13" s="32"/>
      <c r="E13" s="53">
        <f>E10*1.075</f>
        <v>26.875</v>
      </c>
      <c r="F13" s="68" t="s">
        <v>105</v>
      </c>
      <c r="H13" s="33" t="s">
        <v>242</v>
      </c>
      <c r="I13" s="33"/>
      <c r="J13" s="33"/>
      <c r="K13" s="33"/>
      <c r="L13" s="99">
        <f>L10*1.075</f>
        <v>26.875</v>
      </c>
      <c r="M13" s="69" t="s">
        <v>105</v>
      </c>
    </row>
    <row r="14" spans="1:13" x14ac:dyDescent="0.25">
      <c r="A14" s="14"/>
      <c r="B14" s="14"/>
      <c r="C14" s="14"/>
      <c r="D14" s="14"/>
      <c r="E14" s="53"/>
      <c r="F14" s="70"/>
      <c r="H14" s="16"/>
      <c r="I14" s="16"/>
      <c r="J14" s="16"/>
      <c r="K14" s="16"/>
      <c r="L14" s="55"/>
      <c r="M14" s="71"/>
    </row>
    <row r="15" spans="1:13" ht="28.5" customHeight="1" x14ac:dyDescent="0.25">
      <c r="A15" s="32" t="s">
        <v>243</v>
      </c>
      <c r="B15" s="32"/>
      <c r="C15" s="32"/>
      <c r="D15" s="32"/>
      <c r="E15" s="53">
        <f>E13*1.05</f>
        <v>28.21875</v>
      </c>
      <c r="F15" s="68" t="s">
        <v>105</v>
      </c>
      <c r="H15" s="33" t="s">
        <v>243</v>
      </c>
      <c r="I15" s="33"/>
      <c r="J15" s="33"/>
      <c r="K15" s="33"/>
      <c r="L15" s="99">
        <f>L13*1.05</f>
        <v>28.21875</v>
      </c>
      <c r="M15" s="69" t="s">
        <v>105</v>
      </c>
    </row>
    <row r="16" spans="1:13" ht="27.75" customHeight="1" x14ac:dyDescent="0.25">
      <c r="A16" s="72" t="s">
        <v>195</v>
      </c>
      <c r="B16" s="72"/>
      <c r="C16" s="72"/>
      <c r="D16" s="72"/>
      <c r="E16" s="72"/>
      <c r="F16" s="72"/>
      <c r="H16" s="42" t="s">
        <v>195</v>
      </c>
      <c r="I16" s="16"/>
      <c r="J16" s="16"/>
      <c r="K16" s="16"/>
      <c r="L16" s="55"/>
      <c r="M16" s="71"/>
    </row>
    <row r="17" spans="1:15" ht="28.5" customHeight="1" x14ac:dyDescent="0.25">
      <c r="A17" s="32" t="s">
        <v>244</v>
      </c>
      <c r="B17" s="32"/>
      <c r="C17" s="32"/>
      <c r="D17" s="32"/>
      <c r="E17" s="53">
        <f>E15*1.02</f>
        <v>28.783125000000002</v>
      </c>
      <c r="F17" s="68" t="s">
        <v>105</v>
      </c>
      <c r="H17" s="33" t="s">
        <v>244</v>
      </c>
      <c r="I17" s="33"/>
      <c r="J17" s="33"/>
      <c r="K17" s="33"/>
      <c r="L17" s="99">
        <f>L15*1.02</f>
        <v>28.783125000000002</v>
      </c>
      <c r="M17" s="69" t="s">
        <v>105</v>
      </c>
    </row>
    <row r="18" spans="1:15" ht="36.75" customHeight="1" x14ac:dyDescent="0.25">
      <c r="A18" s="39" t="s">
        <v>196</v>
      </c>
      <c r="B18" s="39"/>
      <c r="C18" s="39"/>
      <c r="D18" s="39"/>
      <c r="E18" s="39"/>
      <c r="F18" s="39"/>
      <c r="H18" s="33" t="s">
        <v>196</v>
      </c>
      <c r="I18" s="33"/>
      <c r="J18" s="33"/>
      <c r="K18" s="33"/>
      <c r="L18" s="33"/>
      <c r="M18" s="33"/>
    </row>
    <row r="19" spans="1:15" ht="28.5" customHeight="1" x14ac:dyDescent="0.25">
      <c r="A19" s="32" t="s">
        <v>245</v>
      </c>
      <c r="B19" s="32"/>
      <c r="C19" s="32"/>
      <c r="D19" s="32"/>
      <c r="E19" s="53">
        <f>E17+1</f>
        <v>29.783125000000002</v>
      </c>
      <c r="F19" s="68" t="s">
        <v>105</v>
      </c>
      <c r="H19" s="33" t="s">
        <v>245</v>
      </c>
      <c r="I19" s="33"/>
      <c r="J19" s="33"/>
      <c r="K19" s="33"/>
      <c r="L19" s="99">
        <f>L17+1</f>
        <v>29.783125000000002</v>
      </c>
      <c r="M19" s="55" t="s">
        <v>105</v>
      </c>
    </row>
    <row r="20" spans="1:15" x14ac:dyDescent="0.25">
      <c r="A20" s="14"/>
      <c r="B20" s="14"/>
      <c r="C20" s="14"/>
      <c r="D20" s="14"/>
      <c r="E20" s="53"/>
      <c r="F20" s="70"/>
      <c r="H20" s="16"/>
      <c r="I20" s="16"/>
      <c r="J20" s="16"/>
      <c r="K20" s="16"/>
      <c r="L20" s="55"/>
      <c r="M20" s="71"/>
    </row>
    <row r="21" spans="1:15" s="1" customFormat="1" x14ac:dyDescent="0.25">
      <c r="A21" s="13" t="s">
        <v>112</v>
      </c>
      <c r="B21" s="13"/>
      <c r="C21" s="13"/>
      <c r="D21" s="13"/>
      <c r="E21" s="73">
        <f>ROUNDUP(E19,0)</f>
        <v>30</v>
      </c>
      <c r="F21" s="74" t="s">
        <v>105</v>
      </c>
      <c r="G21" s="62"/>
      <c r="H21" s="15" t="s">
        <v>112</v>
      </c>
      <c r="I21" s="15"/>
      <c r="J21" s="15"/>
      <c r="K21" s="15"/>
      <c r="L21" s="100">
        <f>ROUNDUP(L19,0)</f>
        <v>30</v>
      </c>
      <c r="M21" s="75" t="s">
        <v>105</v>
      </c>
      <c r="N21" s="62"/>
      <c r="O21" s="62"/>
    </row>
    <row r="22" spans="1:15" x14ac:dyDescent="0.25">
      <c r="E22" s="65"/>
      <c r="F22" s="76"/>
    </row>
    <row r="23" spans="1:15" x14ac:dyDescent="0.25">
      <c r="A23" s="9" t="s">
        <v>204</v>
      </c>
      <c r="E23" s="65"/>
      <c r="F23" s="65"/>
    </row>
    <row r="24" spans="1:15" x14ac:dyDescent="0.25">
      <c r="A24" s="9" t="s">
        <v>205</v>
      </c>
    </row>
    <row r="25" spans="1:15" x14ac:dyDescent="0.25">
      <c r="A25" s="9" t="s">
        <v>206</v>
      </c>
    </row>
    <row r="26" spans="1:15" x14ac:dyDescent="0.25">
      <c r="A26" s="9" t="s">
        <v>207</v>
      </c>
    </row>
    <row r="27" spans="1:15" x14ac:dyDescent="0.25">
      <c r="A27" s="9" t="s">
        <v>208</v>
      </c>
    </row>
    <row r="31" spans="1:15" x14ac:dyDescent="0.25">
      <c r="I31" s="98"/>
    </row>
  </sheetData>
  <sheetProtection sheet="1" objects="1" scenarios="1"/>
  <mergeCells count="17">
    <mergeCell ref="A19:D19"/>
    <mergeCell ref="A17:D17"/>
    <mergeCell ref="H19:K19"/>
    <mergeCell ref="H11:M11"/>
    <mergeCell ref="H18:M18"/>
    <mergeCell ref="E9:F9"/>
    <mergeCell ref="A11:F11"/>
    <mergeCell ref="A16:F16"/>
    <mergeCell ref="A18:F18"/>
    <mergeCell ref="L9:M9"/>
    <mergeCell ref="H10:K10"/>
    <mergeCell ref="H13:K13"/>
    <mergeCell ref="H15:K15"/>
    <mergeCell ref="H17:K17"/>
    <mergeCell ref="A10:D10"/>
    <mergeCell ref="A13:D13"/>
    <mergeCell ref="A15:D15"/>
  </mergeCells>
  <phoneticPr fontId="0" type="noConversion"/>
  <printOptions horizontalCentered="1"/>
  <pageMargins left="0.7" right="0.7" top="0.75" bottom="0.75" header="0.3" footer="0.3"/>
  <pageSetup paperSize="199" scale="78" orientation="landscape" r:id="rId1"/>
  <headerFooter>
    <oddHeader>&amp;CCALCULATION SPREADSHEET FOR GPSA ENGINEERING DATA BOOK, 13&amp;Xth&amp;X ED.
EXAMPLE 9-3</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topLeftCell="A16" zoomScale="80" zoomScaleNormal="80" workbookViewId="0">
      <selection activeCell="J37" sqref="J37:L37"/>
    </sheetView>
  </sheetViews>
  <sheetFormatPr defaultRowHeight="15" x14ac:dyDescent="0.25"/>
  <cols>
    <col min="1" max="2" width="9.140625" style="11"/>
    <col min="3" max="3" width="32.5703125" style="11" customWidth="1"/>
    <col min="4" max="4" width="5.28515625" style="11" customWidth="1"/>
    <col min="5" max="5" width="11.85546875" style="11" customWidth="1"/>
    <col min="6" max="6" width="10.7109375" style="11" customWidth="1"/>
    <col min="7" max="7" width="9.140625" style="11"/>
    <col min="8" max="8" width="11.85546875" style="11" customWidth="1"/>
    <col min="9" max="11" width="9.140625" style="11"/>
    <col min="12" max="12" width="38" style="11" customWidth="1"/>
    <col min="13" max="13" width="9.140625" style="65"/>
    <col min="14" max="14" width="11.7109375" style="11" customWidth="1"/>
    <col min="15" max="16" width="9.140625" style="11"/>
    <col min="17" max="17" width="14.28515625" style="11" customWidth="1"/>
    <col min="18" max="22" width="9.140625" style="11"/>
  </cols>
  <sheetData>
    <row r="1" spans="1:22" x14ac:dyDescent="0.25">
      <c r="A1" s="13" t="s">
        <v>202</v>
      </c>
      <c r="B1" s="14"/>
      <c r="C1" s="14"/>
      <c r="D1" s="14"/>
      <c r="E1" s="14"/>
      <c r="F1" s="14"/>
      <c r="G1" s="14"/>
      <c r="H1" s="14"/>
      <c r="J1" s="15" t="s">
        <v>203</v>
      </c>
      <c r="K1" s="16"/>
      <c r="L1" s="16"/>
      <c r="M1" s="46"/>
      <c r="N1" s="16"/>
      <c r="O1" s="16"/>
      <c r="P1" s="16"/>
      <c r="Q1" s="16"/>
    </row>
    <row r="2" spans="1:22" ht="28.5" customHeight="1" x14ac:dyDescent="0.25">
      <c r="A2" s="14" t="s">
        <v>77</v>
      </c>
      <c r="B2" s="14"/>
      <c r="C2" s="14"/>
      <c r="D2" s="14"/>
      <c r="E2" s="14" t="s">
        <v>119</v>
      </c>
      <c r="F2" s="14"/>
      <c r="G2" s="32" t="s">
        <v>188</v>
      </c>
      <c r="H2" s="32"/>
      <c r="J2" s="16" t="s">
        <v>77</v>
      </c>
      <c r="K2" s="16"/>
      <c r="L2" s="16"/>
      <c r="M2" s="46"/>
      <c r="N2" s="16" t="s">
        <v>119</v>
      </c>
      <c r="O2" s="16"/>
      <c r="P2" s="33" t="s">
        <v>187</v>
      </c>
      <c r="Q2" s="33"/>
    </row>
    <row r="3" spans="1:22" x14ac:dyDescent="0.25">
      <c r="A3" s="14" t="s">
        <v>113</v>
      </c>
      <c r="B3" s="14"/>
      <c r="C3" s="14"/>
      <c r="D3" s="14" t="s">
        <v>176</v>
      </c>
      <c r="E3" s="45">
        <v>810</v>
      </c>
      <c r="F3" s="14" t="s">
        <v>114</v>
      </c>
      <c r="G3" s="14">
        <v>18.600000000000001</v>
      </c>
      <c r="H3" s="14" t="s">
        <v>120</v>
      </c>
      <c r="J3" s="16" t="s">
        <v>113</v>
      </c>
      <c r="K3" s="16"/>
      <c r="L3" s="16"/>
      <c r="M3" s="46" t="s">
        <v>176</v>
      </c>
      <c r="N3" s="95">
        <v>810</v>
      </c>
      <c r="O3" s="16" t="s">
        <v>114</v>
      </c>
      <c r="P3" s="16">
        <v>18.600000000000001</v>
      </c>
      <c r="Q3" s="16" t="s">
        <v>120</v>
      </c>
    </row>
    <row r="4" spans="1:22" x14ac:dyDescent="0.25">
      <c r="A4" s="14" t="s">
        <v>197</v>
      </c>
      <c r="B4" s="14"/>
      <c r="C4" s="14"/>
      <c r="D4" s="14" t="s">
        <v>176</v>
      </c>
      <c r="E4" s="45">
        <v>205</v>
      </c>
      <c r="F4" s="14" t="s">
        <v>114</v>
      </c>
      <c r="G4" s="14">
        <v>9.6999999999999993</v>
      </c>
      <c r="H4" s="14" t="s">
        <v>120</v>
      </c>
      <c r="J4" s="16" t="s">
        <v>115</v>
      </c>
      <c r="K4" s="16"/>
      <c r="L4" s="16"/>
      <c r="M4" s="46" t="s">
        <v>176</v>
      </c>
      <c r="N4" s="95">
        <v>205</v>
      </c>
      <c r="O4" s="16" t="s">
        <v>114</v>
      </c>
      <c r="P4" s="16">
        <v>9.6999999999999993</v>
      </c>
      <c r="Q4" s="16" t="s">
        <v>120</v>
      </c>
    </row>
    <row r="5" spans="1:22" x14ac:dyDescent="0.25">
      <c r="A5" s="14" t="s">
        <v>198</v>
      </c>
      <c r="B5" s="14"/>
      <c r="C5" s="14"/>
      <c r="D5" s="14" t="s">
        <v>176</v>
      </c>
      <c r="E5" s="45">
        <v>285</v>
      </c>
      <c r="F5" s="14" t="s">
        <v>114</v>
      </c>
      <c r="G5" s="14">
        <v>11.6</v>
      </c>
      <c r="H5" s="14" t="s">
        <v>120</v>
      </c>
      <c r="J5" s="16" t="s">
        <v>116</v>
      </c>
      <c r="K5" s="16"/>
      <c r="L5" s="16"/>
      <c r="M5" s="46" t="s">
        <v>176</v>
      </c>
      <c r="N5" s="95">
        <v>285</v>
      </c>
      <c r="O5" s="16" t="s">
        <v>114</v>
      </c>
      <c r="P5" s="16">
        <v>11.6</v>
      </c>
      <c r="Q5" s="16" t="s">
        <v>120</v>
      </c>
    </row>
    <row r="6" spans="1:22" x14ac:dyDescent="0.25">
      <c r="A6" s="14" t="s">
        <v>152</v>
      </c>
      <c r="B6" s="14"/>
      <c r="C6" s="14"/>
      <c r="D6" s="14" t="s">
        <v>176</v>
      </c>
      <c r="E6" s="45">
        <v>1</v>
      </c>
      <c r="F6" s="14"/>
      <c r="G6" s="14"/>
      <c r="H6" s="14"/>
      <c r="J6" s="16" t="s">
        <v>152</v>
      </c>
      <c r="K6" s="16"/>
      <c r="L6" s="16"/>
      <c r="M6" s="46" t="s">
        <v>176</v>
      </c>
      <c r="N6" s="95">
        <v>1</v>
      </c>
      <c r="O6" s="16"/>
      <c r="P6" s="16"/>
      <c r="Q6" s="16"/>
    </row>
    <row r="7" spans="1:22" x14ac:dyDescent="0.25">
      <c r="A7" s="14" t="s">
        <v>153</v>
      </c>
      <c r="B7" s="14"/>
      <c r="C7" s="14"/>
      <c r="D7" s="14"/>
      <c r="E7" s="45"/>
      <c r="F7" s="14"/>
      <c r="G7" s="14"/>
      <c r="H7" s="14"/>
      <c r="J7" s="16" t="s">
        <v>153</v>
      </c>
      <c r="K7" s="16"/>
      <c r="L7" s="16"/>
      <c r="M7" s="46"/>
      <c r="N7" s="95"/>
      <c r="O7" s="16"/>
      <c r="P7" s="16"/>
      <c r="Q7" s="16"/>
    </row>
    <row r="8" spans="1:22" s="5" customFormat="1" ht="55.5" customHeight="1" x14ac:dyDescent="0.25">
      <c r="A8" s="30" t="s">
        <v>122</v>
      </c>
      <c r="B8" s="30"/>
      <c r="C8" s="30"/>
      <c r="D8" s="30" t="s">
        <v>176</v>
      </c>
      <c r="E8" s="53">
        <v>25</v>
      </c>
      <c r="F8" s="30" t="s">
        <v>105</v>
      </c>
      <c r="G8" s="39" t="s">
        <v>184</v>
      </c>
      <c r="H8" s="39"/>
      <c r="I8" s="40"/>
      <c r="J8" s="42" t="s">
        <v>122</v>
      </c>
      <c r="K8" s="42"/>
      <c r="L8" s="42"/>
      <c r="M8" s="55" t="s">
        <v>176</v>
      </c>
      <c r="N8" s="99">
        <v>25</v>
      </c>
      <c r="O8" s="42" t="s">
        <v>105</v>
      </c>
      <c r="P8" s="41" t="s">
        <v>184</v>
      </c>
      <c r="Q8" s="41"/>
      <c r="R8" s="40"/>
      <c r="S8" s="40"/>
      <c r="T8" s="40"/>
      <c r="U8" s="40"/>
      <c r="V8" s="40"/>
    </row>
    <row r="9" spans="1:22" x14ac:dyDescent="0.25">
      <c r="A9" s="14" t="s">
        <v>124</v>
      </c>
      <c r="B9" s="14"/>
      <c r="C9" s="14"/>
      <c r="D9" s="14" t="s">
        <v>176</v>
      </c>
      <c r="E9" s="58">
        <v>40650</v>
      </c>
      <c r="F9" s="14" t="s">
        <v>123</v>
      </c>
      <c r="G9" s="14"/>
      <c r="H9" s="14"/>
      <c r="J9" s="16" t="s">
        <v>124</v>
      </c>
      <c r="K9" s="16"/>
      <c r="L9" s="16"/>
      <c r="M9" s="46" t="s">
        <v>176</v>
      </c>
      <c r="N9" s="101">
        <v>40650</v>
      </c>
      <c r="O9" s="16" t="s">
        <v>123</v>
      </c>
      <c r="P9" s="16"/>
      <c r="Q9" s="16"/>
    </row>
    <row r="10" spans="1:22" x14ac:dyDescent="0.25">
      <c r="A10" s="14" t="s">
        <v>125</v>
      </c>
      <c r="B10" s="14"/>
      <c r="C10" s="14"/>
      <c r="D10" s="14" t="s">
        <v>176</v>
      </c>
      <c r="E10" s="58">
        <v>31320</v>
      </c>
      <c r="F10" s="14" t="s">
        <v>123</v>
      </c>
      <c r="G10" s="14"/>
      <c r="H10" s="14"/>
      <c r="J10" s="16" t="s">
        <v>125</v>
      </c>
      <c r="K10" s="16"/>
      <c r="L10" s="16"/>
      <c r="M10" s="46" t="s">
        <v>176</v>
      </c>
      <c r="N10" s="101">
        <v>31320</v>
      </c>
      <c r="O10" s="16" t="s">
        <v>123</v>
      </c>
      <c r="P10" s="16"/>
      <c r="Q10" s="16"/>
    </row>
    <row r="11" spans="1:22" x14ac:dyDescent="0.25">
      <c r="A11" s="14" t="s">
        <v>126</v>
      </c>
      <c r="B11" s="14"/>
      <c r="C11" s="14"/>
      <c r="D11" s="14" t="s">
        <v>176</v>
      </c>
      <c r="E11" s="58">
        <v>14780</v>
      </c>
      <c r="F11" s="14" t="s">
        <v>123</v>
      </c>
      <c r="G11" s="14"/>
      <c r="H11" s="14"/>
      <c r="J11" s="16" t="s">
        <v>126</v>
      </c>
      <c r="K11" s="16"/>
      <c r="L11" s="16"/>
      <c r="M11" s="46" t="s">
        <v>176</v>
      </c>
      <c r="N11" s="101">
        <v>14780</v>
      </c>
      <c r="O11" s="16" t="s">
        <v>123</v>
      </c>
      <c r="P11" s="16"/>
      <c r="Q11" s="16"/>
    </row>
    <row r="12" spans="1:22" x14ac:dyDescent="0.25">
      <c r="A12" s="14" t="s">
        <v>140</v>
      </c>
      <c r="B12" s="14"/>
      <c r="C12" s="14"/>
      <c r="D12" s="14" t="s">
        <v>176</v>
      </c>
      <c r="E12" s="58">
        <v>5500000</v>
      </c>
      <c r="F12" s="14" t="s">
        <v>141</v>
      </c>
      <c r="G12" s="14"/>
      <c r="H12" s="14"/>
      <c r="J12" s="16" t="s">
        <v>140</v>
      </c>
      <c r="K12" s="16"/>
      <c r="L12" s="16"/>
      <c r="M12" s="46" t="s">
        <v>176</v>
      </c>
      <c r="N12" s="101">
        <v>5500000</v>
      </c>
      <c r="O12" s="16" t="s">
        <v>141</v>
      </c>
      <c r="P12" s="16"/>
      <c r="Q12" s="16"/>
    </row>
    <row r="13" spans="1:22" x14ac:dyDescent="0.25">
      <c r="A13" s="14" t="s">
        <v>142</v>
      </c>
      <c r="B13" s="14"/>
      <c r="C13" s="14"/>
      <c r="D13" s="14" t="s">
        <v>176</v>
      </c>
      <c r="E13" s="77">
        <v>11.22</v>
      </c>
      <c r="F13" s="14" t="s">
        <v>29</v>
      </c>
      <c r="G13" s="14"/>
      <c r="H13" s="14"/>
      <c r="J13" s="16" t="s">
        <v>142</v>
      </c>
      <c r="K13" s="16"/>
      <c r="L13" s="16"/>
      <c r="M13" s="46" t="s">
        <v>176</v>
      </c>
      <c r="N13" s="102">
        <v>11.22</v>
      </c>
      <c r="O13" s="16" t="s">
        <v>29</v>
      </c>
      <c r="P13" s="16" t="s">
        <v>186</v>
      </c>
      <c r="Q13" s="16"/>
    </row>
    <row r="14" spans="1:22" x14ac:dyDescent="0.25">
      <c r="A14" s="14" t="s">
        <v>143</v>
      </c>
      <c r="B14" s="14"/>
      <c r="C14" s="14"/>
      <c r="D14" s="14" t="s">
        <v>176</v>
      </c>
      <c r="E14" s="58">
        <v>10</v>
      </c>
      <c r="F14" s="14" t="s">
        <v>114</v>
      </c>
      <c r="G14" s="14"/>
      <c r="H14" s="14"/>
      <c r="J14" s="16" t="s">
        <v>143</v>
      </c>
      <c r="K14" s="16"/>
      <c r="L14" s="16"/>
      <c r="M14" s="46" t="s">
        <v>176</v>
      </c>
      <c r="N14" s="101">
        <v>10</v>
      </c>
      <c r="O14" s="16" t="s">
        <v>114</v>
      </c>
      <c r="P14" s="16"/>
      <c r="Q14" s="16"/>
    </row>
    <row r="15" spans="1:22" x14ac:dyDescent="0.25">
      <c r="A15" s="14" t="s">
        <v>144</v>
      </c>
      <c r="B15" s="14"/>
      <c r="C15" s="14"/>
      <c r="D15" s="14" t="s">
        <v>176</v>
      </c>
      <c r="E15" s="58">
        <v>7</v>
      </c>
      <c r="F15" s="14" t="s">
        <v>114</v>
      </c>
      <c r="G15" s="14"/>
      <c r="H15" s="14"/>
      <c r="J15" s="16" t="s">
        <v>144</v>
      </c>
      <c r="K15" s="16"/>
      <c r="L15" s="16"/>
      <c r="M15" s="46" t="s">
        <v>176</v>
      </c>
      <c r="N15" s="101">
        <v>7</v>
      </c>
      <c r="O15" s="16" t="s">
        <v>114</v>
      </c>
      <c r="P15" s="16"/>
      <c r="Q15" s="16"/>
    </row>
    <row r="16" spans="1:22" x14ac:dyDescent="0.25">
      <c r="A16" s="14" t="s">
        <v>145</v>
      </c>
      <c r="B16" s="14"/>
      <c r="C16" s="14"/>
      <c r="D16" s="14" t="s">
        <v>176</v>
      </c>
      <c r="E16" s="58">
        <v>7</v>
      </c>
      <c r="F16" s="14" t="s">
        <v>114</v>
      </c>
      <c r="G16" s="14"/>
      <c r="H16" s="14"/>
      <c r="J16" s="16" t="s">
        <v>145</v>
      </c>
      <c r="K16" s="16"/>
      <c r="L16" s="16"/>
      <c r="M16" s="46" t="s">
        <v>176</v>
      </c>
      <c r="N16" s="101">
        <v>7</v>
      </c>
      <c r="O16" s="16" t="s">
        <v>114</v>
      </c>
      <c r="P16" s="16"/>
      <c r="Q16" s="16"/>
    </row>
    <row r="17" spans="1:17" ht="16.5" x14ac:dyDescent="0.3">
      <c r="A17" s="14" t="s">
        <v>246</v>
      </c>
      <c r="B17" s="14"/>
      <c r="C17" s="14"/>
      <c r="D17" s="14" t="s">
        <v>176</v>
      </c>
      <c r="E17" s="78">
        <v>0.79200000000000004</v>
      </c>
      <c r="F17" s="14"/>
      <c r="G17" s="14"/>
      <c r="H17" s="14"/>
      <c r="J17" s="16" t="s">
        <v>246</v>
      </c>
      <c r="K17" s="16"/>
      <c r="L17" s="16"/>
      <c r="M17" s="46" t="s">
        <v>176</v>
      </c>
      <c r="N17" s="103">
        <v>0.79200000000000004</v>
      </c>
      <c r="O17" s="16"/>
      <c r="P17" s="16"/>
      <c r="Q17" s="16"/>
    </row>
    <row r="18" spans="1:17" ht="16.5" x14ac:dyDescent="0.3">
      <c r="A18" s="14" t="s">
        <v>247</v>
      </c>
      <c r="B18" s="14"/>
      <c r="C18" s="14"/>
      <c r="D18" s="14" t="s">
        <v>176</v>
      </c>
      <c r="E18" s="78">
        <f>1-E17</f>
        <v>0.20799999999999996</v>
      </c>
      <c r="F18" s="14"/>
      <c r="G18" s="14"/>
      <c r="H18" s="14"/>
      <c r="J18" s="16" t="s">
        <v>247</v>
      </c>
      <c r="K18" s="16"/>
      <c r="L18" s="16"/>
      <c r="M18" s="46" t="s">
        <v>176</v>
      </c>
      <c r="N18" s="103">
        <f>1-N17</f>
        <v>0.20799999999999996</v>
      </c>
      <c r="O18" s="16"/>
      <c r="P18" s="16"/>
      <c r="Q18" s="16"/>
    </row>
    <row r="19" spans="1:17" x14ac:dyDescent="0.25">
      <c r="A19" s="14" t="s">
        <v>149</v>
      </c>
      <c r="B19" s="14"/>
      <c r="C19" s="14"/>
      <c r="D19" s="14" t="s">
        <v>176</v>
      </c>
      <c r="E19" s="78">
        <v>4.84</v>
      </c>
      <c r="F19" s="14" t="s">
        <v>150</v>
      </c>
      <c r="G19" s="14"/>
      <c r="H19" s="14"/>
      <c r="J19" s="16" t="s">
        <v>149</v>
      </c>
      <c r="K19" s="16"/>
      <c r="L19" s="16"/>
      <c r="M19" s="46" t="s">
        <v>176</v>
      </c>
      <c r="N19" s="103">
        <v>4.84</v>
      </c>
      <c r="O19" s="16" t="s">
        <v>150</v>
      </c>
      <c r="P19" s="16"/>
      <c r="Q19" s="16"/>
    </row>
    <row r="20" spans="1:17" x14ac:dyDescent="0.25">
      <c r="A20" s="14" t="s">
        <v>151</v>
      </c>
      <c r="B20" s="14"/>
      <c r="C20" s="14"/>
      <c r="D20" s="14" t="s">
        <v>176</v>
      </c>
      <c r="E20" s="58">
        <v>28</v>
      </c>
      <c r="F20" s="14" t="s">
        <v>150</v>
      </c>
      <c r="G20" s="14"/>
      <c r="H20" s="14"/>
      <c r="J20" s="16" t="s">
        <v>151</v>
      </c>
      <c r="K20" s="16"/>
      <c r="L20" s="16"/>
      <c r="M20" s="46" t="s">
        <v>176</v>
      </c>
      <c r="N20" s="101">
        <v>28</v>
      </c>
      <c r="O20" s="16" t="s">
        <v>150</v>
      </c>
      <c r="P20" s="16"/>
      <c r="Q20" s="16"/>
    </row>
    <row r="21" spans="1:17" x14ac:dyDescent="0.25">
      <c r="A21" s="14" t="s">
        <v>155</v>
      </c>
      <c r="B21" s="14"/>
      <c r="C21" s="14"/>
      <c r="D21" s="14" t="s">
        <v>176</v>
      </c>
      <c r="E21" s="78">
        <v>2.79</v>
      </c>
      <c r="F21" s="14" t="s">
        <v>150</v>
      </c>
      <c r="G21" s="14"/>
      <c r="H21" s="14"/>
      <c r="J21" s="16" t="s">
        <v>155</v>
      </c>
      <c r="K21" s="16"/>
      <c r="L21" s="16"/>
      <c r="M21" s="46" t="s">
        <v>176</v>
      </c>
      <c r="N21" s="103">
        <v>2.79</v>
      </c>
      <c r="O21" s="16" t="s">
        <v>150</v>
      </c>
      <c r="P21" s="16"/>
      <c r="Q21" s="16"/>
    </row>
    <row r="22" spans="1:17" x14ac:dyDescent="0.25">
      <c r="A22" s="14" t="s">
        <v>156</v>
      </c>
      <c r="B22" s="14"/>
      <c r="C22" s="14"/>
      <c r="D22" s="14" t="s">
        <v>176</v>
      </c>
      <c r="E22" s="78">
        <v>1.02</v>
      </c>
      <c r="F22" s="14" t="s">
        <v>150</v>
      </c>
      <c r="G22" s="14"/>
      <c r="H22" s="14"/>
      <c r="J22" s="16" t="s">
        <v>156</v>
      </c>
      <c r="K22" s="16"/>
      <c r="L22" s="16"/>
      <c r="M22" s="46" t="s">
        <v>176</v>
      </c>
      <c r="N22" s="103">
        <v>1.02</v>
      </c>
      <c r="O22" s="16" t="s">
        <v>150</v>
      </c>
      <c r="P22" s="16"/>
      <c r="Q22" s="16"/>
    </row>
    <row r="23" spans="1:17" x14ac:dyDescent="0.25">
      <c r="A23" s="14" t="s">
        <v>157</v>
      </c>
      <c r="B23" s="14"/>
      <c r="C23" s="14"/>
      <c r="D23" s="14" t="s">
        <v>176</v>
      </c>
      <c r="E23" s="78">
        <v>0.56000000000000005</v>
      </c>
      <c r="F23" s="14" t="s">
        <v>150</v>
      </c>
      <c r="G23" s="14"/>
      <c r="H23" s="14"/>
      <c r="J23" s="16" t="s">
        <v>157</v>
      </c>
      <c r="K23" s="16"/>
      <c r="L23" s="16"/>
      <c r="M23" s="46" t="s">
        <v>176</v>
      </c>
      <c r="N23" s="103">
        <v>0.56000000000000005</v>
      </c>
      <c r="O23" s="16" t="s">
        <v>150</v>
      </c>
      <c r="P23" s="16"/>
      <c r="Q23" s="16"/>
    </row>
    <row r="24" spans="1:17" x14ac:dyDescent="0.25">
      <c r="A24" s="14" t="s">
        <v>191</v>
      </c>
      <c r="B24" s="14"/>
      <c r="C24" s="14"/>
      <c r="D24" s="14" t="s">
        <v>176</v>
      </c>
      <c r="E24" s="78">
        <v>1.32</v>
      </c>
      <c r="F24" s="14" t="s">
        <v>150</v>
      </c>
      <c r="G24" s="14"/>
      <c r="H24" s="14"/>
      <c r="J24" s="16" t="s">
        <v>191</v>
      </c>
      <c r="K24" s="16"/>
      <c r="L24" s="16"/>
      <c r="M24" s="46" t="s">
        <v>176</v>
      </c>
      <c r="N24" s="103">
        <v>1.32</v>
      </c>
      <c r="O24" s="16" t="s">
        <v>150</v>
      </c>
      <c r="P24" s="16"/>
      <c r="Q24" s="16"/>
    </row>
    <row r="25" spans="1:17" x14ac:dyDescent="0.25">
      <c r="A25" s="14" t="s">
        <v>158</v>
      </c>
      <c r="B25" s="14"/>
      <c r="C25" s="14"/>
      <c r="D25" s="14" t="s">
        <v>176</v>
      </c>
      <c r="E25" s="78">
        <v>0.8</v>
      </c>
      <c r="F25" s="14" t="s">
        <v>150</v>
      </c>
      <c r="G25" s="14"/>
      <c r="H25" s="14"/>
      <c r="J25" s="16" t="s">
        <v>158</v>
      </c>
      <c r="K25" s="16"/>
      <c r="L25" s="16"/>
      <c r="M25" s="46" t="s">
        <v>176</v>
      </c>
      <c r="N25" s="103">
        <v>0.8</v>
      </c>
      <c r="O25" s="16" t="s">
        <v>150</v>
      </c>
      <c r="P25" s="16"/>
      <c r="Q25" s="16"/>
    </row>
    <row r="26" spans="1:17" x14ac:dyDescent="0.25">
      <c r="A26" s="14" t="s">
        <v>248</v>
      </c>
      <c r="B26" s="14"/>
      <c r="C26" s="14"/>
      <c r="D26" s="14"/>
      <c r="E26" s="45"/>
      <c r="F26" s="14"/>
      <c r="G26" s="14"/>
      <c r="H26" s="14"/>
      <c r="J26" s="16" t="s">
        <v>248</v>
      </c>
      <c r="K26" s="16"/>
      <c r="L26" s="16"/>
      <c r="M26" s="46"/>
      <c r="N26" s="95"/>
      <c r="O26" s="16"/>
      <c r="P26" s="16"/>
      <c r="Q26" s="16"/>
    </row>
    <row r="27" spans="1:17" x14ac:dyDescent="0.25">
      <c r="A27" s="14" t="s">
        <v>117</v>
      </c>
      <c r="B27" s="14"/>
      <c r="C27" s="14"/>
      <c r="D27" s="14"/>
      <c r="E27" s="45"/>
      <c r="F27" s="14"/>
      <c r="G27" s="14"/>
      <c r="H27" s="14"/>
      <c r="J27" s="16" t="s">
        <v>117</v>
      </c>
      <c r="K27" s="16"/>
      <c r="L27" s="16"/>
      <c r="M27" s="46"/>
      <c r="N27" s="95"/>
      <c r="O27" s="16"/>
      <c r="P27" s="16"/>
      <c r="Q27" s="16"/>
    </row>
    <row r="28" spans="1:17" x14ac:dyDescent="0.25">
      <c r="A28" s="14" t="s">
        <v>118</v>
      </c>
      <c r="B28" s="14"/>
      <c r="C28" s="14"/>
      <c r="D28" s="14"/>
      <c r="E28" s="45"/>
      <c r="F28" s="14"/>
      <c r="G28" s="14"/>
      <c r="H28" s="14"/>
      <c r="J28" s="16" t="s">
        <v>118</v>
      </c>
      <c r="K28" s="16"/>
      <c r="L28" s="16"/>
      <c r="M28" s="46"/>
      <c r="N28" s="95"/>
      <c r="O28" s="16"/>
      <c r="P28" s="16"/>
      <c r="Q28" s="16"/>
    </row>
    <row r="29" spans="1:17" ht="16.5" x14ac:dyDescent="0.3">
      <c r="A29" s="14" t="s">
        <v>249</v>
      </c>
      <c r="B29" s="14"/>
      <c r="C29" s="14"/>
      <c r="D29" s="14" t="s">
        <v>176</v>
      </c>
      <c r="E29" s="45">
        <f>G3</f>
        <v>18.600000000000001</v>
      </c>
      <c r="F29" s="14" t="s">
        <v>121</v>
      </c>
      <c r="G29" s="14"/>
      <c r="H29" s="14"/>
      <c r="J29" s="16" t="s">
        <v>249</v>
      </c>
      <c r="K29" s="16"/>
      <c r="L29" s="16"/>
      <c r="M29" s="46" t="s">
        <v>176</v>
      </c>
      <c r="N29" s="95">
        <f>P3</f>
        <v>18.600000000000001</v>
      </c>
      <c r="O29" s="16" t="s">
        <v>121</v>
      </c>
      <c r="P29" s="16"/>
      <c r="Q29" s="16"/>
    </row>
    <row r="30" spans="1:17" ht="16.5" x14ac:dyDescent="0.3">
      <c r="A30" s="14" t="s">
        <v>250</v>
      </c>
      <c r="B30" s="14"/>
      <c r="C30" s="14"/>
      <c r="D30" s="14" t="s">
        <v>176</v>
      </c>
      <c r="E30" s="45">
        <f>G4</f>
        <v>9.6999999999999993</v>
      </c>
      <c r="F30" s="14" t="s">
        <v>121</v>
      </c>
      <c r="G30" s="14"/>
      <c r="H30" s="14"/>
      <c r="J30" s="16" t="s">
        <v>250</v>
      </c>
      <c r="K30" s="16"/>
      <c r="L30" s="16"/>
      <c r="M30" s="46" t="s">
        <v>176</v>
      </c>
      <c r="N30" s="95">
        <f>P4</f>
        <v>9.6999999999999993</v>
      </c>
      <c r="O30" s="16" t="s">
        <v>121</v>
      </c>
      <c r="P30" s="16"/>
      <c r="Q30" s="16"/>
    </row>
    <row r="31" spans="1:17" ht="16.5" x14ac:dyDescent="0.3">
      <c r="A31" s="14" t="s">
        <v>250</v>
      </c>
      <c r="B31" s="14"/>
      <c r="C31" s="14"/>
      <c r="D31" s="14" t="s">
        <v>176</v>
      </c>
      <c r="E31" s="45">
        <f>G5</f>
        <v>11.6</v>
      </c>
      <c r="F31" s="14" t="s">
        <v>121</v>
      </c>
      <c r="G31" s="14"/>
      <c r="H31" s="14"/>
      <c r="J31" s="16" t="s">
        <v>250</v>
      </c>
      <c r="K31" s="16"/>
      <c r="L31" s="16"/>
      <c r="M31" s="46" t="s">
        <v>176</v>
      </c>
      <c r="N31" s="95">
        <f>P5</f>
        <v>11.6</v>
      </c>
      <c r="O31" s="16" t="s">
        <v>121</v>
      </c>
      <c r="P31" s="16"/>
      <c r="Q31" s="16"/>
    </row>
    <row r="32" spans="1:17" x14ac:dyDescent="0.25">
      <c r="A32" s="14"/>
      <c r="B32" s="14"/>
      <c r="C32" s="14"/>
      <c r="D32" s="14"/>
      <c r="E32" s="45"/>
      <c r="F32" s="14"/>
      <c r="G32" s="14"/>
      <c r="H32" s="14"/>
      <c r="J32" s="16"/>
      <c r="K32" s="16"/>
      <c r="L32" s="16"/>
      <c r="M32" s="46"/>
      <c r="N32" s="95"/>
      <c r="O32" s="16"/>
      <c r="P32" s="16"/>
      <c r="Q32" s="16"/>
    </row>
    <row r="33" spans="1:22" s="5" customFormat="1" ht="62.25" customHeight="1" x14ac:dyDescent="0.25">
      <c r="A33" s="30" t="s">
        <v>171</v>
      </c>
      <c r="B33" s="30"/>
      <c r="C33" s="30"/>
      <c r="D33" s="30" t="s">
        <v>176</v>
      </c>
      <c r="E33" s="57">
        <f>0.083/E8/E6*((E9/G3)+(E10/G4)+(E11/G5))</f>
        <v>22.205779434193779</v>
      </c>
      <c r="F33" s="30" t="s">
        <v>105</v>
      </c>
      <c r="G33" s="30"/>
      <c r="H33" s="30"/>
      <c r="I33" s="40"/>
      <c r="J33" s="42" t="s">
        <v>171</v>
      </c>
      <c r="K33" s="42"/>
      <c r="L33" s="42"/>
      <c r="M33" s="55" t="s">
        <v>176</v>
      </c>
      <c r="N33" s="97">
        <f>0.083/N8/N6*((N9/P3)+(N10/P4)+(N11/P5))</f>
        <v>22.205779434193779</v>
      </c>
      <c r="O33" s="42" t="s">
        <v>105</v>
      </c>
      <c r="P33" s="41" t="s">
        <v>185</v>
      </c>
      <c r="Q33" s="41"/>
      <c r="R33" s="40"/>
      <c r="S33" s="40"/>
      <c r="T33" s="40"/>
      <c r="U33" s="40"/>
      <c r="V33" s="40"/>
    </row>
    <row r="34" spans="1:22" x14ac:dyDescent="0.25">
      <c r="A34" s="14" t="s">
        <v>199</v>
      </c>
      <c r="B34" s="14"/>
      <c r="C34" s="14"/>
      <c r="D34" s="14"/>
      <c r="E34" s="45"/>
      <c r="F34" s="14"/>
      <c r="G34" s="14"/>
      <c r="H34" s="14"/>
      <c r="J34" s="16" t="s">
        <v>127</v>
      </c>
      <c r="K34" s="16"/>
      <c r="L34" s="16"/>
      <c r="M34" s="46"/>
      <c r="N34" s="95"/>
      <c r="O34" s="16"/>
      <c r="P34" s="16"/>
      <c r="Q34" s="16"/>
    </row>
    <row r="35" spans="1:22" x14ac:dyDescent="0.25">
      <c r="A35" s="14"/>
      <c r="B35" s="14"/>
      <c r="C35" s="14"/>
      <c r="D35" s="14"/>
      <c r="E35" s="45"/>
      <c r="F35" s="14"/>
      <c r="G35" s="14"/>
      <c r="H35" s="14"/>
      <c r="J35" s="16"/>
      <c r="K35" s="16"/>
      <c r="L35" s="16"/>
      <c r="M35" s="46"/>
      <c r="N35" s="95"/>
      <c r="O35" s="16"/>
      <c r="P35" s="16"/>
      <c r="Q35" s="16"/>
    </row>
    <row r="36" spans="1:22" x14ac:dyDescent="0.25">
      <c r="A36" s="14" t="s">
        <v>251</v>
      </c>
      <c r="B36" s="14"/>
      <c r="C36" s="14"/>
      <c r="D36" s="14"/>
      <c r="E36" s="45"/>
      <c r="F36" s="14"/>
      <c r="G36" s="14"/>
      <c r="H36" s="14"/>
      <c r="J36" s="16" t="s">
        <v>251</v>
      </c>
      <c r="K36" s="16"/>
      <c r="L36" s="16"/>
      <c r="M36" s="46"/>
      <c r="N36" s="95"/>
      <c r="O36" s="16"/>
      <c r="P36" s="16"/>
      <c r="Q36" s="16"/>
    </row>
    <row r="37" spans="1:22" ht="17.25" customHeight="1" x14ac:dyDescent="0.25">
      <c r="A37" s="32" t="s">
        <v>172</v>
      </c>
      <c r="B37" s="32"/>
      <c r="C37" s="32"/>
      <c r="D37" s="79" t="s">
        <v>176</v>
      </c>
      <c r="E37" s="58">
        <f>E12/E13</f>
        <v>490196.07843137253</v>
      </c>
      <c r="F37" s="14" t="s">
        <v>146</v>
      </c>
      <c r="G37" s="14"/>
      <c r="H37" s="14"/>
      <c r="J37" s="33" t="s">
        <v>172</v>
      </c>
      <c r="K37" s="33"/>
      <c r="L37" s="33"/>
      <c r="M37" s="80" t="s">
        <v>176</v>
      </c>
      <c r="N37" s="101">
        <f>N12/N13</f>
        <v>490196.07843137253</v>
      </c>
      <c r="O37" s="16" t="s">
        <v>146</v>
      </c>
      <c r="P37" s="16"/>
      <c r="Q37" s="16"/>
    </row>
    <row r="38" spans="1:22" x14ac:dyDescent="0.25">
      <c r="A38" s="14"/>
      <c r="B38" s="14"/>
      <c r="C38" s="14"/>
      <c r="D38" s="14"/>
      <c r="E38" s="45"/>
      <c r="F38" s="14"/>
      <c r="G38" s="14"/>
      <c r="H38" s="14"/>
      <c r="J38" s="16"/>
      <c r="K38" s="16"/>
      <c r="L38" s="16"/>
      <c r="M38" s="46"/>
      <c r="N38" s="95"/>
      <c r="O38" s="16"/>
      <c r="P38" s="16"/>
      <c r="Q38" s="16"/>
    </row>
    <row r="39" spans="1:22" ht="63.75" customHeight="1" x14ac:dyDescent="0.25">
      <c r="A39" s="32" t="s">
        <v>147</v>
      </c>
      <c r="B39" s="32"/>
      <c r="C39" s="32"/>
      <c r="D39" s="81" t="s">
        <v>176</v>
      </c>
      <c r="E39" s="82">
        <f>((E37/E8/E33/E6/(SQRT(G3+(G4+G5)/2))+0.65*E8))</f>
        <v>179.51792262979615</v>
      </c>
      <c r="F39" s="30" t="s">
        <v>105</v>
      </c>
      <c r="G39" s="14"/>
      <c r="H39" s="14"/>
      <c r="J39" s="33" t="s">
        <v>147</v>
      </c>
      <c r="K39" s="33"/>
      <c r="L39" s="33"/>
      <c r="M39" s="83" t="s">
        <v>176</v>
      </c>
      <c r="N39" s="104">
        <f>((N37/N8/N33/N6/(SQRT(P3+(P4+P5)/2))+0.65*N8))</f>
        <v>179.51792262979615</v>
      </c>
      <c r="O39" s="42" t="s">
        <v>105</v>
      </c>
      <c r="P39" s="16"/>
      <c r="Q39" s="16"/>
    </row>
    <row r="40" spans="1:22" x14ac:dyDescent="0.25">
      <c r="A40" s="14"/>
      <c r="B40" s="14"/>
      <c r="C40" s="14"/>
      <c r="D40" s="14"/>
      <c r="E40" s="45"/>
      <c r="F40" s="14"/>
      <c r="G40" s="14"/>
      <c r="H40" s="14"/>
      <c r="J40" s="16"/>
      <c r="K40" s="16"/>
      <c r="L40" s="16"/>
      <c r="M40" s="46"/>
      <c r="N40" s="46"/>
      <c r="O40" s="16"/>
      <c r="P40" s="16"/>
      <c r="Q40" s="16"/>
    </row>
    <row r="41" spans="1:22" x14ac:dyDescent="0.25">
      <c r="A41" s="47" t="s">
        <v>148</v>
      </c>
      <c r="B41" s="14"/>
      <c r="C41" s="14"/>
      <c r="D41" s="14"/>
      <c r="E41" s="45"/>
      <c r="F41" s="14"/>
      <c r="G41" s="14"/>
      <c r="H41" s="14"/>
      <c r="J41" s="50" t="s">
        <v>148</v>
      </c>
      <c r="K41" s="16"/>
      <c r="L41" s="16"/>
      <c r="M41" s="46"/>
      <c r="N41" s="46"/>
      <c r="O41" s="16"/>
      <c r="P41" s="16"/>
      <c r="Q41" s="16"/>
    </row>
    <row r="42" spans="1:22" ht="44.25" customHeight="1" x14ac:dyDescent="0.25">
      <c r="A42" s="39" t="s">
        <v>193</v>
      </c>
      <c r="B42" s="39"/>
      <c r="C42" s="39"/>
      <c r="D42" s="81"/>
      <c r="E42" s="45"/>
      <c r="F42" s="14"/>
      <c r="G42" s="14"/>
      <c r="H42" s="14"/>
      <c r="J42" s="41" t="s">
        <v>193</v>
      </c>
      <c r="K42" s="41"/>
      <c r="L42" s="41"/>
      <c r="M42" s="83"/>
      <c r="N42" s="46"/>
      <c r="O42" s="16"/>
      <c r="P42" s="16"/>
      <c r="Q42" s="16"/>
    </row>
    <row r="43" spans="1:22" x14ac:dyDescent="0.25">
      <c r="A43" s="14" t="s">
        <v>252</v>
      </c>
      <c r="B43" s="14"/>
      <c r="C43" s="14"/>
      <c r="D43" s="14"/>
      <c r="E43" s="45"/>
      <c r="F43" s="14"/>
      <c r="G43" s="14"/>
      <c r="H43" s="14"/>
      <c r="J43" s="16" t="s">
        <v>252</v>
      </c>
      <c r="K43" s="16"/>
      <c r="L43" s="16"/>
      <c r="M43" s="46"/>
      <c r="N43" s="46"/>
      <c r="O43" s="16"/>
      <c r="P43" s="16"/>
      <c r="Q43" s="16"/>
    </row>
    <row r="44" spans="1:22" x14ac:dyDescent="0.25">
      <c r="A44" s="14" t="s">
        <v>154</v>
      </c>
      <c r="B44" s="14"/>
      <c r="C44" s="14"/>
      <c r="D44" s="14" t="s">
        <v>176</v>
      </c>
      <c r="E44" s="56">
        <f>1/((E17/E19)+(E18/E20))</f>
        <v>5.8457333738232613</v>
      </c>
      <c r="F44" s="14" t="s">
        <v>150</v>
      </c>
      <c r="G44" s="14"/>
      <c r="H44" s="14"/>
      <c r="J44" s="16" t="s">
        <v>154</v>
      </c>
      <c r="K44" s="16"/>
      <c r="L44" s="16"/>
      <c r="M44" s="46" t="s">
        <v>176</v>
      </c>
      <c r="N44" s="96">
        <f>1/((N17/N19)+(N18/N20))</f>
        <v>5.8457333738232613</v>
      </c>
      <c r="O44" s="16" t="s">
        <v>150</v>
      </c>
      <c r="P44" s="16"/>
      <c r="Q44" s="16"/>
    </row>
    <row r="45" spans="1:22" ht="16.5" x14ac:dyDescent="0.3">
      <c r="A45" s="14" t="s">
        <v>253</v>
      </c>
      <c r="B45" s="14"/>
      <c r="C45" s="14"/>
      <c r="D45" s="14" t="s">
        <v>176</v>
      </c>
      <c r="E45" s="56">
        <f>2*E21*E44/(E21+E44)</f>
        <v>3.777234754005895</v>
      </c>
      <c r="F45" s="14" t="s">
        <v>150</v>
      </c>
      <c r="G45" s="14"/>
      <c r="H45" s="14"/>
      <c r="J45" s="16" t="s">
        <v>253</v>
      </c>
      <c r="K45" s="16"/>
      <c r="L45" s="16"/>
      <c r="M45" s="46" t="s">
        <v>176</v>
      </c>
      <c r="N45" s="96">
        <f>2*N21*N44/(N21+N44)</f>
        <v>3.777234754005895</v>
      </c>
      <c r="O45" s="16" t="s">
        <v>150</v>
      </c>
      <c r="P45" s="16"/>
      <c r="Q45" s="16"/>
    </row>
    <row r="46" spans="1:22" x14ac:dyDescent="0.25">
      <c r="A46" s="47" t="s">
        <v>173</v>
      </c>
      <c r="B46" s="47"/>
      <c r="C46" s="47"/>
      <c r="D46" s="14" t="s">
        <v>176</v>
      </c>
      <c r="E46" s="84">
        <f>8.8*10^-4*(E39+40)*E29^1.8/E45</f>
        <v>9.8605690575323539</v>
      </c>
      <c r="F46" s="47" t="s">
        <v>54</v>
      </c>
      <c r="G46" s="14"/>
      <c r="H46" s="14"/>
      <c r="J46" s="50" t="s">
        <v>173</v>
      </c>
      <c r="K46" s="50"/>
      <c r="L46" s="50"/>
      <c r="M46" s="46" t="s">
        <v>176</v>
      </c>
      <c r="N46" s="105">
        <f>8.8*10^-4*(N39+40)*N29^1.8/N45</f>
        <v>9.8605690575323539</v>
      </c>
      <c r="O46" s="50" t="s">
        <v>54</v>
      </c>
      <c r="P46" s="16"/>
      <c r="Q46" s="16"/>
    </row>
    <row r="47" spans="1:22" x14ac:dyDescent="0.25">
      <c r="A47" s="14"/>
      <c r="B47" s="14"/>
      <c r="C47" s="14"/>
      <c r="D47" s="14"/>
      <c r="E47" s="45"/>
      <c r="F47" s="14"/>
      <c r="G47" s="14"/>
      <c r="H47" s="14"/>
      <c r="J47" s="16"/>
      <c r="K47" s="16"/>
      <c r="L47" s="16"/>
      <c r="M47" s="46"/>
      <c r="N47" s="95"/>
      <c r="O47" s="16"/>
      <c r="P47" s="16"/>
      <c r="Q47" s="16"/>
    </row>
    <row r="48" spans="1:22" ht="16.5" x14ac:dyDescent="0.3">
      <c r="A48" s="14" t="s">
        <v>254</v>
      </c>
      <c r="B48" s="14"/>
      <c r="C48" s="14"/>
      <c r="D48" s="14" t="s">
        <v>176</v>
      </c>
      <c r="E48" s="56">
        <f>2*E22*E23/(E22+E23)</f>
        <v>0.72303797468354436</v>
      </c>
      <c r="F48" s="14" t="s">
        <v>150</v>
      </c>
      <c r="G48" s="14"/>
      <c r="H48" s="14"/>
      <c r="J48" s="16" t="s">
        <v>254</v>
      </c>
      <c r="K48" s="16"/>
      <c r="L48" s="16"/>
      <c r="M48" s="46" t="s">
        <v>176</v>
      </c>
      <c r="N48" s="96">
        <f>2*N22*N23/(N22+N23)</f>
        <v>0.72303797468354436</v>
      </c>
      <c r="O48" s="16" t="s">
        <v>150</v>
      </c>
      <c r="P48" s="16"/>
      <c r="Q48" s="16"/>
    </row>
    <row r="49" spans="1:22" x14ac:dyDescent="0.25">
      <c r="A49" s="47" t="s">
        <v>174</v>
      </c>
      <c r="B49" s="47"/>
      <c r="C49" s="47"/>
      <c r="D49" s="14" t="s">
        <v>176</v>
      </c>
      <c r="E49" s="84">
        <f>4.4*10^-4*(E39+20)*G4^1.8/E48</f>
        <v>7.2520803123272177</v>
      </c>
      <c r="F49" s="47" t="s">
        <v>54</v>
      </c>
      <c r="G49" s="14"/>
      <c r="H49" s="14"/>
      <c r="J49" s="50" t="s">
        <v>174</v>
      </c>
      <c r="K49" s="50"/>
      <c r="L49" s="50"/>
      <c r="M49" s="46" t="s">
        <v>176</v>
      </c>
      <c r="N49" s="105">
        <f>4.4*10^-4*(N39+20)*P4^1.8/N48</f>
        <v>7.2520803123272177</v>
      </c>
      <c r="O49" s="50" t="s">
        <v>54</v>
      </c>
      <c r="P49" s="16"/>
      <c r="Q49" s="16"/>
    </row>
    <row r="50" spans="1:22" x14ac:dyDescent="0.25">
      <c r="A50" s="14"/>
      <c r="B50" s="14"/>
      <c r="C50" s="14"/>
      <c r="D50" s="14"/>
      <c r="E50" s="45"/>
      <c r="F50" s="14"/>
      <c r="G50" s="14"/>
      <c r="H50" s="14"/>
      <c r="J50" s="16"/>
      <c r="K50" s="16"/>
      <c r="L50" s="16"/>
      <c r="M50" s="46"/>
      <c r="N50" s="95"/>
      <c r="O50" s="16"/>
      <c r="P50" s="16"/>
      <c r="Q50" s="16"/>
    </row>
    <row r="51" spans="1:22" ht="16.5" x14ac:dyDescent="0.3">
      <c r="A51" s="14" t="s">
        <v>255</v>
      </c>
      <c r="B51" s="14"/>
      <c r="C51" s="14"/>
      <c r="D51" s="14" t="s">
        <v>176</v>
      </c>
      <c r="E51" s="56">
        <f>2*E24*E25/(E24+E25)</f>
        <v>0.99622641509433962</v>
      </c>
      <c r="F51" s="14" t="s">
        <v>150</v>
      </c>
      <c r="G51" s="14"/>
      <c r="H51" s="14"/>
      <c r="J51" s="16" t="s">
        <v>255</v>
      </c>
      <c r="K51" s="16"/>
      <c r="L51" s="16"/>
      <c r="M51" s="46" t="s">
        <v>176</v>
      </c>
      <c r="N51" s="96">
        <f>2*N24*N25/(N24+N25)</f>
        <v>0.99622641509433962</v>
      </c>
      <c r="O51" s="16" t="s">
        <v>150</v>
      </c>
      <c r="P51" s="16"/>
      <c r="Q51" s="16"/>
    </row>
    <row r="52" spans="1:22" x14ac:dyDescent="0.25">
      <c r="A52" s="47" t="s">
        <v>174</v>
      </c>
      <c r="B52" s="14"/>
      <c r="C52" s="14"/>
      <c r="D52" s="14" t="s">
        <v>176</v>
      </c>
      <c r="E52" s="85">
        <f>4.4*10^-4*(E39+20)*G5^1.8/E51</f>
        <v>7.2627470472186646</v>
      </c>
      <c r="F52" s="47" t="s">
        <v>54</v>
      </c>
      <c r="G52" s="14"/>
      <c r="H52" s="14"/>
      <c r="J52" s="50" t="s">
        <v>174</v>
      </c>
      <c r="K52" s="16"/>
      <c r="L52" s="16"/>
      <c r="M52" s="46" t="s">
        <v>176</v>
      </c>
      <c r="N52" s="106">
        <f>4.4*10^-4*(N39+20)*P5^1.8/N51</f>
        <v>7.2627470472186646</v>
      </c>
      <c r="O52" s="50" t="s">
        <v>54</v>
      </c>
      <c r="P52" s="16"/>
      <c r="Q52" s="16"/>
    </row>
    <row r="53" spans="1:22" x14ac:dyDescent="0.25">
      <c r="A53" s="14"/>
      <c r="B53" s="14"/>
      <c r="C53" s="14"/>
      <c r="D53" s="14"/>
      <c r="E53" s="45"/>
      <c r="F53" s="14"/>
      <c r="G53" s="14"/>
      <c r="H53" s="14"/>
      <c r="J53" s="16"/>
      <c r="K53" s="16"/>
      <c r="L53" s="16"/>
      <c r="M53" s="46"/>
      <c r="N53" s="16"/>
      <c r="O53" s="16"/>
      <c r="P53" s="16"/>
      <c r="Q53" s="16"/>
    </row>
    <row r="54" spans="1:22" s="4" customFormat="1" ht="39.75" customHeight="1" x14ac:dyDescent="0.25">
      <c r="A54" s="86" t="s">
        <v>175</v>
      </c>
      <c r="B54" s="10"/>
      <c r="C54" s="10"/>
      <c r="D54" s="87"/>
      <c r="E54" s="61"/>
      <c r="F54" s="13"/>
      <c r="G54" s="13"/>
      <c r="H54" s="13"/>
      <c r="I54" s="62"/>
      <c r="J54" s="88" t="s">
        <v>175</v>
      </c>
      <c r="K54" s="12"/>
      <c r="L54" s="12"/>
      <c r="M54" s="89"/>
      <c r="N54" s="15"/>
      <c r="O54" s="15"/>
      <c r="P54" s="15"/>
      <c r="Q54" s="15"/>
      <c r="R54" s="62"/>
      <c r="S54" s="62"/>
      <c r="T54" s="62"/>
      <c r="U54" s="62"/>
      <c r="V54" s="62"/>
    </row>
    <row r="55" spans="1:22" ht="45" customHeight="1" x14ac:dyDescent="0.25">
      <c r="A55" s="39" t="s">
        <v>192</v>
      </c>
      <c r="B55" s="39"/>
      <c r="C55" s="39"/>
      <c r="D55" s="39"/>
      <c r="E55" s="39"/>
      <c r="F55" s="39"/>
      <c r="G55" s="39"/>
      <c r="H55" s="39"/>
      <c r="J55" s="41" t="s">
        <v>192</v>
      </c>
      <c r="K55" s="41"/>
      <c r="L55" s="41"/>
      <c r="M55" s="41"/>
      <c r="N55" s="41"/>
      <c r="O55" s="41"/>
      <c r="P55" s="41"/>
      <c r="Q55" s="41"/>
    </row>
    <row r="57" spans="1:22" x14ac:dyDescent="0.25">
      <c r="A57" s="9" t="s">
        <v>204</v>
      </c>
    </row>
    <row r="58" spans="1:22" x14ac:dyDescent="0.25">
      <c r="A58" s="9" t="s">
        <v>205</v>
      </c>
    </row>
    <row r="59" spans="1:22" x14ac:dyDescent="0.25">
      <c r="A59" s="9" t="s">
        <v>206</v>
      </c>
    </row>
    <row r="60" spans="1:22" x14ac:dyDescent="0.25">
      <c r="A60" s="9" t="s">
        <v>207</v>
      </c>
    </row>
    <row r="61" spans="1:22" x14ac:dyDescent="0.25">
      <c r="A61" s="9" t="s">
        <v>208</v>
      </c>
    </row>
    <row r="74" spans="8:8" x14ac:dyDescent="0.25">
      <c r="H74" s="98"/>
    </row>
  </sheetData>
  <sheetProtection sheet="1" objects="1" scenarios="1"/>
  <mergeCells count="15">
    <mergeCell ref="G2:H2"/>
    <mergeCell ref="G8:H8"/>
    <mergeCell ref="A55:H55"/>
    <mergeCell ref="J55:Q55"/>
    <mergeCell ref="A37:C37"/>
    <mergeCell ref="A39:C39"/>
    <mergeCell ref="A42:C42"/>
    <mergeCell ref="A54:C54"/>
    <mergeCell ref="J37:L37"/>
    <mergeCell ref="J39:L39"/>
    <mergeCell ref="J42:L42"/>
    <mergeCell ref="J54:L54"/>
    <mergeCell ref="P8:Q8"/>
    <mergeCell ref="P33:Q33"/>
    <mergeCell ref="P2:Q2"/>
  </mergeCells>
  <phoneticPr fontId="0" type="noConversion"/>
  <printOptions horizontalCentered="1"/>
  <pageMargins left="0.7" right="0.7" top="0.75" bottom="0.75" header="0.3" footer="0.3"/>
  <pageSetup paperSize="199" scale="41" orientation="portrait" r:id="rId1"/>
  <headerFooter>
    <oddHeader>&amp;CCALCULATION SPREADSHEET FOR GPSA ENGINEERING DATA BOOK, 13&amp;Xth&amp;X ED.
EXAMPLE 9-4</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669"/>
  <sheetViews>
    <sheetView workbookViewId="0"/>
  </sheetViews>
  <sheetFormatPr defaultRowHeight="15" x14ac:dyDescent="0.25"/>
  <cols>
    <col min="5" max="5" width="18.140625" customWidth="1"/>
    <col min="10" max="10" width="18.42578125" customWidth="1"/>
  </cols>
  <sheetData>
    <row r="1" spans="2:5" ht="21" x14ac:dyDescent="0.35">
      <c r="E1" s="3" t="s">
        <v>129</v>
      </c>
    </row>
    <row r="3" spans="2:5" x14ac:dyDescent="0.25">
      <c r="B3" s="2"/>
    </row>
    <row r="34" spans="5:5" ht="21" x14ac:dyDescent="0.35">
      <c r="E34" s="3"/>
    </row>
    <row r="35" spans="5:5" ht="21" x14ac:dyDescent="0.35">
      <c r="E35" s="3" t="s">
        <v>130</v>
      </c>
    </row>
    <row r="63" spans="10:10" ht="21" x14ac:dyDescent="0.35">
      <c r="J63" s="3" t="s">
        <v>131</v>
      </c>
    </row>
    <row r="107" spans="10:10" ht="21" x14ac:dyDescent="0.35">
      <c r="J107" s="3" t="s">
        <v>132</v>
      </c>
    </row>
    <row r="152" spans="10:10" ht="21" x14ac:dyDescent="0.35">
      <c r="J152" s="3" t="s">
        <v>133</v>
      </c>
    </row>
    <row r="241" spans="5:5" ht="21" x14ac:dyDescent="0.35">
      <c r="E241" s="3" t="s">
        <v>134</v>
      </c>
    </row>
    <row r="312" spans="5:5" ht="21" x14ac:dyDescent="0.35">
      <c r="E312" s="3" t="s">
        <v>135</v>
      </c>
    </row>
    <row r="341" spans="5:5" ht="21" x14ac:dyDescent="0.35">
      <c r="E341" s="3" t="s">
        <v>167</v>
      </c>
    </row>
    <row r="342" spans="5:5" ht="21" x14ac:dyDescent="0.35">
      <c r="E342" s="3"/>
    </row>
    <row r="389" spans="5:5" ht="21" x14ac:dyDescent="0.35">
      <c r="E389" s="3" t="s">
        <v>168</v>
      </c>
    </row>
    <row r="428" spans="5:5" ht="21" x14ac:dyDescent="0.35">
      <c r="E428" s="3" t="s">
        <v>169</v>
      </c>
    </row>
    <row r="449" spans="5:5" ht="21" x14ac:dyDescent="0.35">
      <c r="E449" s="3" t="s">
        <v>170</v>
      </c>
    </row>
    <row r="450" spans="5:5" ht="21" x14ac:dyDescent="0.35">
      <c r="E450" s="3"/>
    </row>
    <row r="468" spans="5:5" ht="21" x14ac:dyDescent="0.35">
      <c r="E468" s="3" t="s">
        <v>136</v>
      </c>
    </row>
    <row r="491" spans="10:10" ht="21" x14ac:dyDescent="0.35">
      <c r="J491" s="3" t="s">
        <v>137</v>
      </c>
    </row>
    <row r="580" spans="10:10" ht="21" x14ac:dyDescent="0.35">
      <c r="J580" s="3" t="s">
        <v>138</v>
      </c>
    </row>
    <row r="669" spans="5:5" ht="21" x14ac:dyDescent="0.35">
      <c r="E669" s="3" t="s">
        <v>139</v>
      </c>
    </row>
  </sheetData>
  <phoneticPr fontId="0" type="noConversion"/>
  <pageMargins left="0.7" right="0.7" top="0.75" bottom="0.75" header="0.3" footer="0.3"/>
  <pageSetup paperSize="199" scale="32" fitToHeight="3" orientation="portrait" r:id="rId1"/>
  <headerFooter>
    <oddHeader>&amp;CSECTION 9, FIGURES FOR GPSA ENGINEERING DATA BOOK, 12&amp;Xth&amp;X ED.</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Nomenclature</vt:lpstr>
      <vt:lpstr>Ex 9-1</vt:lpstr>
      <vt:lpstr>Ex 9-2</vt:lpstr>
      <vt:lpstr>Ex 9-3</vt:lpstr>
      <vt:lpstr>Ex 9-4</vt:lpstr>
      <vt:lpstr>Figures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2013-09-27T22:27:20Z</cp:lastPrinted>
  <dcterms:created xsi:type="dcterms:W3CDTF">2009-06-20T17:38:55Z</dcterms:created>
  <dcterms:modified xsi:type="dcterms:W3CDTF">2014-06-08T16:10:33Z</dcterms:modified>
</cp:coreProperties>
</file>