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15" windowWidth="15480" windowHeight="11640" activeTab="1"/>
  </bookViews>
  <sheets>
    <sheet name="Revisions" sheetId="8" r:id="rId1"/>
    <sheet name="Nomenclature" sheetId="1" r:id="rId2"/>
    <sheet name="Example 10-1" sheetId="2" r:id="rId3"/>
    <sheet name="Example 10-2" sheetId="7" r:id="rId4"/>
    <sheet name="Limits" sheetId="6" r:id="rId5"/>
  </sheets>
  <definedNames>
    <definedName name="HeatReleaseCurve">'Example 10-1'!$BU$7:$BU$8</definedName>
  </definedNames>
  <calcPr calcId="145621"/>
</workbook>
</file>

<file path=xl/calcChain.xml><?xml version="1.0" encoding="utf-8"?>
<calcChain xmlns="http://schemas.openxmlformats.org/spreadsheetml/2006/main">
  <c r="K75" i="7" l="1"/>
  <c r="F249" i="7"/>
  <c r="K68" i="7"/>
  <c r="K74" i="7"/>
  <c r="F229" i="7" l="1"/>
  <c r="F207" i="7"/>
  <c r="F195" i="7"/>
  <c r="F209" i="7" s="1"/>
  <c r="K99" i="7"/>
  <c r="K88" i="7"/>
  <c r="K85" i="7" l="1"/>
  <c r="K89" i="7" s="1"/>
  <c r="F211" i="7" l="1"/>
  <c r="K90" i="7"/>
  <c r="K81" i="7"/>
  <c r="K64" i="7" l="1"/>
  <c r="K19" i="2" l="1"/>
  <c r="K18" i="2"/>
  <c r="K26" i="2"/>
  <c r="K82" i="7" l="1"/>
  <c r="K61" i="7"/>
  <c r="F139" i="7"/>
  <c r="D100" i="7"/>
  <c r="D99" i="7"/>
  <c r="C99" i="7"/>
  <c r="F94" i="7"/>
  <c r="F198" i="7" s="1"/>
  <c r="O82" i="7" l="1"/>
  <c r="F96" i="7"/>
  <c r="K86" i="7"/>
  <c r="K100" i="7" s="1"/>
  <c r="K62" i="7"/>
  <c r="D101" i="7"/>
  <c r="C100" i="7" l="1"/>
  <c r="C101" i="7" s="1"/>
  <c r="F104" i="7" s="1"/>
  <c r="F221" i="7"/>
  <c r="K63" i="7"/>
  <c r="K66" i="7" s="1"/>
  <c r="K98" i="7"/>
  <c r="F232" i="7"/>
  <c r="K101" i="7"/>
  <c r="F103" i="7" l="1"/>
  <c r="F106" i="7" s="1"/>
  <c r="K65" i="7"/>
  <c r="K67" i="7" s="1"/>
  <c r="F233" i="7"/>
  <c r="F111" i="7" l="1"/>
  <c r="F114" i="7" s="1"/>
  <c r="K71" i="7"/>
  <c r="K28" i="2"/>
  <c r="C40" i="2"/>
  <c r="C32" i="2"/>
  <c r="C25" i="2"/>
  <c r="C26" i="2" s="1"/>
  <c r="F123" i="7" l="1"/>
  <c r="F117" i="7"/>
  <c r="K72" i="7"/>
  <c r="K96" i="7" s="1"/>
  <c r="K78" i="7"/>
  <c r="K29" i="2"/>
  <c r="C27" i="2"/>
  <c r="C33" i="2"/>
  <c r="C34" i="2" s="1"/>
  <c r="F218" i="7" l="1"/>
  <c r="B253" i="7" s="1"/>
  <c r="F215" i="7"/>
  <c r="F201" i="7"/>
  <c r="F120" i="7"/>
  <c r="K79" i="7"/>
  <c r="F126" i="7"/>
  <c r="K97" i="7"/>
  <c r="K87" i="7"/>
  <c r="K73" i="7"/>
  <c r="K30" i="2"/>
  <c r="C35" i="2"/>
  <c r="C28" i="2"/>
  <c r="B252" i="7" l="1"/>
  <c r="F247" i="7"/>
  <c r="F235" i="7"/>
  <c r="F239" i="7" s="1"/>
  <c r="F243" i="7" s="1"/>
  <c r="F244" i="7" s="1"/>
  <c r="B254" i="7" s="1"/>
  <c r="K80" i="7"/>
  <c r="K102" i="7"/>
  <c r="K103" i="7" s="1"/>
  <c r="K104" i="7" s="1"/>
  <c r="K105" i="7" s="1"/>
  <c r="F129" i="7"/>
  <c r="K31" i="2"/>
  <c r="K35" i="2"/>
  <c r="M35" i="2" s="1"/>
  <c r="C29" i="2"/>
  <c r="C36" i="2"/>
  <c r="K36" i="2" l="1"/>
  <c r="M36" i="2" s="1"/>
  <c r="K32" i="2"/>
  <c r="C30" i="2"/>
  <c r="K39" i="2" l="1"/>
</calcChain>
</file>

<file path=xl/sharedStrings.xml><?xml version="1.0" encoding="utf-8"?>
<sst xmlns="http://schemas.openxmlformats.org/spreadsheetml/2006/main" count="1096" uniqueCount="528">
  <si>
    <t>Nomenclature</t>
  </si>
  <si>
    <t>A</t>
  </si>
  <si>
    <t>=</t>
  </si>
  <si>
    <t>T</t>
  </si>
  <si>
    <t>a</t>
  </si>
  <si>
    <r>
      <t>C</t>
    </r>
    <r>
      <rPr>
        <vertAlign val="subscript"/>
        <sz val="10"/>
        <rFont val="Times New Roman"/>
        <family val="1"/>
      </rPr>
      <t>p</t>
    </r>
  </si>
  <si>
    <t>D</t>
  </si>
  <si>
    <t>g</t>
  </si>
  <si>
    <t>Subscripts</t>
  </si>
  <si>
    <t>k</t>
  </si>
  <si>
    <t>L</t>
  </si>
  <si>
    <t>f</t>
  </si>
  <si>
    <r>
      <rPr>
        <sz val="10"/>
        <rFont val="Calibri"/>
        <family val="2"/>
      </rPr>
      <t>Δ</t>
    </r>
    <r>
      <rPr>
        <sz val="10"/>
        <rFont val="Times New Roman"/>
        <family val="1"/>
      </rPr>
      <t>P</t>
    </r>
  </si>
  <si>
    <t>P</t>
  </si>
  <si>
    <t>s</t>
  </si>
  <si>
    <t>Q</t>
  </si>
  <si>
    <t>x</t>
  </si>
  <si>
    <t>S</t>
  </si>
  <si>
    <t>ACFM</t>
  </si>
  <si>
    <t>APF</t>
  </si>
  <si>
    <t>APSF</t>
  </si>
  <si>
    <t>AR</t>
  </si>
  <si>
    <t>B</t>
  </si>
  <si>
    <t>CMTD</t>
  </si>
  <si>
    <t>dB(A)</t>
  </si>
  <si>
    <t>F</t>
  </si>
  <si>
    <t>FAPF</t>
  </si>
  <si>
    <t>FPM</t>
  </si>
  <si>
    <t>G</t>
  </si>
  <si>
    <t>HP</t>
  </si>
  <si>
    <t>J</t>
  </si>
  <si>
    <t>LMTD</t>
  </si>
  <si>
    <r>
      <t>A</t>
    </r>
    <r>
      <rPr>
        <vertAlign val="subscript"/>
        <sz val="10"/>
        <rFont val="Times New Roman"/>
        <family val="1"/>
      </rPr>
      <t>i</t>
    </r>
  </si>
  <si>
    <r>
      <t>A</t>
    </r>
    <r>
      <rPr>
        <vertAlign val="subscript"/>
        <sz val="10"/>
        <rFont val="Times New Roman"/>
        <family val="1"/>
      </rPr>
      <t>b</t>
    </r>
  </si>
  <si>
    <r>
      <t>A</t>
    </r>
    <r>
      <rPr>
        <vertAlign val="subscript"/>
        <sz val="10"/>
        <rFont val="Times New Roman"/>
        <family val="1"/>
      </rPr>
      <t>x</t>
    </r>
  </si>
  <si>
    <r>
      <t>A</t>
    </r>
    <r>
      <rPr>
        <vertAlign val="subscript"/>
        <sz val="10"/>
        <rFont val="Times New Roman"/>
        <family val="1"/>
      </rPr>
      <t>t</t>
    </r>
  </si>
  <si>
    <r>
      <t>D</t>
    </r>
    <r>
      <rPr>
        <vertAlign val="subscript"/>
        <sz val="10"/>
        <rFont val="Times New Roman"/>
        <family val="1"/>
      </rPr>
      <t>i</t>
    </r>
  </si>
  <si>
    <r>
      <t>D</t>
    </r>
    <r>
      <rPr>
        <vertAlign val="subscript"/>
        <sz val="10"/>
        <rFont val="Times New Roman"/>
        <family val="1"/>
      </rPr>
      <t>o</t>
    </r>
  </si>
  <si>
    <r>
      <t>D</t>
    </r>
    <r>
      <rPr>
        <vertAlign val="subscript"/>
        <sz val="10"/>
        <rFont val="Times New Roman"/>
        <family val="1"/>
      </rPr>
      <t>R</t>
    </r>
  </si>
  <si>
    <r>
      <t>F</t>
    </r>
    <r>
      <rPr>
        <vertAlign val="subscript"/>
        <sz val="10"/>
        <rFont val="Times New Roman"/>
        <family val="1"/>
      </rPr>
      <t>a</t>
    </r>
  </si>
  <si>
    <r>
      <t>F</t>
    </r>
    <r>
      <rPr>
        <vertAlign val="subscript"/>
        <sz val="10"/>
        <rFont val="Times New Roman"/>
        <family val="1"/>
      </rPr>
      <t>p</t>
    </r>
  </si>
  <si>
    <r>
      <t>G</t>
    </r>
    <r>
      <rPr>
        <vertAlign val="subscript"/>
        <sz val="10"/>
        <rFont val="Times New Roman"/>
        <family val="1"/>
      </rPr>
      <t>a</t>
    </r>
  </si>
  <si>
    <r>
      <t>G</t>
    </r>
    <r>
      <rPr>
        <vertAlign val="subscript"/>
        <sz val="10"/>
        <rFont val="Times New Roman"/>
        <family val="1"/>
      </rPr>
      <t>t</t>
    </r>
  </si>
  <si>
    <r>
      <t>h</t>
    </r>
    <r>
      <rPr>
        <vertAlign val="subscript"/>
        <sz val="10"/>
        <rFont val="Times New Roman"/>
        <family val="1"/>
      </rPr>
      <t>a</t>
    </r>
  </si>
  <si>
    <r>
      <t>h</t>
    </r>
    <r>
      <rPr>
        <vertAlign val="subscript"/>
        <sz val="10"/>
        <rFont val="Times New Roman"/>
        <family val="1"/>
      </rPr>
      <t>s</t>
    </r>
  </si>
  <si>
    <r>
      <t>h</t>
    </r>
    <r>
      <rPr>
        <vertAlign val="subscript"/>
        <sz val="10"/>
        <rFont val="Times New Roman"/>
        <family val="1"/>
      </rPr>
      <t>t</t>
    </r>
  </si>
  <si>
    <t>area of heat transfer surface, sq ft</t>
  </si>
  <si>
    <t>inside surface of tube, sq ft</t>
  </si>
  <si>
    <t>outside bare tube surface, sq ft</t>
  </si>
  <si>
    <t>outside extended surface of tube, sq ft</t>
  </si>
  <si>
    <t>actual cubic feet per minute</t>
  </si>
  <si>
    <t>total external area/ft of fintube, sq ft/ft</t>
  </si>
  <si>
    <t>external area of fintube, sq ft/sq ft of bundle face area</t>
  </si>
  <si>
    <t>area ratio of fintube compared to the exterior area of 1 in. OD bare tube</t>
  </si>
  <si>
    <t>correction factor, psi (see Fig 10-14)</t>
  </si>
  <si>
    <r>
      <t xml:space="preserve">corrected mean temperature difference, </t>
    </r>
    <r>
      <rPr>
        <sz val="10"/>
        <rFont val="Calibri"/>
        <family val="2"/>
      </rPr>
      <t>°</t>
    </r>
    <r>
      <rPr>
        <sz val="10"/>
        <rFont val="Times New Roman"/>
        <family val="1"/>
      </rPr>
      <t>F</t>
    </r>
  </si>
  <si>
    <t>overall weighted level of sound at a point distant from noise source based on "A" weighting system</t>
  </si>
  <si>
    <t>fan diameter, ft</t>
  </si>
  <si>
    <t>inside tube diameter, in.</t>
  </si>
  <si>
    <r>
      <t xml:space="preserve">density ratio, the ratio of actual air density to the density of dry air at 70 </t>
    </r>
    <r>
      <rPr>
        <sz val="10"/>
        <rFont val="Calibri"/>
        <family val="2"/>
      </rPr>
      <t>°</t>
    </r>
    <r>
      <rPr>
        <sz val="10"/>
        <rFont val="Times New Roman"/>
        <family val="1"/>
      </rPr>
      <t>F and 14.7 psia, 0.0749 lb/cu ft (see Fig 10-16)</t>
    </r>
  </si>
  <si>
    <t>friction factor (see Fig 10-15)</t>
  </si>
  <si>
    <t>correction factor (see Fig 10-8)</t>
  </si>
  <si>
    <t>total face area of bundles, sq ft</t>
  </si>
  <si>
    <t>air pressure drop factor, in. of water per row of tubes</t>
  </si>
  <si>
    <r>
      <t>fan area per fan, ft</t>
    </r>
    <r>
      <rPr>
        <vertAlign val="superscript"/>
        <sz val="10"/>
        <rFont val="Times New Roman"/>
        <family val="1"/>
      </rPr>
      <t>2</t>
    </r>
    <r>
      <rPr>
        <sz val="10"/>
        <rFont val="Times New Roman"/>
        <family val="1"/>
      </rPr>
      <t>/fan</t>
    </r>
  </si>
  <si>
    <t>fan tip speed, feet per minute</t>
  </si>
  <si>
    <r>
      <t>local acceleration due to gravity, ft/s</t>
    </r>
    <r>
      <rPr>
        <vertAlign val="superscript"/>
        <sz val="10"/>
        <rFont val="Times New Roman"/>
        <family val="1"/>
      </rPr>
      <t>2</t>
    </r>
  </si>
  <si>
    <t>mass velocity, lb/(sq ft • s)</t>
  </si>
  <si>
    <t>air face mass velocity, lb/(hr • sq ft) of face area</t>
  </si>
  <si>
    <t>fan horsepower</t>
  </si>
  <si>
    <t>J factor (see Fig 10-13)</t>
  </si>
  <si>
    <r>
      <t xml:space="preserve">thermal conductivity, Btu/[(hr • sq ft • </t>
    </r>
    <r>
      <rPr>
        <sz val="10"/>
        <rFont val="Calibri"/>
        <family val="2"/>
      </rPr>
      <t>°</t>
    </r>
    <r>
      <rPr>
        <sz val="10"/>
        <rFont val="Times New Roman"/>
        <family val="1"/>
      </rPr>
      <t>F)/ft]</t>
    </r>
  </si>
  <si>
    <t>length of tube, ft</t>
  </si>
  <si>
    <t>N</t>
  </si>
  <si>
    <t>PF</t>
  </si>
  <si>
    <t>PWL</t>
  </si>
  <si>
    <t>PWLN</t>
  </si>
  <si>
    <t>R</t>
  </si>
  <si>
    <t>RPM</t>
  </si>
  <si>
    <t>SPL</t>
  </si>
  <si>
    <t>t</t>
  </si>
  <si>
    <t>U</t>
  </si>
  <si>
    <t>W</t>
  </si>
  <si>
    <t>Y</t>
  </si>
  <si>
    <r>
      <rPr>
        <sz val="10"/>
        <rFont val="Calibri"/>
        <family val="2"/>
      </rPr>
      <t>Δ</t>
    </r>
    <r>
      <rPr>
        <sz val="10"/>
        <rFont val="Times New Roman"/>
        <family val="1"/>
      </rPr>
      <t>t</t>
    </r>
  </si>
  <si>
    <t>μ</t>
  </si>
  <si>
    <t>φ</t>
  </si>
  <si>
    <t>b</t>
  </si>
  <si>
    <r>
      <t>N</t>
    </r>
    <r>
      <rPr>
        <vertAlign val="subscript"/>
        <sz val="10"/>
        <rFont val="Times New Roman"/>
        <family val="1"/>
      </rPr>
      <t>f</t>
    </r>
  </si>
  <si>
    <r>
      <t>N</t>
    </r>
    <r>
      <rPr>
        <vertAlign val="subscript"/>
        <sz val="10"/>
        <rFont val="Times New Roman"/>
        <family val="1"/>
      </rPr>
      <t>P</t>
    </r>
  </si>
  <si>
    <r>
      <t>N</t>
    </r>
    <r>
      <rPr>
        <vertAlign val="subscript"/>
        <sz val="10"/>
        <rFont val="Times New Roman"/>
        <family val="1"/>
      </rPr>
      <t>R</t>
    </r>
  </si>
  <si>
    <r>
      <t>N</t>
    </r>
    <r>
      <rPr>
        <vertAlign val="subscript"/>
        <sz val="10"/>
        <rFont val="Times New Roman"/>
        <family val="1"/>
      </rPr>
      <t>t</t>
    </r>
  </si>
  <si>
    <r>
      <rPr>
        <sz val="10"/>
        <rFont val="Calibri"/>
        <family val="2"/>
      </rPr>
      <t>ρ</t>
    </r>
    <r>
      <rPr>
        <vertAlign val="subscript"/>
        <sz val="10"/>
        <rFont val="Times New Roman"/>
        <family val="1"/>
      </rPr>
      <t>a</t>
    </r>
  </si>
  <si>
    <r>
      <rPr>
        <sz val="10"/>
        <rFont val="Calibri"/>
        <family val="2"/>
      </rPr>
      <t>ρ</t>
    </r>
    <r>
      <rPr>
        <vertAlign val="subscript"/>
        <sz val="10"/>
        <rFont val="Times New Roman"/>
        <family val="1"/>
      </rPr>
      <t>w</t>
    </r>
  </si>
  <si>
    <r>
      <t>r</t>
    </r>
    <r>
      <rPr>
        <vertAlign val="subscript"/>
        <sz val="10"/>
        <rFont val="Times New Roman"/>
        <family val="1"/>
      </rPr>
      <t>d</t>
    </r>
  </si>
  <si>
    <r>
      <t>r</t>
    </r>
    <r>
      <rPr>
        <vertAlign val="subscript"/>
        <sz val="10"/>
        <rFont val="Times New Roman"/>
        <family val="1"/>
      </rPr>
      <t>f</t>
    </r>
  </si>
  <si>
    <r>
      <t>r</t>
    </r>
    <r>
      <rPr>
        <vertAlign val="subscript"/>
        <sz val="10"/>
        <rFont val="Times New Roman"/>
        <family val="1"/>
      </rPr>
      <t>mb</t>
    </r>
  </si>
  <si>
    <r>
      <t>r</t>
    </r>
    <r>
      <rPr>
        <vertAlign val="subscript"/>
        <sz val="10"/>
        <rFont val="Times New Roman"/>
        <family val="1"/>
      </rPr>
      <t>mx</t>
    </r>
  </si>
  <si>
    <r>
      <rPr>
        <sz val="10"/>
        <rFont val="Calibri"/>
        <family val="2"/>
      </rPr>
      <t>μ</t>
    </r>
    <r>
      <rPr>
        <vertAlign val="subscript"/>
        <sz val="10"/>
        <rFont val="Times New Roman"/>
        <family val="1"/>
      </rPr>
      <t>w</t>
    </r>
  </si>
  <si>
    <t>number of rows of tubes in direction of flow</t>
  </si>
  <si>
    <t>number of fans</t>
  </si>
  <si>
    <t>number of tube passes</t>
  </si>
  <si>
    <t>number of tubes</t>
  </si>
  <si>
    <t>pressure drop, psi</t>
  </si>
  <si>
    <t>fan total pressure, inches of water</t>
  </si>
  <si>
    <t>density of air, lb/cu ft</t>
  </si>
  <si>
    <t>temperature ratio (see Fig 10-8)</t>
  </si>
  <si>
    <t>sound pressure level</t>
  </si>
  <si>
    <t>heat transferred, Btu/h</t>
  </si>
  <si>
    <r>
      <t>fouling resistance (fouling factor), (hr • ft</t>
    </r>
    <r>
      <rPr>
        <vertAlign val="superscript"/>
        <sz val="10"/>
        <rFont val="Times New Roman"/>
        <family val="1"/>
      </rPr>
      <t>2</t>
    </r>
    <r>
      <rPr>
        <sz val="10"/>
        <rFont val="Times New Roman"/>
        <family val="1"/>
      </rPr>
      <t xml:space="preserve"> • </t>
    </r>
    <r>
      <rPr>
        <sz val="10"/>
        <rFont val="Calibri"/>
        <family val="2"/>
      </rPr>
      <t>°</t>
    </r>
    <r>
      <rPr>
        <sz val="10"/>
        <rFont val="Times New Roman"/>
        <family val="1"/>
      </rPr>
      <t>F/Btu)</t>
    </r>
  </si>
  <si>
    <t>fluid film resistance (reciprocal of film coefficient)</t>
  </si>
  <si>
    <t>metal resistance referred to outside bare surface</t>
  </si>
  <si>
    <t>metal resistance referred to outside extended surface</t>
  </si>
  <si>
    <t>fan speed, rotations per minute</t>
  </si>
  <si>
    <t>specific gravity (water = 1.0)</t>
  </si>
  <si>
    <r>
      <t>overall heat transfer coefficient, Btu/(h • ft</t>
    </r>
    <r>
      <rPr>
        <vertAlign val="superscript"/>
        <sz val="10"/>
        <rFont val="Times New Roman"/>
        <family val="1"/>
      </rPr>
      <t>2</t>
    </r>
    <r>
      <rPr>
        <sz val="10"/>
        <rFont val="Times New Roman"/>
        <family val="1"/>
      </rPr>
      <t xml:space="preserve"> • </t>
    </r>
    <r>
      <rPr>
        <sz val="10"/>
        <rFont val="Calibri"/>
        <family val="2"/>
      </rPr>
      <t>°</t>
    </r>
    <r>
      <rPr>
        <sz val="10"/>
        <rFont val="Times New Roman"/>
        <family val="1"/>
      </rPr>
      <t>F)</t>
    </r>
  </si>
  <si>
    <t>mass flow, lb/hr</t>
  </si>
  <si>
    <r>
      <t xml:space="preserve">temperature change, </t>
    </r>
    <r>
      <rPr>
        <sz val="10"/>
        <rFont val="Calibri"/>
        <family val="2"/>
      </rPr>
      <t>°</t>
    </r>
    <r>
      <rPr>
        <sz val="10"/>
        <rFont val="Times New Roman"/>
        <family val="1"/>
      </rPr>
      <t>F</t>
    </r>
  </si>
  <si>
    <t>viscosity, cp</t>
  </si>
  <si>
    <t>viscosity at average tube wall temperature, cp</t>
  </si>
  <si>
    <t>viscosity gradient correction</t>
  </si>
  <si>
    <t>extended tube surface basis</t>
  </si>
  <si>
    <t>inlet</t>
  </si>
  <si>
    <t>outlet</t>
  </si>
  <si>
    <t>ft</t>
  </si>
  <si>
    <t>Basic Assumptions</t>
  </si>
  <si>
    <t>Type</t>
  </si>
  <si>
    <t>Btu/hr</t>
  </si>
  <si>
    <t>lb/hr</t>
  </si>
  <si>
    <t>tube inside cross-sectional area, sq in. (see Fig 9-25)</t>
  </si>
  <si>
    <r>
      <t xml:space="preserve">specific heat at average temperature, Btu/(lb • </t>
    </r>
    <r>
      <rPr>
        <sz val="10"/>
        <rFont val="Calibri"/>
        <family val="2"/>
      </rPr>
      <t>°</t>
    </r>
    <r>
      <rPr>
        <sz val="10"/>
        <rFont val="Times New Roman"/>
        <family val="1"/>
      </rPr>
      <t>F)</t>
    </r>
  </si>
  <si>
    <t>outside, tube diameter, in.</t>
  </si>
  <si>
    <r>
      <t xml:space="preserve">log mean temperature difference, </t>
    </r>
    <r>
      <rPr>
        <sz val="10"/>
        <rFont val="Calibri"/>
        <family val="2"/>
      </rPr>
      <t>°</t>
    </r>
    <r>
      <rPr>
        <sz val="10"/>
        <rFont val="Times New Roman"/>
        <family val="1"/>
      </rPr>
      <t>F</t>
    </r>
  </si>
  <si>
    <t>modified Reynolds number, (in • lb)/(sq ft • s • cp)</t>
  </si>
  <si>
    <t>density of water, lb./cu ft</t>
  </si>
  <si>
    <r>
      <t>PWL for N</t>
    </r>
    <r>
      <rPr>
        <vertAlign val="subscript"/>
        <sz val="10"/>
        <rFont val="Times New Roman"/>
        <family val="1"/>
      </rPr>
      <t>f</t>
    </r>
    <r>
      <rPr>
        <sz val="10"/>
        <rFont val="Times New Roman"/>
        <family val="1"/>
      </rPr>
      <t xml:space="preserve"> fans</t>
    </r>
  </si>
  <si>
    <t>distance in feet (see Eq 10-6)</t>
  </si>
  <si>
    <t>correction factor, psi/ft (see Fig 10-14)</t>
  </si>
  <si>
    <t xml:space="preserve">bare tube surface basis </t>
  </si>
  <si>
    <t>Tube pitch</t>
  </si>
  <si>
    <t>°F</t>
  </si>
  <si>
    <t>LIMITS</t>
  </si>
  <si>
    <t>Limit air out temp to 200 degF.  Prevent damaging fan blades, bearings, V-belts.</t>
  </si>
  <si>
    <t>Use forced air fan for process fluids above 350 degF. Prevent fan blade and bearing failure.</t>
  </si>
  <si>
    <t>Angle condensing surfaces to allow positive drainage.</t>
  </si>
  <si>
    <t>Fan size ranges from 3 to 28 ft. diameter.</t>
  </si>
  <si>
    <t>Limit fan tip air speed to 12,000 fpm.</t>
  </si>
  <si>
    <t>Use V-belt drives up to about 30 bhp. Gear drives above 30 bhp.</t>
  </si>
  <si>
    <t>Limit driver size to 50 bhp.</t>
  </si>
  <si>
    <t>For warm air recirculation, keep air flow below 500 ft/min.</t>
  </si>
  <si>
    <t>Normally, the bank should be oriented such that the wind flows parallel to the long axis of the bank of coolers.</t>
  </si>
  <si>
    <t>Required data</t>
  </si>
  <si>
    <t>Fluid</t>
  </si>
  <si>
    <t xml:space="preserve"> =</t>
  </si>
  <si>
    <t>Process Cooling Water</t>
  </si>
  <si>
    <t>Heat Load, Q</t>
  </si>
  <si>
    <t>Temperature In</t>
  </si>
  <si>
    <t>degF</t>
  </si>
  <si>
    <t>Temperature out</t>
  </si>
  <si>
    <t xml:space="preserve">Ambient temperature </t>
  </si>
  <si>
    <t>Fouling factor</t>
  </si>
  <si>
    <t>hr-ft2-degF/Btu</t>
  </si>
  <si>
    <t>Heat release curve</t>
  </si>
  <si>
    <t>Linear</t>
  </si>
  <si>
    <t>Cp air</t>
  </si>
  <si>
    <t>Btu/lb-degF</t>
  </si>
  <si>
    <t>Forced draft, 2 fans</t>
  </si>
  <si>
    <t>Fintube</t>
  </si>
  <si>
    <t>1 in OD, 5/8 in high fins</t>
  </si>
  <si>
    <t>2-3/8 in triangular</t>
  </si>
  <si>
    <t>Bundle layout</t>
  </si>
  <si>
    <t>4 tube passes, 6 rows of tubes</t>
  </si>
  <si>
    <t>First Trial</t>
  </si>
  <si>
    <t>ft2/ft2</t>
  </si>
  <si>
    <t>Dimensionless. Use 1.0 for 3 or more tube passes, otherwise use Figs. 10-8 or 10-9.</t>
  </si>
  <si>
    <t>1. Pick an appropriate overall heat transfer coefficient, Ux</t>
  </si>
  <si>
    <t>3. Determine the LMTD correction factor</t>
  </si>
  <si>
    <t>4. Assume t2 and calculate the CMTD, with countercurrent temperature profile.</t>
  </si>
  <si>
    <t>Calculate CMTD = (F)(LMTD)</t>
  </si>
  <si>
    <t>5. Calculate Ax</t>
  </si>
  <si>
    <t>sq. ft.</t>
  </si>
  <si>
    <t>6. Based on APSF, calculate the air-side face area, Aa</t>
  </si>
  <si>
    <t>8. Check actual t2 from exchanger (t2,actual)</t>
  </si>
  <si>
    <t>9. Repeat steps 4 through 8 by iterating t2 until convergence is achieved</t>
  </si>
  <si>
    <t>Recalculation of Step 4, CMTD</t>
  </si>
  <si>
    <t>Recalculation of Step 5, Ax</t>
  </si>
  <si>
    <t>Recalculation of Step 6, Aa</t>
  </si>
  <si>
    <t>Recalculation of Step 7, Wa</t>
  </si>
  <si>
    <t>Recalculation of Step 8, t2,actual</t>
  </si>
  <si>
    <t>The recalculated Step 6, face area (Aa), shows a bay size of 10 ft X 30 ft (300 sq.ft) will be adequate.</t>
  </si>
  <si>
    <t>Calculate fan horsepower by extrapolating from two 40 BHP fans on a 15 ft X 45 ft unit.</t>
  </si>
  <si>
    <t>Bay width</t>
  </si>
  <si>
    <t xml:space="preserve">ft </t>
  </si>
  <si>
    <t>Bay length</t>
  </si>
  <si>
    <t>bhp per fan (two required)</t>
  </si>
  <si>
    <t>Length to width ratio is typically 3:1</t>
  </si>
  <si>
    <t>Truck shippable units do not exceed 15 ft X 45 ft</t>
  </si>
  <si>
    <t>Btu/hr-ft2-degF (see Fig 10-10, for Process Water and 5/8 inch by 10)</t>
  </si>
  <si>
    <t>Given Data:</t>
  </si>
  <si>
    <t>Required Data For Hot Fluid</t>
  </si>
  <si>
    <t xml:space="preserve">Name and Phase            </t>
  </si>
  <si>
    <t>48°API</t>
  </si>
  <si>
    <t>hydrocarbon liquid</t>
  </si>
  <si>
    <t xml:space="preserve">Physical Props at avg temp               </t>
  </si>
  <si>
    <t>Specific Heat             Cp</t>
  </si>
  <si>
    <t>Btu/(lb • °F)</t>
  </si>
  <si>
    <t>Viscosity                      μ</t>
  </si>
  <si>
    <t>cp</t>
  </si>
  <si>
    <t>Thermal Conductivity    k</t>
  </si>
  <si>
    <t>Btu/[(hr • sq ft • °F)/ft]</t>
  </si>
  <si>
    <t>Heat Load                   Q</t>
  </si>
  <si>
    <r>
      <t>Flow Quantity             W</t>
    </r>
    <r>
      <rPr>
        <vertAlign val="subscript"/>
        <sz val="11"/>
        <rFont val="Times New Roman"/>
        <family val="1"/>
      </rPr>
      <t>t</t>
    </r>
  </si>
  <si>
    <r>
      <t>Temperature In            T</t>
    </r>
    <r>
      <rPr>
        <vertAlign val="subscript"/>
        <sz val="11"/>
        <rFont val="Times New Roman"/>
        <family val="1"/>
      </rPr>
      <t>1</t>
    </r>
  </si>
  <si>
    <r>
      <t>Temperature Out         T</t>
    </r>
    <r>
      <rPr>
        <vertAlign val="subscript"/>
        <sz val="11"/>
        <rFont val="Times New Roman"/>
        <family val="1"/>
      </rPr>
      <t>2</t>
    </r>
  </si>
  <si>
    <r>
      <t>Fouling Factor             r</t>
    </r>
    <r>
      <rPr>
        <vertAlign val="subscript"/>
        <sz val="11"/>
        <rFont val="Times New Roman"/>
        <family val="1"/>
      </rPr>
      <t>dt</t>
    </r>
  </si>
  <si>
    <t>(hr • sq ft • °F)/Btu</t>
  </si>
  <si>
    <r>
      <t>Allowable Press Drop ΔP</t>
    </r>
    <r>
      <rPr>
        <vertAlign val="subscript"/>
        <sz val="11"/>
        <rFont val="Times New Roman"/>
        <family val="1"/>
      </rPr>
      <t>t</t>
    </r>
  </si>
  <si>
    <t>psi</t>
  </si>
  <si>
    <t>Required Data For Air</t>
  </si>
  <si>
    <r>
      <t>Ambient Temperature   t</t>
    </r>
    <r>
      <rPr>
        <vertAlign val="subscript"/>
        <sz val="11"/>
        <rFont val="Times New Roman"/>
        <family val="1"/>
      </rPr>
      <t>1</t>
    </r>
  </si>
  <si>
    <t xml:space="preserve">Elevation                        </t>
  </si>
  <si>
    <t>Sea level</t>
  </si>
  <si>
    <t>See Fig 10-16 for Altitude Correction</t>
  </si>
  <si>
    <r>
      <t>C</t>
    </r>
    <r>
      <rPr>
        <vertAlign val="subscript"/>
        <sz val="11"/>
        <rFont val="Times New Roman"/>
        <family val="1"/>
      </rPr>
      <t>Pair</t>
    </r>
  </si>
  <si>
    <r>
      <t>Density Ratio Air    D</t>
    </r>
    <r>
      <rPr>
        <vertAlign val="subscript"/>
        <sz val="11"/>
        <rFont val="Times New Roman"/>
        <family val="1"/>
      </rPr>
      <t>R, air</t>
    </r>
  </si>
  <si>
    <t>Fans, Forced Draft</t>
  </si>
  <si>
    <r>
      <t>Fintube                       D</t>
    </r>
    <r>
      <rPr>
        <vertAlign val="subscript"/>
        <sz val="11"/>
        <rFont val="Times New Roman"/>
        <family val="1"/>
      </rPr>
      <t>o</t>
    </r>
  </si>
  <si>
    <t>in. OD</t>
  </si>
  <si>
    <t>in. high fins</t>
  </si>
  <si>
    <t>in. triangular (Δ)</t>
  </si>
  <si>
    <r>
      <t>Bundle Layout            N</t>
    </r>
    <r>
      <rPr>
        <vertAlign val="subscript"/>
        <sz val="11"/>
        <rFont val="Times New Roman"/>
        <family val="1"/>
      </rPr>
      <t>P</t>
    </r>
  </si>
  <si>
    <t>tube passes</t>
  </si>
  <si>
    <t>rows of tubes</t>
  </si>
  <si>
    <t>ft long tubes</t>
  </si>
  <si>
    <t>Data Collected From Figures in Text</t>
  </si>
  <si>
    <t>Fig 10-11</t>
  </si>
  <si>
    <t>sq ft/ft</t>
  </si>
  <si>
    <r>
      <t>A</t>
    </r>
    <r>
      <rPr>
        <vertAlign val="subscript"/>
        <sz val="11"/>
        <rFont val="Times New Roman"/>
        <family val="1"/>
      </rPr>
      <t>t</t>
    </r>
  </si>
  <si>
    <r>
      <t>in</t>
    </r>
    <r>
      <rPr>
        <vertAlign val="superscript"/>
        <sz val="11"/>
        <rFont val="Times New Roman"/>
        <family val="1"/>
      </rPr>
      <t>2</t>
    </r>
  </si>
  <si>
    <t>Fig 9-25</t>
  </si>
  <si>
    <r>
      <t>D</t>
    </r>
    <r>
      <rPr>
        <vertAlign val="subscript"/>
        <sz val="11"/>
        <rFont val="Times New Roman"/>
        <family val="1"/>
      </rPr>
      <t>i</t>
    </r>
  </si>
  <si>
    <t>in.</t>
  </si>
  <si>
    <t>Fig 10-19</t>
  </si>
  <si>
    <r>
      <t>k • [(C</t>
    </r>
    <r>
      <rPr>
        <vertAlign val="subscript"/>
        <sz val="11"/>
        <rFont val="Times New Roman"/>
        <family val="1"/>
      </rPr>
      <t>p</t>
    </r>
    <r>
      <rPr>
        <sz val="11"/>
        <rFont val="Times New Roman"/>
        <family val="1"/>
      </rPr>
      <t xml:space="preserve"> • μ)/k]</t>
    </r>
    <r>
      <rPr>
        <vertAlign val="superscript"/>
        <sz val="11"/>
        <rFont val="Times New Roman"/>
        <family val="1"/>
      </rPr>
      <t>1/3</t>
    </r>
  </si>
  <si>
    <t>Fig 10-12</t>
  </si>
  <si>
    <t>sq ft/sq ft</t>
  </si>
  <si>
    <t>To determine Approximate Air Temperature Rise</t>
  </si>
  <si>
    <r>
      <t>Δt</t>
    </r>
    <r>
      <rPr>
        <vertAlign val="subscript"/>
        <sz val="11"/>
        <rFont val="Times New Roman"/>
        <family val="1"/>
      </rPr>
      <t>a</t>
    </r>
  </si>
  <si>
    <r>
      <t>[(U</t>
    </r>
    <r>
      <rPr>
        <vertAlign val="subscript"/>
        <sz val="11"/>
        <rFont val="Times New Roman"/>
        <family val="1"/>
      </rPr>
      <t>x</t>
    </r>
    <r>
      <rPr>
        <sz val="11"/>
        <rFont val="Times New Roman"/>
        <family val="1"/>
      </rPr>
      <t>+1)/10] • [((T</t>
    </r>
    <r>
      <rPr>
        <vertAlign val="subscript"/>
        <sz val="11"/>
        <rFont val="Times New Roman"/>
        <family val="1"/>
      </rPr>
      <t>1</t>
    </r>
    <r>
      <rPr>
        <sz val="11"/>
        <rFont val="Times New Roman"/>
        <family val="1"/>
      </rPr>
      <t>+T</t>
    </r>
    <r>
      <rPr>
        <vertAlign val="subscript"/>
        <sz val="11"/>
        <rFont val="Times New Roman"/>
        <family val="1"/>
      </rPr>
      <t>2</t>
    </r>
    <r>
      <rPr>
        <sz val="11"/>
        <rFont val="Times New Roman"/>
        <family val="1"/>
      </rPr>
      <t>)/2)-t</t>
    </r>
    <r>
      <rPr>
        <vertAlign val="subscript"/>
        <sz val="11"/>
        <rFont val="Times New Roman"/>
        <family val="1"/>
      </rPr>
      <t>1</t>
    </r>
    <r>
      <rPr>
        <sz val="11"/>
        <rFont val="Times New Roman"/>
        <family val="1"/>
      </rPr>
      <t>]</t>
    </r>
  </si>
  <si>
    <r>
      <t>To determine t</t>
    </r>
    <r>
      <rPr>
        <vertAlign val="subscript"/>
        <sz val="11"/>
        <rFont val="Times New Roman"/>
        <family val="1"/>
      </rPr>
      <t>2</t>
    </r>
  </si>
  <si>
    <r>
      <t>t</t>
    </r>
    <r>
      <rPr>
        <vertAlign val="subscript"/>
        <sz val="11"/>
        <rFont val="Times New Roman"/>
        <family val="1"/>
      </rPr>
      <t>2</t>
    </r>
  </si>
  <si>
    <r>
      <t>t</t>
    </r>
    <r>
      <rPr>
        <vertAlign val="subscript"/>
        <sz val="11"/>
        <rFont val="Times New Roman"/>
        <family val="1"/>
      </rPr>
      <t>1</t>
    </r>
    <r>
      <rPr>
        <sz val="11"/>
        <rFont val="Times New Roman"/>
        <family val="1"/>
      </rPr>
      <t xml:space="preserve"> + Δt</t>
    </r>
    <r>
      <rPr>
        <vertAlign val="subscript"/>
        <sz val="11"/>
        <rFont val="Times New Roman"/>
        <family val="1"/>
      </rPr>
      <t>a</t>
    </r>
  </si>
  <si>
    <t>To determine LMTD</t>
  </si>
  <si>
    <t>(GTTD-LTTD)/ln(GTTD/LTTD)</t>
  </si>
  <si>
    <t>Fig 9-3</t>
  </si>
  <si>
    <t>To determine CMTD</t>
  </si>
  <si>
    <r>
      <t>LMTD • F</t>
    </r>
    <r>
      <rPr>
        <vertAlign val="subscript"/>
        <sz val="11"/>
        <rFont val="Times New Roman"/>
        <family val="1"/>
      </rPr>
      <t>1</t>
    </r>
  </si>
  <si>
    <t>To determine Outside Extended Surface of Tube</t>
  </si>
  <si>
    <r>
      <t>A</t>
    </r>
    <r>
      <rPr>
        <vertAlign val="subscript"/>
        <sz val="11"/>
        <rFont val="Times New Roman"/>
        <family val="1"/>
      </rPr>
      <t>x</t>
    </r>
  </si>
  <si>
    <r>
      <t>Q/(U</t>
    </r>
    <r>
      <rPr>
        <vertAlign val="subscript"/>
        <sz val="11"/>
        <rFont val="Times New Roman"/>
        <family val="1"/>
      </rPr>
      <t>x</t>
    </r>
    <r>
      <rPr>
        <sz val="11"/>
        <rFont val="Times New Roman"/>
        <family val="1"/>
      </rPr>
      <t xml:space="preserve"> • CMTD)</t>
    </r>
  </si>
  <si>
    <t>To determine Total Face Area of Bundles</t>
  </si>
  <si>
    <r>
      <t>F</t>
    </r>
    <r>
      <rPr>
        <vertAlign val="subscript"/>
        <sz val="11"/>
        <rFont val="Times New Roman"/>
        <family val="1"/>
      </rPr>
      <t>a</t>
    </r>
  </si>
  <si>
    <r>
      <t>A</t>
    </r>
    <r>
      <rPr>
        <vertAlign val="subscript"/>
        <sz val="11"/>
        <rFont val="Times New Roman"/>
        <family val="1"/>
      </rPr>
      <t>x</t>
    </r>
    <r>
      <rPr>
        <sz val="11"/>
        <rFont val="Times New Roman"/>
        <family val="1"/>
      </rPr>
      <t>/APSF</t>
    </r>
  </si>
  <si>
    <t>To determine the Unit Width</t>
  </si>
  <si>
    <t>Width</t>
  </si>
  <si>
    <r>
      <t>F</t>
    </r>
    <r>
      <rPr>
        <vertAlign val="subscript"/>
        <sz val="11"/>
        <rFont val="Times New Roman"/>
        <family val="1"/>
      </rPr>
      <t>a</t>
    </r>
    <r>
      <rPr>
        <sz val="11"/>
        <rFont val="Times New Roman"/>
        <family val="1"/>
      </rPr>
      <t>/L</t>
    </r>
  </si>
  <si>
    <t>To determine the Number of Tubes</t>
  </si>
  <si>
    <r>
      <t>N</t>
    </r>
    <r>
      <rPr>
        <vertAlign val="subscript"/>
        <sz val="11"/>
        <rFont val="Times New Roman"/>
        <family val="1"/>
      </rPr>
      <t>t</t>
    </r>
  </si>
  <si>
    <r>
      <t>A</t>
    </r>
    <r>
      <rPr>
        <vertAlign val="subscript"/>
        <sz val="11"/>
        <rFont val="Times New Roman"/>
        <family val="1"/>
      </rPr>
      <t>x</t>
    </r>
    <r>
      <rPr>
        <sz val="11"/>
        <rFont val="Times New Roman"/>
        <family val="1"/>
      </rPr>
      <t>/(APF • L)</t>
    </r>
  </si>
  <si>
    <t>To determine the Tubeside Mass Velocity</t>
  </si>
  <si>
    <r>
      <t>G</t>
    </r>
    <r>
      <rPr>
        <vertAlign val="subscript"/>
        <sz val="11"/>
        <rFont val="Times New Roman"/>
        <family val="1"/>
      </rPr>
      <t>t</t>
    </r>
  </si>
  <si>
    <r>
      <t>(144 • W</t>
    </r>
    <r>
      <rPr>
        <vertAlign val="subscript"/>
        <sz val="11"/>
        <rFont val="Times New Roman"/>
        <family val="1"/>
      </rPr>
      <t>t</t>
    </r>
    <r>
      <rPr>
        <sz val="11"/>
        <rFont val="Times New Roman"/>
        <family val="1"/>
      </rPr>
      <t xml:space="preserve"> • N</t>
    </r>
    <r>
      <rPr>
        <vertAlign val="subscript"/>
        <sz val="11"/>
        <rFont val="Times New Roman"/>
        <family val="1"/>
      </rPr>
      <t>p</t>
    </r>
    <r>
      <rPr>
        <sz val="11"/>
        <rFont val="Times New Roman"/>
        <family val="1"/>
      </rPr>
      <t>)/(3600 • N</t>
    </r>
    <r>
      <rPr>
        <vertAlign val="subscript"/>
        <sz val="11"/>
        <rFont val="Times New Roman"/>
        <family val="1"/>
      </rPr>
      <t>t</t>
    </r>
    <r>
      <rPr>
        <sz val="11"/>
        <rFont val="Times New Roman"/>
        <family val="1"/>
      </rPr>
      <t xml:space="preserve"> • A</t>
    </r>
    <r>
      <rPr>
        <vertAlign val="subscript"/>
        <sz val="11"/>
        <rFont val="Times New Roman"/>
        <family val="1"/>
      </rPr>
      <t>t</t>
    </r>
    <r>
      <rPr>
        <sz val="11"/>
        <rFont val="Times New Roman"/>
        <family val="1"/>
      </rPr>
      <t>)</t>
    </r>
  </si>
  <si>
    <t>To determine the Modified Reynolds Number</t>
  </si>
  <si>
    <r>
      <t>N</t>
    </r>
    <r>
      <rPr>
        <vertAlign val="subscript"/>
        <sz val="11"/>
        <rFont val="Times New Roman"/>
        <family val="1"/>
      </rPr>
      <t>R</t>
    </r>
  </si>
  <si>
    <r>
      <t>(D</t>
    </r>
    <r>
      <rPr>
        <vertAlign val="subscript"/>
        <sz val="11"/>
        <rFont val="Times New Roman"/>
        <family val="1"/>
      </rPr>
      <t>i</t>
    </r>
    <r>
      <rPr>
        <sz val="11"/>
        <rFont val="Times New Roman"/>
        <family val="1"/>
      </rPr>
      <t xml:space="preserve"> • G</t>
    </r>
    <r>
      <rPr>
        <vertAlign val="subscript"/>
        <sz val="11"/>
        <rFont val="Times New Roman"/>
        <family val="1"/>
      </rPr>
      <t>t</t>
    </r>
    <r>
      <rPr>
        <sz val="11"/>
        <rFont val="Times New Roman"/>
        <family val="1"/>
      </rPr>
      <t>)/μ</t>
    </r>
  </si>
  <si>
    <t>To determine the Tube-Side Pressure Drop</t>
  </si>
  <si>
    <r>
      <t>ΔP</t>
    </r>
    <r>
      <rPr>
        <vertAlign val="subscript"/>
        <sz val="11"/>
        <rFont val="Times New Roman"/>
        <family val="1"/>
      </rPr>
      <t>t</t>
    </r>
  </si>
  <si>
    <r>
      <t>[(f • Y • L • N</t>
    </r>
    <r>
      <rPr>
        <vertAlign val="subscript"/>
        <sz val="11"/>
        <rFont val="Times New Roman"/>
        <family val="1"/>
      </rPr>
      <t>p</t>
    </r>
    <r>
      <rPr>
        <sz val="11"/>
        <rFont val="Times New Roman"/>
        <family val="1"/>
      </rPr>
      <t>)/φ] + (B • N</t>
    </r>
    <r>
      <rPr>
        <vertAlign val="subscript"/>
        <sz val="11"/>
        <rFont val="Times New Roman"/>
        <family val="1"/>
      </rPr>
      <t>p</t>
    </r>
    <r>
      <rPr>
        <sz val="11"/>
        <rFont val="Times New Roman"/>
        <family val="1"/>
      </rPr>
      <t>)</t>
    </r>
  </si>
  <si>
    <t>Fig 10-14, 10-15</t>
  </si>
  <si>
    <t>Intermediate Calculations (not shown)</t>
  </si>
  <si>
    <t>1.  Pick Approximate Overall Transfer Coefficient from Fig 10-10</t>
  </si>
  <si>
    <r>
      <t>U</t>
    </r>
    <r>
      <rPr>
        <vertAlign val="subscript"/>
        <sz val="11"/>
        <color indexed="16"/>
        <rFont val="Times New Roman"/>
        <family val="1"/>
      </rPr>
      <t>x</t>
    </r>
  </si>
  <si>
    <t>2.  Calculate Approximate Air Temperature Rise</t>
  </si>
  <si>
    <r>
      <t>Δt</t>
    </r>
    <r>
      <rPr>
        <vertAlign val="subscript"/>
        <sz val="11"/>
        <color indexed="16"/>
        <rFont val="Times New Roman"/>
        <family val="1"/>
      </rPr>
      <t>a</t>
    </r>
  </si>
  <si>
    <t>[(4.2+1)/10] • [((250+150)/2)-100]</t>
  </si>
  <si>
    <r>
      <t>t</t>
    </r>
    <r>
      <rPr>
        <vertAlign val="subscript"/>
        <sz val="11"/>
        <color indexed="16"/>
        <rFont val="Times New Roman"/>
        <family val="1"/>
      </rPr>
      <t>2</t>
    </r>
  </si>
  <si>
    <t>100 + 52</t>
  </si>
  <si>
    <t>3.  Calculate CMTD</t>
  </si>
  <si>
    <t>hot side</t>
  </si>
  <si>
    <t>cold side</t>
  </si>
  <si>
    <t>Hydrocarbon</t>
  </si>
  <si>
    <t>Air</t>
  </si>
  <si>
    <t>GTTD</t>
  </si>
  <si>
    <t>LTTD</t>
  </si>
  <si>
    <t>(98-50)/[ln(98/50)]</t>
  </si>
  <si>
    <r>
      <t>Use Fig 9-4 to Find F</t>
    </r>
    <r>
      <rPr>
        <vertAlign val="subscript"/>
        <sz val="11"/>
        <color indexed="16"/>
        <rFont val="Times New Roman"/>
        <family val="1"/>
      </rPr>
      <t>1</t>
    </r>
  </si>
  <si>
    <r>
      <t>F</t>
    </r>
    <r>
      <rPr>
        <vertAlign val="subscript"/>
        <sz val="11"/>
        <color indexed="16"/>
        <rFont val="Times New Roman"/>
        <family val="1"/>
      </rPr>
      <t>1</t>
    </r>
  </si>
  <si>
    <r>
      <t>A</t>
    </r>
    <r>
      <rPr>
        <vertAlign val="subscript"/>
        <sz val="11"/>
        <color indexed="16"/>
        <rFont val="Times New Roman"/>
        <family val="1"/>
      </rPr>
      <t>x</t>
    </r>
  </si>
  <si>
    <t>15000000/(4.2 • 53.5)</t>
  </si>
  <si>
    <t>5.  Calculate Face Area Using APSF factor from Fig 10-11</t>
  </si>
  <si>
    <r>
      <t>F</t>
    </r>
    <r>
      <rPr>
        <vertAlign val="subscript"/>
        <sz val="11"/>
        <color indexed="16"/>
        <rFont val="Times New Roman"/>
        <family val="1"/>
      </rPr>
      <t>a</t>
    </r>
  </si>
  <si>
    <t>6.  Calculate Unit Width with Assumed Tube Length</t>
  </si>
  <si>
    <t>7.  Calculate the Number of Tubes Using APF factor from Fig 10-11</t>
  </si>
  <si>
    <r>
      <t>N</t>
    </r>
    <r>
      <rPr>
        <vertAlign val="subscript"/>
        <sz val="11"/>
        <color indexed="16"/>
        <rFont val="Times New Roman"/>
        <family val="1"/>
      </rPr>
      <t>t</t>
    </r>
  </si>
  <si>
    <r>
      <t>8.  Calculate Tube-Side Mass Velocity from Assumed number of passes and reading A</t>
    </r>
    <r>
      <rPr>
        <vertAlign val="subscript"/>
        <sz val="11"/>
        <color indexed="16"/>
        <rFont val="Times New Roman"/>
        <family val="1"/>
      </rPr>
      <t>t</t>
    </r>
    <r>
      <rPr>
        <sz val="11"/>
        <color indexed="16"/>
        <rFont val="Times New Roman"/>
        <family val="1"/>
      </rPr>
      <t xml:space="preserve"> from Fig 9-25 for a 1 in. OD x 16 BWG tube</t>
    </r>
  </si>
  <si>
    <r>
      <t>G</t>
    </r>
    <r>
      <rPr>
        <vertAlign val="subscript"/>
        <sz val="11"/>
        <color indexed="16"/>
        <rFont val="Times New Roman"/>
        <family val="1"/>
      </rPr>
      <t>t</t>
    </r>
  </si>
  <si>
    <t>9.  Calculate Modified Reynolds number</t>
  </si>
  <si>
    <r>
      <t>N</t>
    </r>
    <r>
      <rPr>
        <vertAlign val="subscript"/>
        <sz val="11"/>
        <color indexed="16"/>
        <rFont val="Times New Roman"/>
        <family val="1"/>
      </rPr>
      <t>R</t>
    </r>
  </si>
  <si>
    <t>10.  Calculate Tube-Side Pressure Drop using Equation from Fig 10-14 and Fig 10-15</t>
  </si>
  <si>
    <t>Use Fig 10-14 to find Y and B</t>
  </si>
  <si>
    <t>psi/ft</t>
  </si>
  <si>
    <t>psi/tube pass</t>
  </si>
  <si>
    <r>
      <t>Use Fig 10-15 to find f using N</t>
    </r>
    <r>
      <rPr>
        <vertAlign val="subscript"/>
        <sz val="11"/>
        <color indexed="16"/>
        <rFont val="Times New Roman"/>
        <family val="1"/>
      </rPr>
      <t>R</t>
    </r>
  </si>
  <si>
    <t>[(0.0024 • 14.5 • 30 • 3)/0.96] + (0.25 • 3)</t>
  </si>
  <si>
    <r>
      <t>ft</t>
    </r>
    <r>
      <rPr>
        <vertAlign val="superscript"/>
        <sz val="11"/>
        <rFont val="Times New Roman"/>
        <family val="1"/>
      </rPr>
      <t>2</t>
    </r>
  </si>
  <si>
    <r>
      <t>lb/(ft</t>
    </r>
    <r>
      <rPr>
        <vertAlign val="superscript"/>
        <sz val="11"/>
        <rFont val="Times New Roman"/>
        <family val="1"/>
      </rPr>
      <t>2</t>
    </r>
    <r>
      <rPr>
        <sz val="11"/>
        <rFont val="Times New Roman"/>
        <family val="1"/>
      </rPr>
      <t xml:space="preserve"> • sec)</t>
    </r>
  </si>
  <si>
    <t>To determine the Tube-Side Film Coefficient</t>
  </si>
  <si>
    <r>
      <t>h</t>
    </r>
    <r>
      <rPr>
        <vertAlign val="subscript"/>
        <sz val="11"/>
        <rFont val="Times New Roman"/>
        <family val="1"/>
      </rPr>
      <t>t</t>
    </r>
  </si>
  <si>
    <r>
      <t>[J • (k • ((C</t>
    </r>
    <r>
      <rPr>
        <vertAlign val="subscript"/>
        <sz val="11"/>
        <rFont val="Times New Roman"/>
        <family val="1"/>
      </rPr>
      <t>p</t>
    </r>
    <r>
      <rPr>
        <sz val="11"/>
        <rFont val="Times New Roman"/>
        <family val="1"/>
      </rPr>
      <t xml:space="preserve"> • μ)/k)</t>
    </r>
    <r>
      <rPr>
        <vertAlign val="superscript"/>
        <sz val="11"/>
        <rFont val="Times New Roman"/>
        <family val="1"/>
      </rPr>
      <t>1/3</t>
    </r>
    <r>
      <rPr>
        <sz val="11"/>
        <rFont val="Times New Roman"/>
        <family val="1"/>
      </rPr>
      <t>) • φ]/D</t>
    </r>
    <r>
      <rPr>
        <vertAlign val="subscript"/>
        <sz val="11"/>
        <rFont val="Times New Roman"/>
        <family val="1"/>
      </rPr>
      <t>i</t>
    </r>
  </si>
  <si>
    <t>Fig 10-13</t>
  </si>
  <si>
    <t>To determine Air Quality</t>
  </si>
  <si>
    <r>
      <t>W</t>
    </r>
    <r>
      <rPr>
        <vertAlign val="subscript"/>
        <sz val="11"/>
        <rFont val="Times New Roman"/>
        <family val="1"/>
      </rPr>
      <t>a</t>
    </r>
  </si>
  <si>
    <r>
      <t>Q/(0.24 • Δt</t>
    </r>
    <r>
      <rPr>
        <vertAlign val="subscript"/>
        <sz val="11"/>
        <rFont val="Times New Roman"/>
        <family val="1"/>
      </rPr>
      <t>a</t>
    </r>
    <r>
      <rPr>
        <sz val="11"/>
        <rFont val="Times New Roman"/>
        <family val="1"/>
      </rPr>
      <t>)</t>
    </r>
  </si>
  <si>
    <t>To determine Air Face Mass Velocity</t>
  </si>
  <si>
    <r>
      <t>G</t>
    </r>
    <r>
      <rPr>
        <vertAlign val="subscript"/>
        <sz val="11"/>
        <rFont val="Times New Roman"/>
        <family val="1"/>
      </rPr>
      <t>a</t>
    </r>
  </si>
  <si>
    <r>
      <t>W</t>
    </r>
    <r>
      <rPr>
        <vertAlign val="subscript"/>
        <sz val="11"/>
        <rFont val="Times New Roman"/>
        <family val="1"/>
      </rPr>
      <t>a</t>
    </r>
    <r>
      <rPr>
        <sz val="11"/>
        <rFont val="Times New Roman"/>
        <family val="1"/>
      </rPr>
      <t>/F</t>
    </r>
    <r>
      <rPr>
        <vertAlign val="subscript"/>
        <sz val="11"/>
        <rFont val="Times New Roman"/>
        <family val="1"/>
      </rPr>
      <t>a</t>
    </r>
  </si>
  <si>
    <r>
      <t>To determine A</t>
    </r>
    <r>
      <rPr>
        <vertAlign val="subscript"/>
        <sz val="11"/>
        <rFont val="Times New Roman"/>
        <family val="1"/>
      </rPr>
      <t>x</t>
    </r>
    <r>
      <rPr>
        <sz val="11"/>
        <rFont val="Times New Roman"/>
        <family val="1"/>
      </rPr>
      <t>/A</t>
    </r>
    <r>
      <rPr>
        <vertAlign val="subscript"/>
        <sz val="11"/>
        <rFont val="Times New Roman"/>
        <family val="1"/>
      </rPr>
      <t>i</t>
    </r>
  </si>
  <si>
    <r>
      <t>A</t>
    </r>
    <r>
      <rPr>
        <vertAlign val="subscript"/>
        <sz val="11"/>
        <rFont val="Times New Roman"/>
        <family val="1"/>
      </rPr>
      <t>x</t>
    </r>
    <r>
      <rPr>
        <sz val="11"/>
        <rFont val="Times New Roman"/>
        <family val="1"/>
      </rPr>
      <t>/A</t>
    </r>
    <r>
      <rPr>
        <vertAlign val="subscript"/>
        <sz val="11"/>
        <rFont val="Times New Roman"/>
        <family val="1"/>
      </rPr>
      <t>i</t>
    </r>
  </si>
  <si>
    <r>
      <t>(AR • D</t>
    </r>
    <r>
      <rPr>
        <vertAlign val="subscript"/>
        <sz val="11"/>
        <rFont val="Times New Roman"/>
        <family val="1"/>
      </rPr>
      <t>o</t>
    </r>
    <r>
      <rPr>
        <sz val="11"/>
        <rFont val="Times New Roman"/>
        <family val="1"/>
      </rPr>
      <t>)/D</t>
    </r>
    <r>
      <rPr>
        <vertAlign val="subscript"/>
        <sz val="11"/>
        <rFont val="Times New Roman"/>
        <family val="1"/>
      </rPr>
      <t>i</t>
    </r>
  </si>
  <si>
    <t>To determine Overall Transfer Coefficient</t>
  </si>
  <si>
    <r>
      <t>1/U</t>
    </r>
    <r>
      <rPr>
        <vertAlign val="subscript"/>
        <sz val="11"/>
        <rFont val="Times New Roman"/>
        <family val="1"/>
      </rPr>
      <t>x</t>
    </r>
  </si>
  <si>
    <r>
      <t>[(1/h</t>
    </r>
    <r>
      <rPr>
        <vertAlign val="subscript"/>
        <sz val="11"/>
        <rFont val="Times New Roman"/>
        <family val="1"/>
      </rPr>
      <t>t</t>
    </r>
    <r>
      <rPr>
        <sz val="11"/>
        <rFont val="Times New Roman"/>
        <family val="1"/>
      </rPr>
      <t>) • (A</t>
    </r>
    <r>
      <rPr>
        <vertAlign val="subscript"/>
        <sz val="11"/>
        <rFont val="Times New Roman"/>
        <family val="1"/>
      </rPr>
      <t>x</t>
    </r>
    <r>
      <rPr>
        <sz val="11"/>
        <rFont val="Times New Roman"/>
        <family val="1"/>
      </rPr>
      <t>/A</t>
    </r>
    <r>
      <rPr>
        <vertAlign val="subscript"/>
        <sz val="11"/>
        <rFont val="Times New Roman"/>
        <family val="1"/>
      </rPr>
      <t>i</t>
    </r>
    <r>
      <rPr>
        <sz val="11"/>
        <rFont val="Times New Roman"/>
        <family val="1"/>
      </rPr>
      <t>)] + [(r</t>
    </r>
    <r>
      <rPr>
        <vertAlign val="subscript"/>
        <sz val="11"/>
        <rFont val="Times New Roman"/>
        <family val="1"/>
      </rPr>
      <t>dt</t>
    </r>
    <r>
      <rPr>
        <sz val="11"/>
        <rFont val="Times New Roman"/>
        <family val="1"/>
      </rPr>
      <t xml:space="preserve"> • (A</t>
    </r>
    <r>
      <rPr>
        <vertAlign val="subscript"/>
        <sz val="11"/>
        <rFont val="Times New Roman"/>
        <family val="1"/>
      </rPr>
      <t>x</t>
    </r>
    <r>
      <rPr>
        <sz val="11"/>
        <rFont val="Times New Roman"/>
        <family val="1"/>
      </rPr>
      <t>/A</t>
    </r>
    <r>
      <rPr>
        <vertAlign val="subscript"/>
        <sz val="11"/>
        <rFont val="Times New Roman"/>
        <family val="1"/>
      </rPr>
      <t>i</t>
    </r>
    <r>
      <rPr>
        <sz val="11"/>
        <rFont val="Times New Roman"/>
        <family val="1"/>
      </rPr>
      <t>)] + r</t>
    </r>
    <r>
      <rPr>
        <vertAlign val="subscript"/>
        <sz val="11"/>
        <rFont val="Times New Roman"/>
        <family val="1"/>
      </rPr>
      <t>mx</t>
    </r>
    <r>
      <rPr>
        <sz val="11"/>
        <rFont val="Times New Roman"/>
        <family val="1"/>
      </rPr>
      <t xml:space="preserve"> + (1/h</t>
    </r>
    <r>
      <rPr>
        <vertAlign val="subscript"/>
        <sz val="11"/>
        <rFont val="Times New Roman"/>
        <family val="1"/>
      </rPr>
      <t>a</t>
    </r>
    <r>
      <rPr>
        <sz val="11"/>
        <rFont val="Times New Roman"/>
        <family val="1"/>
      </rPr>
      <t>)</t>
    </r>
  </si>
  <si>
    <t xml:space="preserve"> </t>
  </si>
  <si>
    <t>To determine Minimum Fan Area Per Fan</t>
  </si>
  <si>
    <r>
      <t>(0.4 • F</t>
    </r>
    <r>
      <rPr>
        <vertAlign val="subscript"/>
        <sz val="11"/>
        <rFont val="Times New Roman"/>
        <family val="1"/>
      </rPr>
      <t>a</t>
    </r>
    <r>
      <rPr>
        <sz val="11"/>
        <rFont val="Times New Roman"/>
        <family val="1"/>
      </rPr>
      <t>)/N</t>
    </r>
    <r>
      <rPr>
        <vertAlign val="subscript"/>
        <sz val="11"/>
        <rFont val="Times New Roman"/>
        <family val="1"/>
      </rPr>
      <t>f</t>
    </r>
  </si>
  <si>
    <t>To determine Fan Diameter</t>
  </si>
  <si>
    <r>
      <t>[(4 • FAPF)/π]</t>
    </r>
    <r>
      <rPr>
        <vertAlign val="superscript"/>
        <sz val="11"/>
        <rFont val="Times New Roman"/>
        <family val="1"/>
      </rPr>
      <t>0.5</t>
    </r>
  </si>
  <si>
    <t>To determine Air Static Pressure Drop</t>
  </si>
  <si>
    <r>
      <t>(F</t>
    </r>
    <r>
      <rPr>
        <vertAlign val="subscript"/>
        <sz val="11"/>
        <rFont val="Times New Roman"/>
        <family val="1"/>
      </rPr>
      <t>p</t>
    </r>
    <r>
      <rPr>
        <sz val="11"/>
        <rFont val="Times New Roman"/>
        <family val="1"/>
      </rPr>
      <t xml:space="preserve"> • N)/D</t>
    </r>
    <r>
      <rPr>
        <vertAlign val="subscript"/>
        <sz val="11"/>
        <rFont val="Times New Roman"/>
        <family val="1"/>
      </rPr>
      <t>R</t>
    </r>
  </si>
  <si>
    <t>To determine Actual Air Volume</t>
  </si>
  <si>
    <r>
      <t>W</t>
    </r>
    <r>
      <rPr>
        <vertAlign val="subscript"/>
        <sz val="11"/>
        <rFont val="Times New Roman"/>
        <family val="1"/>
      </rPr>
      <t>a</t>
    </r>
    <r>
      <rPr>
        <sz val="11"/>
        <rFont val="Times New Roman"/>
        <family val="1"/>
      </rPr>
      <t>/(D</t>
    </r>
    <r>
      <rPr>
        <vertAlign val="subscript"/>
        <sz val="11"/>
        <rFont val="Times New Roman"/>
        <family val="1"/>
      </rPr>
      <t>R</t>
    </r>
    <r>
      <rPr>
        <sz val="11"/>
        <rFont val="Times New Roman"/>
        <family val="1"/>
      </rPr>
      <t xml:space="preserve"> • 60 • D</t>
    </r>
    <r>
      <rPr>
        <vertAlign val="subscript"/>
        <sz val="11"/>
        <rFont val="Times New Roman"/>
        <family val="1"/>
      </rPr>
      <t>R, air</t>
    </r>
    <r>
      <rPr>
        <sz val="11"/>
        <rFont val="Times New Roman"/>
        <family val="1"/>
      </rPr>
      <t>)</t>
    </r>
  </si>
  <si>
    <t>To determine the fan Total Pressure</t>
  </si>
  <si>
    <t>To determine the Brake Horsepower Per Fan</t>
  </si>
  <si>
    <t>bhp</t>
  </si>
  <si>
    <t>[(ACFM/fan) • PF]/(6356 • 0.7)</t>
  </si>
  <si>
    <t>11.  Calculate Tube-Side Film Coefficient using Equation from Fig 10-13</t>
  </si>
  <si>
    <r>
      <t>h</t>
    </r>
    <r>
      <rPr>
        <vertAlign val="subscript"/>
        <sz val="11"/>
        <color indexed="16"/>
        <rFont val="Times New Roman"/>
        <family val="1"/>
      </rPr>
      <t>t</t>
    </r>
  </si>
  <si>
    <t>(1900 • 0.12 • 0.96)/0.87</t>
  </si>
  <si>
    <t>12.  Calculate Air Quantity</t>
  </si>
  <si>
    <r>
      <t>W</t>
    </r>
    <r>
      <rPr>
        <vertAlign val="subscript"/>
        <sz val="11"/>
        <color indexed="16"/>
        <rFont val="Times New Roman"/>
        <family val="1"/>
      </rPr>
      <t>a</t>
    </r>
  </si>
  <si>
    <t>15000000/(0.24 • 52)</t>
  </si>
  <si>
    <t>13.  Calculate Air Face Mass Velocity</t>
  </si>
  <si>
    <r>
      <t>G</t>
    </r>
    <r>
      <rPr>
        <vertAlign val="subscript"/>
        <sz val="11"/>
        <color indexed="16"/>
        <rFont val="Times New Roman"/>
        <family val="1"/>
      </rPr>
      <t>a</t>
    </r>
  </si>
  <si>
    <t>1201923/465</t>
  </si>
  <si>
    <t>14.  Read Air-Side Film Coefficient from Fig 10-17</t>
  </si>
  <si>
    <r>
      <t>h</t>
    </r>
    <r>
      <rPr>
        <vertAlign val="subscript"/>
        <sz val="11"/>
        <color indexed="16"/>
        <rFont val="Times New Roman"/>
        <family val="1"/>
      </rPr>
      <t>a</t>
    </r>
  </si>
  <si>
    <t>15.  Calculate Overall Transfer Coefficient</t>
  </si>
  <si>
    <r>
      <t>A</t>
    </r>
    <r>
      <rPr>
        <vertAlign val="subscript"/>
        <sz val="11"/>
        <color indexed="16"/>
        <rFont val="Times New Roman"/>
        <family val="1"/>
      </rPr>
      <t>x</t>
    </r>
    <r>
      <rPr>
        <sz val="11"/>
        <color indexed="16"/>
        <rFont val="Times New Roman"/>
        <family val="1"/>
      </rPr>
      <t>/A</t>
    </r>
    <r>
      <rPr>
        <vertAlign val="subscript"/>
        <sz val="11"/>
        <color indexed="16"/>
        <rFont val="Times New Roman"/>
        <family val="1"/>
      </rPr>
      <t>i</t>
    </r>
  </si>
  <si>
    <t>(21.4 • 1.0)/0.87</t>
  </si>
  <si>
    <r>
      <t>1/U</t>
    </r>
    <r>
      <rPr>
        <vertAlign val="subscript"/>
        <sz val="11"/>
        <color indexed="16"/>
        <rFont val="Times New Roman"/>
        <family val="1"/>
      </rPr>
      <t>x</t>
    </r>
  </si>
  <si>
    <t>[(1/252) • 24.6] + (0.001 • 24.6) + (1/8.5)</t>
  </si>
  <si>
    <r>
      <t>Note:  r</t>
    </r>
    <r>
      <rPr>
        <vertAlign val="subscript"/>
        <sz val="11"/>
        <color indexed="16"/>
        <rFont val="Times New Roman"/>
        <family val="1"/>
      </rPr>
      <t>mx</t>
    </r>
    <r>
      <rPr>
        <sz val="11"/>
        <color indexed="16"/>
        <rFont val="Times New Roman"/>
        <family val="1"/>
      </rPr>
      <t xml:space="preserve"> is ommitted since metal resistance is small compared to other resistances</t>
    </r>
  </si>
  <si>
    <t>1/0.240</t>
  </si>
  <si>
    <r>
      <t>If U</t>
    </r>
    <r>
      <rPr>
        <vertAlign val="subscript"/>
        <sz val="11"/>
        <color indexed="16"/>
        <rFont val="Times New Roman"/>
        <family val="1"/>
      </rPr>
      <t>x</t>
    </r>
    <r>
      <rPr>
        <sz val="11"/>
        <color indexed="16"/>
        <rFont val="Times New Roman"/>
        <family val="1"/>
      </rPr>
      <t xml:space="preserve"> calculated is equal or slightly greater than U</t>
    </r>
    <r>
      <rPr>
        <vertAlign val="subscript"/>
        <sz val="11"/>
        <color indexed="16"/>
        <rFont val="Times New Roman"/>
        <family val="1"/>
      </rPr>
      <t>x</t>
    </r>
    <r>
      <rPr>
        <sz val="11"/>
        <color indexed="16"/>
        <rFont val="Times New Roman"/>
        <family val="1"/>
      </rPr>
      <t xml:space="preserve"> assumed at beginning and calculated pressure drop is within allowable pressure drop then the solution is acceptable.  Otherwise repeat steps 1-15 assuming a new U</t>
    </r>
    <r>
      <rPr>
        <vertAlign val="subscript"/>
        <sz val="11"/>
        <color indexed="16"/>
        <rFont val="Times New Roman"/>
        <family val="1"/>
      </rPr>
      <t>x</t>
    </r>
    <r>
      <rPr>
        <sz val="11"/>
        <color indexed="16"/>
        <rFont val="Times New Roman"/>
        <family val="1"/>
      </rPr>
      <t xml:space="preserve"> between original assumed value and calculated value  </t>
    </r>
  </si>
  <si>
    <t>16.  Calculate Minimum Fan Area</t>
  </si>
  <si>
    <t>(0.4 • 465)/2</t>
  </si>
  <si>
    <t>17.  Calculate Fan Diameter</t>
  </si>
  <si>
    <t xml:space="preserve">18.  Calculate Air Static Pressure Drop </t>
  </si>
  <si>
    <r>
      <t>T</t>
    </r>
    <r>
      <rPr>
        <vertAlign val="subscript"/>
        <sz val="11"/>
        <color indexed="16"/>
        <rFont val="Times New Roman"/>
        <family val="1"/>
      </rPr>
      <t>a, avg</t>
    </r>
  </si>
  <si>
    <t>(100+152)/2</t>
  </si>
  <si>
    <r>
      <t>Use Fig 10-18 to find F</t>
    </r>
    <r>
      <rPr>
        <vertAlign val="subscript"/>
        <sz val="11"/>
        <color indexed="16"/>
        <rFont val="Times New Roman"/>
        <family val="1"/>
      </rPr>
      <t>p</t>
    </r>
    <r>
      <rPr>
        <sz val="11"/>
        <color indexed="16"/>
        <rFont val="Times New Roman"/>
        <family val="1"/>
      </rPr>
      <t xml:space="preserve"> using G</t>
    </r>
    <r>
      <rPr>
        <vertAlign val="subscript"/>
        <sz val="11"/>
        <color indexed="16"/>
        <rFont val="Times New Roman"/>
        <family val="1"/>
      </rPr>
      <t>a</t>
    </r>
  </si>
  <si>
    <r>
      <t>F</t>
    </r>
    <r>
      <rPr>
        <vertAlign val="subscript"/>
        <sz val="11"/>
        <color indexed="16"/>
        <rFont val="Times New Roman"/>
        <family val="1"/>
      </rPr>
      <t>p</t>
    </r>
  </si>
  <si>
    <r>
      <t>Use Fig 10-16 to find D</t>
    </r>
    <r>
      <rPr>
        <vertAlign val="subscript"/>
        <sz val="11"/>
        <color indexed="16"/>
        <rFont val="Times New Roman"/>
        <family val="1"/>
      </rPr>
      <t>R</t>
    </r>
    <r>
      <rPr>
        <sz val="11"/>
        <color indexed="16"/>
        <rFont val="Times New Roman"/>
        <family val="1"/>
      </rPr>
      <t xml:space="preserve"> using T</t>
    </r>
    <r>
      <rPr>
        <vertAlign val="subscript"/>
        <sz val="11"/>
        <color indexed="16"/>
        <rFont val="Times New Roman"/>
        <family val="1"/>
      </rPr>
      <t>a, avg</t>
    </r>
  </si>
  <si>
    <r>
      <t>D</t>
    </r>
    <r>
      <rPr>
        <vertAlign val="subscript"/>
        <sz val="11"/>
        <color indexed="16"/>
        <rFont val="Times New Roman"/>
        <family val="1"/>
      </rPr>
      <t>R</t>
    </r>
  </si>
  <si>
    <t>(0.1 • 4)/0.94</t>
  </si>
  <si>
    <r>
      <t>19.  Calculate Actual Air Volume using D</t>
    </r>
    <r>
      <rPr>
        <vertAlign val="subscript"/>
        <sz val="11"/>
        <color indexed="16"/>
        <rFont val="Times New Roman"/>
        <family val="1"/>
      </rPr>
      <t>R</t>
    </r>
    <r>
      <rPr>
        <sz val="11"/>
        <color indexed="16"/>
        <rFont val="Times New Roman"/>
        <family val="1"/>
      </rPr>
      <t xml:space="preserve"> of Air at Fan Inlet</t>
    </r>
  </si>
  <si>
    <t>1201923/(0.94 • 60 • 0.0749)</t>
  </si>
  <si>
    <t>Total</t>
  </si>
  <si>
    <t>per Fan</t>
  </si>
  <si>
    <r>
      <t>20.  Approximate Fan Total Pressure using D</t>
    </r>
    <r>
      <rPr>
        <vertAlign val="subscript"/>
        <sz val="11"/>
        <color indexed="16"/>
        <rFont val="Times New Roman"/>
        <family val="1"/>
      </rPr>
      <t>R</t>
    </r>
    <r>
      <rPr>
        <sz val="11"/>
        <color indexed="16"/>
        <rFont val="Times New Roman"/>
        <family val="1"/>
      </rPr>
      <t xml:space="preserve"> of Air at Fan and Fan Area</t>
    </r>
  </si>
  <si>
    <t>21.  Approximate Brake Horsepower Per Fan, using 70% Fan Efficiency</t>
  </si>
  <si>
    <t>Fan Efficiency</t>
  </si>
  <si>
    <t>(142261 • 0.56)/(6356 • 0.7)</t>
  </si>
  <si>
    <t>Actual Fan Motor needed for 92% Efficient Speed reducer</t>
  </si>
  <si>
    <t>17.81/0.92</t>
  </si>
  <si>
    <t>hp</t>
  </si>
  <si>
    <t>Calculate Extended Surface Area</t>
  </si>
  <si>
    <t>15.5 • 30</t>
  </si>
  <si>
    <t>465 • 107.2</t>
  </si>
  <si>
    <t xml:space="preserve">One Unit having </t>
  </si>
  <si>
    <t>ft diameter fans</t>
  </si>
  <si>
    <t>hp fan drivers</t>
  </si>
  <si>
    <t>dimensionless</t>
  </si>
  <si>
    <t>Air density, 70 degF, sea level</t>
  </si>
  <si>
    <t>lb/cu.ft</t>
  </si>
  <si>
    <t>sq.ft./sq.ft.</t>
  </si>
  <si>
    <t>See Intermediate Calculations below.</t>
  </si>
  <si>
    <r>
      <t>Btu/(h • ft</t>
    </r>
    <r>
      <rPr>
        <vertAlign val="superscript"/>
        <sz val="11"/>
        <color indexed="16"/>
        <rFont val="Times New Roman"/>
        <family val="1"/>
      </rPr>
      <t>2</t>
    </r>
    <r>
      <rPr>
        <sz val="11"/>
        <color indexed="16"/>
        <rFont val="Times New Roman"/>
        <family val="1"/>
      </rPr>
      <t xml:space="preserve"> • °F)</t>
    </r>
  </si>
  <si>
    <t>Alternatively, use Fig. 9-3 LMTD diagram</t>
  </si>
  <si>
    <t>71.3 • 1.0</t>
  </si>
  <si>
    <t>50,700/107.2</t>
  </si>
  <si>
    <t>465/30</t>
  </si>
  <si>
    <t>50,070/(5.58 • 30)</t>
  </si>
  <si>
    <t>(144 • 273000 • 3)/(3600 • 299 • 0.5945)</t>
  </si>
  <si>
    <t>(0.87 • 184)/0.51</t>
  </si>
  <si>
    <r>
      <t>Example 10-2 Part 1</t>
    </r>
    <r>
      <rPr>
        <sz val="11"/>
        <rFont val="Times New Roman"/>
        <family val="1"/>
      </rPr>
      <t xml:space="preserve"> -- Procedure for estimating transfer surface, plot area, and horsepower</t>
    </r>
  </si>
  <si>
    <r>
      <t>Using Fig 10-13 to find J Factor using N</t>
    </r>
    <r>
      <rPr>
        <vertAlign val="subscript"/>
        <sz val="11"/>
        <color indexed="16"/>
        <rFont val="Times New Roman"/>
        <family val="1"/>
      </rPr>
      <t xml:space="preserve">R </t>
    </r>
    <r>
      <rPr>
        <sz val="11"/>
        <color indexed="16"/>
        <rFont val="Times New Roman"/>
        <family val="1"/>
      </rPr>
      <t>= 314 from Part 1.</t>
    </r>
  </si>
  <si>
    <t>lb/hr-sq.ft. face area</t>
  </si>
  <si>
    <r>
      <t>ft</t>
    </r>
    <r>
      <rPr>
        <vertAlign val="superscript"/>
        <sz val="11"/>
        <color indexed="16"/>
        <rFont val="Times New Roman"/>
        <family val="1"/>
      </rPr>
      <t>2</t>
    </r>
  </si>
  <si>
    <r>
      <t>in. H</t>
    </r>
    <r>
      <rPr>
        <vertAlign val="subscript"/>
        <sz val="11"/>
        <color indexed="16"/>
        <rFont val="Times New Roman"/>
        <family val="1"/>
      </rPr>
      <t>2</t>
    </r>
    <r>
      <rPr>
        <sz val="11"/>
        <color indexed="16"/>
        <rFont val="Times New Roman"/>
        <family val="1"/>
      </rPr>
      <t>O/row of tubes</t>
    </r>
  </si>
  <si>
    <r>
      <t>in. H</t>
    </r>
    <r>
      <rPr>
        <vertAlign val="subscript"/>
        <sz val="11"/>
        <color indexed="16"/>
        <rFont val="Times New Roman"/>
        <family val="1"/>
      </rPr>
      <t>2</t>
    </r>
    <r>
      <rPr>
        <sz val="11"/>
        <color indexed="16"/>
        <rFont val="Times New Roman"/>
        <family val="1"/>
      </rPr>
      <t>O</t>
    </r>
  </si>
  <si>
    <t>Btu/(hr-degF-ft2)</t>
  </si>
  <si>
    <t>Avoid placing bank of coolers downwind from other heat gererating equipment.</t>
  </si>
  <si>
    <r>
      <t>ft</t>
    </r>
    <r>
      <rPr>
        <vertAlign val="superscript"/>
        <sz val="11"/>
        <rFont val="Times New Roman"/>
        <family val="1"/>
      </rPr>
      <t>2</t>
    </r>
    <r>
      <rPr>
        <sz val="11"/>
        <rFont val="Times New Roman"/>
        <family val="1"/>
      </rPr>
      <t xml:space="preserve"> of extended area</t>
    </r>
  </si>
  <si>
    <t>Use tension wrapped finned tubes for service below 400 deg F process fluid.</t>
  </si>
  <si>
    <r>
      <t>lb/(ft</t>
    </r>
    <r>
      <rPr>
        <vertAlign val="superscript"/>
        <sz val="11"/>
        <color indexed="16"/>
        <rFont val="Times New Roman"/>
        <family val="1"/>
      </rPr>
      <t>2</t>
    </r>
    <r>
      <rPr>
        <sz val="11"/>
        <color indexed="16"/>
        <rFont val="Times New Roman"/>
        <family val="1"/>
      </rPr>
      <t xml:space="preserve"> • sec)</t>
    </r>
  </si>
  <si>
    <t>Air face velocity is typically 600 SCF/min.</t>
  </si>
  <si>
    <t>Truck shippable air coolers do not exceed typically 15 ft X 45 ft</t>
  </si>
  <si>
    <r>
      <t>ΔP</t>
    </r>
    <r>
      <rPr>
        <vertAlign val="subscript"/>
        <sz val="11"/>
        <color indexed="16"/>
        <rFont val="Times New Roman"/>
        <family val="1"/>
      </rPr>
      <t>t</t>
    </r>
  </si>
  <si>
    <r>
      <t>Btu/(h • ft</t>
    </r>
    <r>
      <rPr>
        <vertAlign val="superscript"/>
        <sz val="11"/>
        <rFont val="Times New Roman"/>
        <family val="1"/>
      </rPr>
      <t>2</t>
    </r>
    <r>
      <rPr>
        <sz val="11"/>
        <rFont val="Times New Roman"/>
        <family val="1"/>
      </rPr>
      <t xml:space="preserve"> • °F)</t>
    </r>
  </si>
  <si>
    <r>
      <t>ΔP</t>
    </r>
    <r>
      <rPr>
        <vertAlign val="subscript"/>
        <sz val="11"/>
        <rFont val="Times New Roman"/>
        <family val="1"/>
      </rPr>
      <t>a</t>
    </r>
  </si>
  <si>
    <r>
      <t>ΔP</t>
    </r>
    <r>
      <rPr>
        <vertAlign val="subscript"/>
        <sz val="11"/>
        <rFont val="Times New Roman"/>
        <family val="1"/>
      </rPr>
      <t xml:space="preserve">a </t>
    </r>
    <r>
      <rPr>
        <sz val="11"/>
        <rFont val="Times New Roman"/>
        <family val="1"/>
      </rPr>
      <t>+ [ACFM/(4005 • ((π • D</t>
    </r>
    <r>
      <rPr>
        <vertAlign val="superscript"/>
        <sz val="11"/>
        <rFont val="Times New Roman"/>
        <family val="1"/>
      </rPr>
      <t>2</t>
    </r>
    <r>
      <rPr>
        <sz val="11"/>
        <rFont val="Times New Roman"/>
        <family val="1"/>
      </rPr>
      <t>)/4))]</t>
    </r>
    <r>
      <rPr>
        <vertAlign val="superscript"/>
        <sz val="11"/>
        <rFont val="Times New Roman"/>
        <family val="1"/>
      </rPr>
      <t>2</t>
    </r>
    <r>
      <rPr>
        <sz val="11"/>
        <rFont val="Times New Roman"/>
        <family val="1"/>
      </rPr>
      <t xml:space="preserve"> • D</t>
    </r>
    <r>
      <rPr>
        <vertAlign val="subscript"/>
        <sz val="11"/>
        <rFont val="Times New Roman"/>
        <family val="1"/>
      </rPr>
      <t>R</t>
    </r>
  </si>
  <si>
    <r>
      <t>[(4 • 93)/π]</t>
    </r>
    <r>
      <rPr>
        <vertAlign val="superscript"/>
        <sz val="11"/>
        <color indexed="16"/>
        <rFont val="Times New Roman"/>
        <family val="1"/>
      </rPr>
      <t>0.5</t>
    </r>
  </si>
  <si>
    <r>
      <t>ΔP</t>
    </r>
    <r>
      <rPr>
        <vertAlign val="subscript"/>
        <sz val="11"/>
        <color indexed="16"/>
        <rFont val="Times New Roman"/>
        <family val="1"/>
      </rPr>
      <t>a</t>
    </r>
  </si>
  <si>
    <r>
      <t>0.43 + [142261/(4005 • ((π • 11</t>
    </r>
    <r>
      <rPr>
        <vertAlign val="superscript"/>
        <sz val="11"/>
        <color indexed="16"/>
        <rFont val="Times New Roman"/>
        <family val="1"/>
      </rPr>
      <t>2</t>
    </r>
    <r>
      <rPr>
        <sz val="11"/>
        <color indexed="16"/>
        <rFont val="Times New Roman"/>
        <family val="1"/>
      </rPr>
      <t>)/4))]</t>
    </r>
    <r>
      <rPr>
        <vertAlign val="superscript"/>
        <sz val="11"/>
        <color indexed="16"/>
        <rFont val="Times New Roman"/>
        <family val="1"/>
      </rPr>
      <t>2</t>
    </r>
    <r>
      <rPr>
        <sz val="11"/>
        <color indexed="16"/>
        <rFont val="Times New Roman"/>
        <family val="1"/>
      </rPr>
      <t xml:space="preserve"> • 0.94</t>
    </r>
  </si>
  <si>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</si>
  <si>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Heat Release Curve</t>
  </si>
  <si>
    <t>Non-Linear</t>
  </si>
  <si>
    <t>ft2/ft2 (see Fig 10-11, for 6 rows, 5/8 high fins, 2-3/8 triangular tube pitch)</t>
  </si>
  <si>
    <t>Btu/hr-ft2-degF</t>
  </si>
  <si>
    <t>Ux</t>
  </si>
  <si>
    <t>Dimensionless.</t>
  </si>
  <si>
    <t>LMTD correction factor</t>
  </si>
  <si>
    <t>2. Determine the appropriate external area of fintube per sq.sf. of bundle area, APSF</t>
  </si>
  <si>
    <t>Air Cooler Thermal Parameters</t>
  </si>
  <si>
    <t>Ax</t>
  </si>
  <si>
    <t>Aa</t>
  </si>
  <si>
    <t>Wa</t>
  </si>
  <si>
    <t>t2, assumed</t>
  </si>
  <si>
    <t>t2,actual</t>
  </si>
  <si>
    <t>t2, Actual</t>
  </si>
  <si>
    <t>Air Cooler Dimensions</t>
  </si>
  <si>
    <t>Fan horsepower</t>
  </si>
  <si>
    <t>bhp per fan</t>
  </si>
  <si>
    <t>Fan Horsepower</t>
  </si>
  <si>
    <t>Phase</t>
  </si>
  <si>
    <t>Avereage Temperature</t>
  </si>
  <si>
    <t>Cp</t>
  </si>
  <si>
    <r>
      <t>W</t>
    </r>
    <r>
      <rPr>
        <vertAlign val="subscript"/>
        <sz val="11"/>
        <rFont val="Times New Roman"/>
        <family val="1"/>
      </rPr>
      <t>t</t>
    </r>
  </si>
  <si>
    <r>
      <t>T</t>
    </r>
    <r>
      <rPr>
        <vertAlign val="subscript"/>
        <sz val="11"/>
        <rFont val="Times New Roman"/>
        <family val="1"/>
      </rPr>
      <t>1</t>
    </r>
  </si>
  <si>
    <r>
      <t>T</t>
    </r>
    <r>
      <rPr>
        <vertAlign val="subscript"/>
        <sz val="11"/>
        <rFont val="Times New Roman"/>
        <family val="1"/>
      </rPr>
      <t>2</t>
    </r>
  </si>
  <si>
    <r>
      <t>r</t>
    </r>
    <r>
      <rPr>
        <vertAlign val="subscript"/>
        <sz val="11"/>
        <rFont val="Times New Roman"/>
        <family val="1"/>
      </rPr>
      <t>dt</t>
    </r>
  </si>
  <si>
    <r>
      <t>t</t>
    </r>
    <r>
      <rPr>
        <vertAlign val="subscript"/>
        <sz val="11"/>
        <rFont val="Times New Roman"/>
        <family val="1"/>
      </rPr>
      <t>1</t>
    </r>
  </si>
  <si>
    <t>Elevation</t>
  </si>
  <si>
    <r>
      <t>D</t>
    </r>
    <r>
      <rPr>
        <vertAlign val="subscript"/>
        <sz val="11"/>
        <rFont val="Times New Roman"/>
        <family val="1"/>
      </rPr>
      <t>R, air</t>
    </r>
  </si>
  <si>
    <t>Fans, forced draft</t>
  </si>
  <si>
    <t>OD (fintube)</t>
  </si>
  <si>
    <t>Fin height</t>
  </si>
  <si>
    <t>Np</t>
  </si>
  <si>
    <t>tube rows</t>
  </si>
  <si>
    <t>Air Cooler Design</t>
  </si>
  <si>
    <t>Operating Conditions</t>
  </si>
  <si>
    <r>
      <t xml:space="preserve">Example 10-1 -- </t>
    </r>
    <r>
      <rPr>
        <sz val="11"/>
        <rFont val="Times New Roman"/>
        <family val="1"/>
      </rPr>
      <t>Procedure for determining a rough, preliminary heat transfer surface area, required plot space, and fan power for an air-cooled exchanger</t>
    </r>
  </si>
  <si>
    <r>
      <t>D</t>
    </r>
    <r>
      <rPr>
        <vertAlign val="subscript"/>
        <sz val="11"/>
        <rFont val="Times New Roman"/>
        <family val="1"/>
      </rPr>
      <t>o</t>
    </r>
  </si>
  <si>
    <t>Bundle Layout</t>
  </si>
  <si>
    <r>
      <t>N</t>
    </r>
    <r>
      <rPr>
        <vertAlign val="subscript"/>
        <sz val="11"/>
        <rFont val="Times New Roman"/>
        <family val="1"/>
      </rPr>
      <t>P</t>
    </r>
  </si>
  <si>
    <t>Fig 10-10</t>
  </si>
  <si>
    <t>Hot side Δt</t>
  </si>
  <si>
    <t>Cold side Δt</t>
  </si>
  <si>
    <r>
      <t>F</t>
    </r>
    <r>
      <rPr>
        <vertAlign val="subscript"/>
        <sz val="11"/>
        <rFont val="Times New Roman"/>
        <family val="1"/>
      </rPr>
      <t>1</t>
    </r>
  </si>
  <si>
    <t>Dimensionless</t>
  </si>
  <si>
    <t>Surface Area</t>
  </si>
  <si>
    <t>Fig 10-14</t>
  </si>
  <si>
    <t>Fig 10-15</t>
  </si>
  <si>
    <t>Corrected Mean Temperature Difference</t>
  </si>
  <si>
    <t>Fig 9-4</t>
  </si>
  <si>
    <t>Tubeside Pressure Drop</t>
  </si>
  <si>
    <t>API</t>
  </si>
  <si>
    <t>°API</t>
  </si>
  <si>
    <t>Specific Gravity</t>
  </si>
  <si>
    <t>Fig 10-17</t>
  </si>
  <si>
    <r>
      <t>h</t>
    </r>
    <r>
      <rPr>
        <vertAlign val="subscript"/>
        <sz val="11"/>
        <rFont val="Times New Roman"/>
        <family val="1"/>
      </rPr>
      <t>a</t>
    </r>
  </si>
  <si>
    <t>Heat Transfer</t>
  </si>
  <si>
    <r>
      <t>U</t>
    </r>
    <r>
      <rPr>
        <vertAlign val="subscript"/>
        <sz val="11"/>
        <rFont val="Times New Roman"/>
        <family val="1"/>
      </rPr>
      <t>x</t>
    </r>
  </si>
  <si>
    <r>
      <t>If U</t>
    </r>
    <r>
      <rPr>
        <vertAlign val="subscript"/>
        <sz val="11"/>
        <rFont val="Times New Roman"/>
        <family val="1"/>
      </rPr>
      <t>x</t>
    </r>
    <r>
      <rPr>
        <sz val="11"/>
        <rFont val="Times New Roman"/>
        <family val="1"/>
      </rPr>
      <t xml:space="preserve"> calculated is equal or slightly greater than U</t>
    </r>
    <r>
      <rPr>
        <vertAlign val="subscript"/>
        <sz val="11"/>
        <rFont val="Times New Roman"/>
        <family val="1"/>
      </rPr>
      <t>x</t>
    </r>
    <r>
      <rPr>
        <sz val="11"/>
        <rFont val="Times New Roman"/>
        <family val="1"/>
      </rPr>
      <t xml:space="preserve"> assumed at beginning and calculated pressure drop is within allowable pressure drop, the solution is acceptable.  Otherwise repeat steps 1-15 assuming a new U</t>
    </r>
    <r>
      <rPr>
        <vertAlign val="subscript"/>
        <sz val="11"/>
        <rFont val="Times New Roman"/>
        <family val="1"/>
      </rPr>
      <t>x</t>
    </r>
    <r>
      <rPr>
        <sz val="11"/>
        <rFont val="Times New Roman"/>
        <family val="1"/>
      </rPr>
      <t xml:space="preserve"> between original assumed value and calculated value  </t>
    </r>
  </si>
  <si>
    <r>
      <t>ΔP</t>
    </r>
    <r>
      <rPr>
        <vertAlign val="subscript"/>
        <sz val="11"/>
        <rFont val="Times New Roman"/>
        <family val="1"/>
      </rPr>
      <t>t (allowable)</t>
    </r>
  </si>
  <si>
    <r>
      <t>solution is acceptable.  Otherwise repeat steps assuming a new U</t>
    </r>
    <r>
      <rPr>
        <vertAlign val="subscript"/>
        <sz val="11"/>
        <rFont val="Times New Roman"/>
        <family val="1"/>
      </rPr>
      <t>x</t>
    </r>
    <r>
      <rPr>
        <sz val="11"/>
        <rFont val="Times New Roman"/>
        <family val="1"/>
      </rPr>
      <t xml:space="preserve"> between original assumed value and calculated value.</t>
    </r>
  </si>
  <si>
    <t>Fan Calculations</t>
  </si>
  <si>
    <r>
      <t>T</t>
    </r>
    <r>
      <rPr>
        <vertAlign val="subscript"/>
        <sz val="11"/>
        <rFont val="Times New Roman"/>
        <family val="1"/>
      </rPr>
      <t>a, avg</t>
    </r>
  </si>
  <si>
    <r>
      <t>in. H</t>
    </r>
    <r>
      <rPr>
        <vertAlign val="subscript"/>
        <sz val="11"/>
        <rFont val="Times New Roman"/>
        <family val="1"/>
      </rPr>
      <t>2</t>
    </r>
    <r>
      <rPr>
        <sz val="11"/>
        <rFont val="Times New Roman"/>
        <family val="1"/>
      </rPr>
      <t>O/row of tubes</t>
    </r>
  </si>
  <si>
    <t>Fig 10-18</t>
  </si>
  <si>
    <r>
      <t>F</t>
    </r>
    <r>
      <rPr>
        <vertAlign val="subscript"/>
        <sz val="11"/>
        <rFont val="Times New Roman"/>
        <family val="1"/>
      </rPr>
      <t>p</t>
    </r>
  </si>
  <si>
    <t>Fig 10-16</t>
  </si>
  <si>
    <r>
      <t>D</t>
    </r>
    <r>
      <rPr>
        <vertAlign val="subscript"/>
        <sz val="11"/>
        <rFont val="Times New Roman"/>
        <family val="1"/>
      </rPr>
      <t>R</t>
    </r>
  </si>
  <si>
    <t>Data to be collected subsequent to with Surface Area calculations</t>
  </si>
  <si>
    <r>
      <t>in. H</t>
    </r>
    <r>
      <rPr>
        <vertAlign val="subscript"/>
        <sz val="11"/>
        <rFont val="Times New Roman"/>
        <family val="1"/>
      </rPr>
      <t>2</t>
    </r>
    <r>
      <rPr>
        <sz val="11"/>
        <rFont val="Times New Roman"/>
        <family val="1"/>
      </rPr>
      <t>O</t>
    </r>
  </si>
  <si>
    <t>Fin Height</t>
  </si>
  <si>
    <t>ACFM Total</t>
  </si>
  <si>
    <t>ACFM per Fan</t>
  </si>
  <si>
    <t>Actual Air Volume</t>
  </si>
  <si>
    <t>Fan Motor Speed Reducer Efficiency</t>
  </si>
  <si>
    <t xml:space="preserve"> Fan Motor hp</t>
  </si>
  <si>
    <t>Tube Suface Area</t>
  </si>
  <si>
    <t>Extended Tube Surface Area</t>
  </si>
  <si>
    <r>
      <t>Example 10-2 Part 2</t>
    </r>
    <r>
      <rPr>
        <sz val="11"/>
        <rFont val="Times New Roman"/>
        <family val="1"/>
      </rPr>
      <t xml:space="preserve"> -- Procedure for estimating transfer surface, plot area, and horsepower</t>
    </r>
  </si>
  <si>
    <r>
      <t>Example 10-2 Parts 1 &amp; 2</t>
    </r>
    <r>
      <rPr>
        <sz val="11"/>
        <rFont val="Times New Roman"/>
        <family val="1"/>
      </rPr>
      <t xml:space="preserve"> -- Procedure for estimating transfer surface, plot area, and horsepower</t>
    </r>
  </si>
  <si>
    <t xml:space="preserve">Change until it agrees with t2, actual.  </t>
  </si>
  <si>
    <r>
      <t xml:space="preserve">tube-side film coefficient based on inside tube area, Btu/(h • sq ft • </t>
    </r>
    <r>
      <rPr>
        <sz val="10"/>
        <rFont val="Calibri"/>
        <family val="2"/>
      </rPr>
      <t>°</t>
    </r>
    <r>
      <rPr>
        <sz val="10"/>
        <rFont val="Times New Roman"/>
        <family val="1"/>
      </rPr>
      <t>F)</t>
    </r>
  </si>
  <si>
    <t>tube-side mass velocity, lb/(sq ft • s)</t>
  </si>
  <si>
    <r>
      <t xml:space="preserve">air-side film coefficient, Btu/(h • sq ft • </t>
    </r>
    <r>
      <rPr>
        <sz val="10"/>
        <rFont val="Calibri"/>
        <family val="2"/>
      </rPr>
      <t>°</t>
    </r>
    <r>
      <rPr>
        <sz val="10"/>
        <rFont val="Times New Roman"/>
        <family val="1"/>
      </rPr>
      <t>F)</t>
    </r>
  </si>
  <si>
    <r>
      <t xml:space="preserve">shell-side film coefficient based on outside tube area, Btu/(h • sq ft • </t>
    </r>
    <r>
      <rPr>
        <sz val="10"/>
        <rFont val="Calibri"/>
        <family val="2"/>
      </rPr>
      <t>°</t>
    </r>
    <r>
      <rPr>
        <sz val="10"/>
        <rFont val="Times New Roman"/>
        <family val="1"/>
      </rPr>
      <t>F)</t>
    </r>
  </si>
  <si>
    <r>
      <t xml:space="preserve">temperature air-side, </t>
    </r>
    <r>
      <rPr>
        <sz val="10"/>
        <rFont val="Calibri"/>
        <family val="2"/>
      </rPr>
      <t>°</t>
    </r>
    <r>
      <rPr>
        <sz val="10"/>
        <rFont val="Times New Roman"/>
        <family val="1"/>
      </rPr>
      <t>F</t>
    </r>
  </si>
  <si>
    <r>
      <t xml:space="preserve">temperature tube-side, </t>
    </r>
    <r>
      <rPr>
        <sz val="10"/>
        <rFont val="Calibri"/>
        <family val="2"/>
      </rPr>
      <t>°</t>
    </r>
    <r>
      <rPr>
        <sz val="10"/>
        <rFont val="Times New Roman"/>
        <family val="1"/>
      </rPr>
      <t>F</t>
    </r>
  </si>
  <si>
    <t>air-side</t>
  </si>
  <si>
    <t>shell-side</t>
  </si>
  <si>
    <t>tube-side</t>
  </si>
  <si>
    <r>
      <t>4.  Calculate A</t>
    </r>
    <r>
      <rPr>
        <vertAlign val="subscript"/>
        <sz val="11"/>
        <color indexed="16"/>
        <rFont val="Times New Roman"/>
        <family val="1"/>
      </rPr>
      <t>X</t>
    </r>
  </si>
  <si>
    <t>7. Calculate the air-side mass flow rate (Wa, lb/hr) using Aa and based on a typical face velocity of 600 Std. ft/min.</t>
  </si>
  <si>
    <t>FIG. 10-1</t>
  </si>
  <si>
    <t>GPSA Engineering Data Book 14th Edition</t>
  </si>
  <si>
    <t>REVISION</t>
  </si>
  <si>
    <t>DATE</t>
  </si>
  <si>
    <t>REASON(S) FOR REVISION</t>
  </si>
  <si>
    <t xml:space="preserve">Initial release </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</si>
  <si>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</si>
  <si>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</si>
  <si>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reference to or reliance on the information in this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</si>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</sst>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
    <numFmt numFmtId="165" formatCode="0.0"/>
  </numFmts>
  <fonts count="25" x14ac:knownFonts="1">
    <font>
      <sz val="11"/>
      <color theme="1"/>
      <name val="Calibri"/>
      <family val="2"/>
      <scheme val="minor"/>
    </font>
    <font>
      <sz val="10"/>
      <name val="Times New Roman"/>
      <family val="1"/>
    </font>
    <font>
      <vertAlign val="subscript"/>
      <sz val="10"/>
      <name val="Times New Roman"/>
      <family val="1"/>
    </font>
    <font>
      <sz val="10"/>
      <name val="Calibri"/>
      <family val="2"/>
    </font>
    <font>
      <vertAlign val="superscript"/>
      <sz val="10"/>
      <name val="Times New Roman"/>
      <family val="1"/>
    </font>
    <font>
      <b/>
      <sz val="10"/>
      <name val="Times New Roman"/>
      <family val="1"/>
    </font>
    <font>
      <b/>
      <sz val="11"/>
      <name val="Times New Roman"/>
      <family val="1"/>
    </font>
    <font>
      <sz val="11"/>
      <name val="Times New Roman"/>
      <family val="1"/>
    </font>
    <font>
      <sz val="11"/>
      <color indexed="18"/>
      <name val="Times New Roman"/>
      <family val="1"/>
    </font>
    <font>
      <sz val="11"/>
      <color indexed="16"/>
      <name val="Times New Roman"/>
      <family val="1"/>
    </font>
    <font>
      <b/>
      <sz val="11"/>
      <color indexed="16"/>
      <name val="Times New Roman"/>
      <family val="1"/>
    </font>
    <font>
      <b/>
      <sz val="11"/>
      <color indexed="18"/>
      <name val="Times New Roman"/>
      <family val="1"/>
    </font>
    <font>
      <sz val="10"/>
      <color indexed="18"/>
      <name val="Times New Roman"/>
      <family val="1"/>
    </font>
    <font>
      <sz val="11"/>
      <color theme="5" tint="-0.249977111117893"/>
      <name val="Times New Roman"/>
      <family val="1"/>
    </font>
    <font>
      <b/>
      <sz val="11"/>
      <color theme="5" tint="-0.249977111117893"/>
      <name val="Times New Roman"/>
      <family val="1"/>
    </font>
    <font>
      <sz val="11"/>
      <color theme="1"/>
      <name val="Calibri"/>
      <family val="2"/>
      <scheme val="minor"/>
    </font>
    <font>
      <vertAlign val="subscript"/>
      <sz val="11"/>
      <name val="Times New Roman"/>
      <family val="1"/>
    </font>
    <font>
      <sz val="11"/>
      <color rgb="FFFF0000"/>
      <name val="Times New Roman"/>
      <family val="1"/>
    </font>
    <font>
      <vertAlign val="superscript"/>
      <sz val="11"/>
      <name val="Times New Roman"/>
      <family val="1"/>
    </font>
    <font>
      <b/>
      <u/>
      <sz val="11"/>
      <color indexed="16"/>
      <name val="Times New Roman"/>
      <family val="1"/>
    </font>
    <font>
      <vertAlign val="subscript"/>
      <sz val="11"/>
      <color indexed="16"/>
      <name val="Times New Roman"/>
      <family val="1"/>
    </font>
    <font>
      <vertAlign val="superscript"/>
      <sz val="11"/>
      <color indexed="16"/>
      <name val="Times New Roman"/>
      <family val="1"/>
    </font>
    <font>
      <sz val="11"/>
      <color theme="1"/>
      <name val="Times New Roman"/>
      <family val="1"/>
    </font>
    <font>
      <b/>
      <sz val="11"/>
      <color theme="1"/>
      <name val="Times New Roman"/>
      <family val="1"/>
    </font>
    <font>
      <sz val="11"/>
      <color rgb="FFC00000"/>
      <name val="Times New Roman"/>
      <family val="1"/>
    </font>
  </fonts>
  <fills count="5">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0" tint="-0.14999847407452621"/>
        <bgColor indexed="64"/>
      </patternFill>
    </fill>
  </fills>
  <borders count="5">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5" fillId="0" borderId="0" applyFont="0" applyFill="0" applyBorder="0" applyAlignment="0" applyProtection="0"/>
    <xf numFmtId="9" fontId="15" fillId="0" borderId="0" applyFont="0" applyFill="0" applyBorder="0" applyAlignment="0" applyProtection="0"/>
  </cellStyleXfs>
  <cellXfs count="201">
    <xf numFmtId="0" fontId="0" fillId="0" borderId="0" xfId="0"/>
    <xf numFmtId="0" fontId="7" fillId="3" borderId="0" xfId="0" applyFont="1" applyFill="1" applyBorder="1" applyAlignment="1" applyProtection="1">
      <alignment horizontal="center"/>
      <protection locked="0"/>
    </xf>
    <xf numFmtId="3" fontId="7" fillId="3" borderId="0" xfId="0" applyNumberFormat="1" applyFont="1" applyFill="1" applyBorder="1" applyAlignment="1" applyProtection="1">
      <alignment horizontal="center"/>
      <protection locked="0"/>
    </xf>
    <xf numFmtId="0" fontId="7" fillId="3" borderId="0" xfId="0" applyFont="1" applyFill="1" applyBorder="1" applyAlignment="1" applyProtection="1">
      <alignment horizontal="center" vertical="center"/>
      <protection locked="0"/>
    </xf>
    <xf numFmtId="39" fontId="7" fillId="3" borderId="0" xfId="1" applyNumberFormat="1" applyFont="1" applyFill="1" applyBorder="1" applyAlignment="1" applyProtection="1">
      <alignment horizontal="center" vertical="center"/>
      <protection locked="0"/>
    </xf>
    <xf numFmtId="0" fontId="7" fillId="3" borderId="0" xfId="0" applyFont="1" applyFill="1" applyBorder="1" applyAlignment="1" applyProtection="1">
      <alignment horizontal="left"/>
      <protection locked="0"/>
    </xf>
    <xf numFmtId="165" fontId="7" fillId="3" borderId="0" xfId="0" applyNumberFormat="1" applyFont="1" applyFill="1" applyBorder="1" applyAlignment="1" applyProtection="1">
      <alignment horizontal="center" vertical="center"/>
      <protection locked="0"/>
    </xf>
    <xf numFmtId="3" fontId="7" fillId="3" borderId="0" xfId="0" applyNumberFormat="1" applyFont="1" applyFill="1" applyBorder="1" applyAlignment="1" applyProtection="1">
      <alignment horizontal="center" vertical="center"/>
      <protection locked="0"/>
    </xf>
    <xf numFmtId="2" fontId="7" fillId="3" borderId="0" xfId="0" applyNumberFormat="1" applyFont="1" applyFill="1" applyBorder="1" applyAlignment="1" applyProtection="1">
      <alignment horizontal="center" vertical="center"/>
      <protection locked="0"/>
    </xf>
    <xf numFmtId="2" fontId="7" fillId="3" borderId="0" xfId="0" applyNumberFormat="1" applyFont="1" applyFill="1" applyBorder="1" applyAlignment="1" applyProtection="1">
      <alignment horizontal="center"/>
      <protection locked="0"/>
    </xf>
    <xf numFmtId="1" fontId="7" fillId="3" borderId="0" xfId="0" applyNumberFormat="1" applyFont="1" applyFill="1" applyBorder="1" applyAlignment="1" applyProtection="1">
      <alignment horizontal="center" vertical="center"/>
      <protection locked="0"/>
    </xf>
    <xf numFmtId="37" fontId="7" fillId="3" borderId="0" xfId="1" applyNumberFormat="1" applyFont="1" applyFill="1" applyBorder="1" applyAlignment="1" applyProtection="1">
      <alignment horizontal="center" vertical="center"/>
      <protection locked="0"/>
    </xf>
    <xf numFmtId="0" fontId="7" fillId="0" borderId="0" xfId="0" applyFont="1" applyAlignment="1" applyProtection="1">
      <alignment horizontal="center"/>
    </xf>
    <xf numFmtId="0" fontId="7" fillId="3" borderId="0" xfId="0" applyNumberFormat="1" applyFont="1" applyFill="1" applyBorder="1" applyAlignment="1" applyProtection="1">
      <alignment horizontal="center"/>
      <protection locked="0"/>
    </xf>
    <xf numFmtId="0" fontId="7" fillId="3" borderId="0"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horizontal="center"/>
      <protection locked="0"/>
    </xf>
    <xf numFmtId="0" fontId="9" fillId="0" borderId="0" xfId="0" applyFont="1" applyFill="1" applyBorder="1" applyAlignment="1" applyProtection="1">
      <alignment horizontal="center"/>
      <protection locked="0"/>
    </xf>
    <xf numFmtId="0" fontId="7" fillId="0" borderId="0" xfId="0" applyFont="1" applyProtection="1"/>
    <xf numFmtId="0" fontId="1" fillId="0" borderId="0" xfId="0" applyFont="1" applyProtection="1"/>
    <xf numFmtId="0" fontId="0" fillId="0" borderId="0" xfId="0" applyProtection="1"/>
    <xf numFmtId="0" fontId="5" fillId="4" borderId="4" xfId="0" applyFont="1" applyFill="1" applyBorder="1" applyAlignment="1" applyProtection="1">
      <alignment horizontal="center"/>
    </xf>
    <xf numFmtId="0" fontId="5" fillId="4" borderId="4" xfId="0" applyFont="1" applyFill="1" applyBorder="1" applyAlignment="1" applyProtection="1">
      <alignment horizontal="left"/>
    </xf>
    <xf numFmtId="0" fontId="7" fillId="0" borderId="4" xfId="0" applyFont="1" applyBorder="1" applyAlignment="1" applyProtection="1">
      <alignment horizontal="center"/>
    </xf>
    <xf numFmtId="14" fontId="7" fillId="0" borderId="4" xfId="0" applyNumberFormat="1" applyFont="1" applyBorder="1" applyAlignment="1" applyProtection="1">
      <alignment horizontal="center"/>
    </xf>
    <xf numFmtId="0" fontId="7" fillId="0" borderId="4" xfId="0" applyFont="1" applyBorder="1" applyProtection="1"/>
    <xf numFmtId="0" fontId="1" fillId="0" borderId="4" xfId="0" applyFont="1" applyBorder="1" applyProtection="1"/>
    <xf numFmtId="0" fontId="0" fillId="0" borderId="0" xfId="0" applyAlignment="1" applyProtection="1">
      <alignment horizontal="center" vertical="top"/>
    </xf>
    <xf numFmtId="0" fontId="1" fillId="0" borderId="0" xfId="0" applyFont="1" applyAlignment="1" applyProtection="1">
      <alignment vertical="top" wrapText="1"/>
    </xf>
    <xf numFmtId="0" fontId="1" fillId="0" borderId="0" xfId="0" applyFont="1" applyAlignment="1" applyProtection="1">
      <alignment horizontal="center" vertical="top"/>
    </xf>
    <xf numFmtId="0" fontId="6" fillId="0" borderId="0" xfId="0" applyFont="1" applyAlignment="1" applyProtection="1">
      <alignment horizontal="center" vertical="top" wrapText="1"/>
    </xf>
    <xf numFmtId="0" fontId="22" fillId="0" borderId="0" xfId="0" applyFont="1" applyAlignment="1" applyProtection="1">
      <alignment horizontal="center"/>
    </xf>
    <xf numFmtId="0" fontId="6" fillId="0" borderId="1" xfId="0" applyFont="1" applyBorder="1" applyAlignment="1" applyProtection="1">
      <alignment horizontal="center" vertical="top" wrapText="1"/>
    </xf>
    <xf numFmtId="0" fontId="22" fillId="0" borderId="1" xfId="0" applyFont="1" applyBorder="1" applyAlignment="1" applyProtection="1">
      <alignment horizontal="center"/>
    </xf>
    <xf numFmtId="0" fontId="3" fillId="0" borderId="0" xfId="0" applyFont="1" applyAlignment="1" applyProtection="1">
      <alignment horizontal="center" vertical="top"/>
    </xf>
    <xf numFmtId="0" fontId="1" fillId="0" borderId="0" xfId="0" applyFont="1" applyAlignment="1" applyProtection="1">
      <alignment vertical="top"/>
    </xf>
    <xf numFmtId="0" fontId="5" fillId="0" borderId="0" xfId="0" applyFont="1" applyAlignment="1" applyProtection="1">
      <alignment horizontal="left" vertical="top"/>
    </xf>
    <xf numFmtId="0" fontId="7" fillId="0" borderId="0" xfId="0" applyFont="1" applyProtection="1">
      <protection locked="0"/>
    </xf>
    <xf numFmtId="0" fontId="7" fillId="0" borderId="0" xfId="0" applyFont="1" applyAlignment="1" applyProtection="1">
      <alignment horizontal="center"/>
      <protection locked="0"/>
    </xf>
    <xf numFmtId="0" fontId="7" fillId="0" borderId="0" xfId="0" applyFont="1" applyAlignment="1" applyProtection="1">
      <alignment horizontal="left"/>
      <protection locked="0"/>
    </xf>
    <xf numFmtId="0" fontId="6" fillId="3" borderId="0"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protection locked="0"/>
    </xf>
    <xf numFmtId="0" fontId="7" fillId="3" borderId="0" xfId="0" applyFont="1" applyFill="1" applyBorder="1" applyAlignment="1" applyProtection="1">
      <alignment horizontal="right"/>
      <protection locked="0"/>
    </xf>
    <xf numFmtId="43" fontId="7" fillId="0" borderId="0" xfId="1" applyFont="1" applyAlignment="1" applyProtection="1">
      <alignment horizontal="center"/>
      <protection locked="0"/>
    </xf>
    <xf numFmtId="0" fontId="6" fillId="3" borderId="0" xfId="0" applyFont="1" applyFill="1" applyBorder="1" applyAlignment="1" applyProtection="1">
      <alignment horizontal="center"/>
      <protection locked="0"/>
    </xf>
    <xf numFmtId="0" fontId="7" fillId="3" borderId="0" xfId="0" applyFont="1" applyFill="1" applyBorder="1" applyAlignment="1" applyProtection="1">
      <alignment horizontal="left" vertical="center"/>
      <protection locked="0"/>
    </xf>
    <xf numFmtId="0" fontId="7" fillId="3" borderId="0" xfId="0" applyFont="1" applyFill="1" applyBorder="1" applyAlignment="1" applyProtection="1">
      <alignment horizontal="right" vertical="center"/>
      <protection locked="0"/>
    </xf>
    <xf numFmtId="164" fontId="7" fillId="3" borderId="0" xfId="0" applyNumberFormat="1" applyFont="1" applyFill="1" applyBorder="1" applyAlignment="1" applyProtection="1">
      <alignment horizontal="center"/>
      <protection locked="0"/>
    </xf>
    <xf numFmtId="0" fontId="7" fillId="3" borderId="0" xfId="0" applyFont="1" applyFill="1" applyBorder="1" applyAlignment="1" applyProtection="1">
      <alignment horizontal="right" vertical="center" wrapText="1"/>
      <protection locked="0"/>
    </xf>
    <xf numFmtId="0" fontId="7" fillId="3" borderId="0" xfId="0" applyFont="1" applyFill="1" applyBorder="1" applyAlignment="1" applyProtection="1">
      <alignment vertical="center" wrapText="1"/>
      <protection locked="0"/>
    </xf>
    <xf numFmtId="0" fontId="7" fillId="3" borderId="0"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center" vertical="center"/>
      <protection locked="0"/>
    </xf>
    <xf numFmtId="0" fontId="7" fillId="0" borderId="0" xfId="0" applyFont="1" applyAlignment="1" applyProtection="1">
      <alignment horizontal="right"/>
      <protection locked="0"/>
    </xf>
    <xf numFmtId="0" fontId="6" fillId="3" borderId="3" xfId="0" applyFont="1" applyFill="1" applyBorder="1" applyAlignment="1" applyProtection="1">
      <alignment horizontal="left"/>
      <protection locked="0"/>
    </xf>
    <xf numFmtId="0" fontId="7" fillId="3" borderId="3" xfId="0" applyFont="1" applyFill="1" applyBorder="1" applyAlignment="1" applyProtection="1">
      <alignment horizontal="center"/>
      <protection locked="0"/>
    </xf>
    <xf numFmtId="0" fontId="7" fillId="3" borderId="3" xfId="0" applyFont="1" applyFill="1" applyBorder="1" applyAlignment="1" applyProtection="1">
      <alignment horizontal="left"/>
      <protection locked="0"/>
    </xf>
    <xf numFmtId="164" fontId="7" fillId="3" borderId="3" xfId="0" applyNumberFormat="1" applyFont="1" applyFill="1" applyBorder="1" applyAlignment="1" applyProtection="1">
      <alignment horizontal="center"/>
      <protection locked="0"/>
    </xf>
    <xf numFmtId="0" fontId="7" fillId="3"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protection locked="0"/>
    </xf>
    <xf numFmtId="0" fontId="13" fillId="0" borderId="0" xfId="0" applyFont="1" applyFill="1" applyBorder="1" applyAlignment="1" applyProtection="1">
      <alignment horizontal="left"/>
      <protection locked="0"/>
    </xf>
    <xf numFmtId="165" fontId="13" fillId="0" borderId="0" xfId="0" applyNumberFormat="1" applyFont="1" applyFill="1" applyBorder="1" applyAlignment="1" applyProtection="1">
      <alignment horizontal="center"/>
      <protection locked="0"/>
    </xf>
    <xf numFmtId="164" fontId="13" fillId="0" borderId="0" xfId="0" applyNumberFormat="1" applyFont="1" applyFill="1" applyBorder="1" applyAlignment="1" applyProtection="1">
      <alignment horizontal="center"/>
      <protection locked="0"/>
    </xf>
    <xf numFmtId="164" fontId="14" fillId="0" borderId="0" xfId="0" applyNumberFormat="1" applyFont="1" applyFill="1" applyBorder="1" applyAlignment="1" applyProtection="1">
      <alignment horizontal="center"/>
      <protection locked="0"/>
    </xf>
    <xf numFmtId="0" fontId="13" fillId="0" borderId="0" xfId="0" applyFont="1" applyFill="1" applyBorder="1" applyAlignment="1" applyProtection="1">
      <alignment horizontal="right"/>
      <protection locked="0"/>
    </xf>
    <xf numFmtId="0" fontId="13" fillId="0" borderId="0" xfId="0" applyFont="1" applyFill="1" applyBorder="1" applyAlignment="1" applyProtection="1">
      <alignment horizontal="center"/>
      <protection locked="0"/>
    </xf>
    <xf numFmtId="1" fontId="13" fillId="0" borderId="0" xfId="0" applyNumberFormat="1" applyFont="1" applyFill="1" applyBorder="1" applyAlignment="1" applyProtection="1">
      <alignment horizontal="center"/>
      <protection locked="0"/>
    </xf>
    <xf numFmtId="0" fontId="9" fillId="0" borderId="0" xfId="0" applyFont="1" applyFill="1" applyBorder="1" applyAlignment="1" applyProtection="1">
      <alignment horizontal="left"/>
      <protection locked="0"/>
    </xf>
    <xf numFmtId="0" fontId="9" fillId="0" borderId="0" xfId="0" applyFont="1" applyFill="1" applyBorder="1" applyAlignment="1" applyProtection="1">
      <alignment horizontal="left"/>
      <protection locked="0"/>
    </xf>
    <xf numFmtId="165" fontId="9" fillId="0" borderId="0" xfId="0" applyNumberFormat="1" applyFont="1" applyFill="1" applyBorder="1" applyAlignment="1" applyProtection="1">
      <alignment horizontal="center"/>
      <protection locked="0"/>
    </xf>
    <xf numFmtId="164" fontId="9" fillId="0" borderId="0" xfId="0" applyNumberFormat="1" applyFont="1" applyFill="1" applyBorder="1" applyAlignment="1" applyProtection="1">
      <alignment horizontal="center"/>
      <protection locked="0"/>
    </xf>
    <xf numFmtId="164" fontId="10" fillId="0" borderId="0" xfId="0" applyNumberFormat="1" applyFont="1" applyFill="1" applyBorder="1" applyAlignment="1" applyProtection="1">
      <alignment horizontal="center"/>
      <protection locked="0"/>
    </xf>
    <xf numFmtId="0" fontId="24" fillId="0" borderId="0" xfId="0" applyFont="1" applyFill="1" applyProtection="1">
      <protection locked="0"/>
    </xf>
    <xf numFmtId="1" fontId="9" fillId="0" borderId="0" xfId="0" applyNumberFormat="1" applyFont="1" applyFill="1" applyBorder="1" applyAlignment="1" applyProtection="1">
      <alignment horizontal="center"/>
      <protection locked="0"/>
    </xf>
    <xf numFmtId="0" fontId="13" fillId="0" borderId="0" xfId="0" applyFont="1" applyFill="1" applyBorder="1" applyAlignment="1" applyProtection="1">
      <alignment horizontal="center"/>
      <protection locked="0"/>
    </xf>
    <xf numFmtId="0" fontId="24" fillId="0" borderId="0" xfId="0" applyFont="1" applyProtection="1">
      <protection locked="0"/>
    </xf>
    <xf numFmtId="0" fontId="9" fillId="0" borderId="0" xfId="0" applyFont="1" applyFill="1" applyBorder="1" applyAlignment="1" applyProtection="1">
      <alignment horizontal="right"/>
      <protection locked="0"/>
    </xf>
    <xf numFmtId="0" fontId="13" fillId="0" borderId="0" xfId="0" applyNumberFormat="1" applyFont="1" applyFill="1" applyBorder="1" applyAlignment="1" applyProtection="1">
      <alignment horizontal="center"/>
      <protection locked="0"/>
    </xf>
    <xf numFmtId="0" fontId="9" fillId="0" borderId="0" xfId="0" applyNumberFormat="1" applyFont="1" applyFill="1" applyBorder="1" applyAlignment="1" applyProtection="1">
      <alignment horizontal="center"/>
      <protection locked="0"/>
    </xf>
    <xf numFmtId="0" fontId="13" fillId="0" borderId="0" xfId="0" applyFont="1" applyFill="1" applyBorder="1" applyAlignment="1" applyProtection="1">
      <alignment horizontal="left" vertical="center" wrapText="1"/>
      <protection locked="0"/>
    </xf>
    <xf numFmtId="2" fontId="13" fillId="0" borderId="0" xfId="0" applyNumberFormat="1" applyFont="1" applyFill="1" applyBorder="1" applyAlignment="1" applyProtection="1">
      <alignment horizontal="center"/>
      <protection locked="0"/>
    </xf>
    <xf numFmtId="0" fontId="9" fillId="0" borderId="0"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top" wrapText="1"/>
      <protection locked="0"/>
    </xf>
    <xf numFmtId="2" fontId="9" fillId="0" borderId="0" xfId="0" applyNumberFormat="1" applyFont="1" applyFill="1" applyBorder="1" applyAlignment="1" applyProtection="1">
      <alignment horizontal="center"/>
      <protection locked="0"/>
    </xf>
    <xf numFmtId="0" fontId="9"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right" vertical="center"/>
      <protection locked="0"/>
    </xf>
    <xf numFmtId="0" fontId="13" fillId="0" borderId="0" xfId="0" applyFont="1" applyFill="1" applyBorder="1" applyAlignment="1" applyProtection="1">
      <alignment horizontal="center" vertical="center"/>
      <protection locked="0"/>
    </xf>
    <xf numFmtId="165" fontId="13" fillId="0" borderId="0" xfId="0" applyNumberFormat="1" applyFont="1" applyFill="1" applyBorder="1" applyAlignment="1" applyProtection="1">
      <alignment horizontal="center" vertical="center"/>
      <protection locked="0"/>
    </xf>
    <xf numFmtId="0" fontId="13" fillId="0" borderId="0" xfId="0" applyNumberFormat="1" applyFont="1" applyFill="1" applyBorder="1" applyAlignment="1" applyProtection="1">
      <alignment horizontal="center" vertical="center"/>
      <protection locked="0"/>
    </xf>
    <xf numFmtId="164" fontId="14" fillId="0" borderId="0" xfId="0" applyNumberFormat="1" applyFont="1" applyFill="1" applyBorder="1" applyAlignment="1" applyProtection="1">
      <alignment horizontal="center" vertical="center" wrapText="1"/>
      <protection locked="0"/>
    </xf>
    <xf numFmtId="0" fontId="9" fillId="0" borderId="0" xfId="0" applyFont="1" applyFill="1" applyBorder="1" applyAlignment="1" applyProtection="1">
      <alignment horizontal="right" vertical="center"/>
      <protection locked="0"/>
    </xf>
    <xf numFmtId="0" fontId="9" fillId="0" borderId="0" xfId="0" applyFont="1" applyFill="1" applyBorder="1" applyAlignment="1" applyProtection="1">
      <alignment horizontal="center" vertical="center"/>
      <protection locked="0"/>
    </xf>
    <xf numFmtId="165" fontId="9" fillId="0" borderId="0" xfId="0" applyNumberFormat="1" applyFont="1" applyFill="1" applyBorder="1" applyAlignment="1" applyProtection="1">
      <alignment horizontal="center" vertical="center"/>
      <protection locked="0"/>
    </xf>
    <xf numFmtId="0" fontId="9" fillId="0" borderId="0" xfId="0" applyNumberFormat="1" applyFont="1" applyFill="1" applyBorder="1" applyAlignment="1" applyProtection="1">
      <alignment horizontal="center" vertical="center"/>
      <protection locked="0"/>
    </xf>
    <xf numFmtId="164" fontId="10"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right"/>
      <protection locked="0"/>
    </xf>
    <xf numFmtId="0" fontId="8" fillId="0" borderId="0" xfId="0" applyFont="1" applyFill="1" applyBorder="1" applyAlignment="1" applyProtection="1">
      <alignment horizontal="center"/>
      <protection locked="0"/>
    </xf>
    <xf numFmtId="3" fontId="8" fillId="0" borderId="0" xfId="0" applyNumberFormat="1" applyFont="1" applyFill="1" applyBorder="1" applyAlignment="1" applyProtection="1">
      <alignment horizontal="center"/>
      <protection locked="0"/>
    </xf>
    <xf numFmtId="165" fontId="11" fillId="0" borderId="0" xfId="0" applyNumberFormat="1" applyFont="1" applyFill="1" applyBorder="1" applyAlignment="1" applyProtection="1">
      <alignment horizontal="center"/>
      <protection locked="0"/>
    </xf>
    <xf numFmtId="164" fontId="11" fillId="0" borderId="0" xfId="0" applyNumberFormat="1" applyFont="1" applyFill="1" applyBorder="1" applyAlignment="1" applyProtection="1">
      <alignment horizontal="center"/>
      <protection locked="0"/>
    </xf>
    <xf numFmtId="3" fontId="8" fillId="0" borderId="0" xfId="0" applyNumberFormat="1" applyFont="1" applyFill="1" applyBorder="1" applyAlignment="1" applyProtection="1">
      <protection locked="0"/>
    </xf>
    <xf numFmtId="1" fontId="8" fillId="0" borderId="0" xfId="0" applyNumberFormat="1" applyFont="1" applyFill="1" applyBorder="1" applyAlignment="1" applyProtection="1">
      <alignment horizontal="center"/>
      <protection locked="0"/>
    </xf>
    <xf numFmtId="0" fontId="12" fillId="0" borderId="0" xfId="0" applyFont="1" applyFill="1" applyBorder="1" applyAlignment="1" applyProtection="1">
      <alignment horizontal="left"/>
      <protection locked="0"/>
    </xf>
    <xf numFmtId="0" fontId="7" fillId="0" borderId="0" xfId="0" applyFont="1" applyFill="1" applyBorder="1" applyAlignment="1" applyProtection="1">
      <alignment horizontal="left"/>
      <protection locked="0"/>
    </xf>
    <xf numFmtId="0" fontId="7" fillId="0" borderId="0" xfId="0" applyFont="1" applyFill="1" applyBorder="1" applyAlignment="1" applyProtection="1">
      <alignment horizontal="center"/>
      <protection locked="0"/>
    </xf>
    <xf numFmtId="0" fontId="7" fillId="0" borderId="0" xfId="0" applyFont="1" applyFill="1" applyBorder="1" applyProtection="1">
      <protection locked="0"/>
    </xf>
    <xf numFmtId="0" fontId="6" fillId="2" borderId="0" xfId="0" applyFont="1" applyFill="1" applyBorder="1" applyAlignment="1" applyProtection="1">
      <alignment horizontal="left" vertical="top" wrapText="1"/>
    </xf>
    <xf numFmtId="0" fontId="7" fillId="2" borderId="0" xfId="0" applyFont="1" applyFill="1" applyBorder="1" applyAlignment="1" applyProtection="1">
      <alignment horizontal="center"/>
    </xf>
    <xf numFmtId="0" fontId="6" fillId="2" borderId="0" xfId="0" applyFont="1" applyFill="1" applyBorder="1" applyAlignment="1" applyProtection="1">
      <alignment horizontal="left"/>
    </xf>
    <xf numFmtId="0" fontId="7" fillId="2" borderId="0" xfId="0" applyFont="1" applyFill="1" applyBorder="1" applyAlignment="1" applyProtection="1">
      <alignment horizontal="left"/>
    </xf>
    <xf numFmtId="0" fontId="6" fillId="2" borderId="0" xfId="0" applyFont="1" applyFill="1" applyBorder="1" applyAlignment="1" applyProtection="1">
      <alignment horizontal="center"/>
    </xf>
    <xf numFmtId="3" fontId="7" fillId="2" borderId="0" xfId="0" applyNumberFormat="1" applyFont="1" applyFill="1" applyBorder="1" applyAlignment="1" applyProtection="1">
      <alignment horizontal="center"/>
    </xf>
    <xf numFmtId="0" fontId="7" fillId="2" borderId="0" xfId="0" applyFont="1" applyFill="1" applyBorder="1" applyAlignment="1" applyProtection="1">
      <alignment horizontal="left" vertical="center"/>
    </xf>
    <xf numFmtId="0" fontId="7" fillId="2" borderId="0" xfId="0" applyFont="1" applyFill="1" applyBorder="1" applyAlignment="1" applyProtection="1">
      <alignment horizontal="center" vertical="center"/>
    </xf>
    <xf numFmtId="39" fontId="7" fillId="2" borderId="0" xfId="1" applyNumberFormat="1" applyFont="1" applyFill="1" applyBorder="1" applyAlignment="1" applyProtection="1">
      <alignment horizontal="center" vertical="center"/>
    </xf>
    <xf numFmtId="164" fontId="7" fillId="2" borderId="0" xfId="0" applyNumberFormat="1" applyFont="1" applyFill="1" applyBorder="1" applyAlignment="1" applyProtection="1">
      <alignment horizontal="center"/>
    </xf>
    <xf numFmtId="0" fontId="7" fillId="2" borderId="0" xfId="0" applyFont="1" applyFill="1" applyBorder="1" applyAlignment="1" applyProtection="1">
      <alignment horizontal="left" vertical="center" wrapText="1"/>
    </xf>
    <xf numFmtId="0" fontId="7" fillId="2" borderId="0"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wrapText="1"/>
    </xf>
    <xf numFmtId="0" fontId="17" fillId="2" borderId="0" xfId="0" applyFont="1" applyFill="1" applyBorder="1" applyAlignment="1" applyProtection="1">
      <alignment horizontal="center" vertical="center" wrapText="1"/>
    </xf>
    <xf numFmtId="0" fontId="7" fillId="2" borderId="0" xfId="0" applyFont="1" applyFill="1" applyBorder="1" applyAlignment="1" applyProtection="1">
      <alignment horizontal="left" vertical="center" wrapText="1"/>
    </xf>
    <xf numFmtId="0" fontId="6" fillId="2" borderId="0" xfId="0" applyFont="1" applyFill="1" applyBorder="1" applyAlignment="1" applyProtection="1">
      <alignment horizontal="center" vertical="center"/>
    </xf>
    <xf numFmtId="165" fontId="7" fillId="2" borderId="0" xfId="0" applyNumberFormat="1" applyFont="1" applyFill="1" applyBorder="1" applyAlignment="1" applyProtection="1">
      <alignment horizontal="center" vertical="center"/>
    </xf>
    <xf numFmtId="0" fontId="7" fillId="2" borderId="0" xfId="0" applyFont="1" applyFill="1" applyBorder="1" applyAlignment="1" applyProtection="1">
      <alignment horizontal="left" wrapText="1"/>
    </xf>
    <xf numFmtId="3" fontId="7" fillId="2" borderId="0" xfId="0" applyNumberFormat="1" applyFont="1" applyFill="1" applyBorder="1" applyAlignment="1" applyProtection="1">
      <alignment horizontal="center" vertical="center"/>
    </xf>
    <xf numFmtId="2" fontId="7" fillId="2" borderId="0" xfId="0" applyNumberFormat="1" applyFont="1" applyFill="1" applyBorder="1" applyAlignment="1" applyProtection="1">
      <alignment horizontal="center" vertical="center"/>
    </xf>
    <xf numFmtId="2" fontId="7" fillId="2" borderId="0" xfId="0" applyNumberFormat="1" applyFont="1" applyFill="1" applyBorder="1" applyAlignment="1" applyProtection="1">
      <alignment horizontal="center"/>
    </xf>
    <xf numFmtId="165" fontId="7" fillId="2" borderId="0" xfId="0" applyNumberFormat="1" applyFont="1" applyFill="1" applyBorder="1" applyAlignment="1" applyProtection="1">
      <alignment horizontal="center"/>
    </xf>
    <xf numFmtId="0" fontId="7" fillId="2" borderId="0" xfId="0" applyFont="1" applyFill="1" applyBorder="1" applyAlignment="1" applyProtection="1">
      <alignment horizontal="center" vertical="center"/>
    </xf>
    <xf numFmtId="1" fontId="7" fillId="2" borderId="0" xfId="0" applyNumberFormat="1" applyFont="1" applyFill="1" applyBorder="1" applyAlignment="1" applyProtection="1">
      <alignment horizontal="center" vertical="center"/>
    </xf>
    <xf numFmtId="0" fontId="6" fillId="3" borderId="0" xfId="0" applyFont="1" applyFill="1" applyBorder="1" applyAlignment="1" applyProtection="1">
      <alignment horizontal="left" vertical="top"/>
      <protection locked="0"/>
    </xf>
    <xf numFmtId="0" fontId="6" fillId="3" borderId="0" xfId="0" applyFont="1" applyFill="1" applyBorder="1" applyAlignment="1" applyProtection="1">
      <alignment horizontal="left"/>
      <protection locked="0"/>
    </xf>
    <xf numFmtId="0" fontId="7" fillId="3" borderId="0" xfId="0" applyFont="1" applyFill="1" applyBorder="1" applyAlignment="1" applyProtection="1">
      <alignment horizontal="left" wrapText="1"/>
      <protection locked="0"/>
    </xf>
    <xf numFmtId="0" fontId="7" fillId="3" borderId="0" xfId="0" applyFont="1" applyFill="1" applyBorder="1" applyAlignment="1" applyProtection="1">
      <alignment horizontal="left"/>
      <protection locked="0"/>
    </xf>
    <xf numFmtId="0" fontId="7" fillId="3" borderId="0" xfId="0" applyFont="1" applyFill="1" applyBorder="1" applyAlignment="1" applyProtection="1">
      <alignment horizontal="right" wrapText="1"/>
      <protection locked="0"/>
    </xf>
    <xf numFmtId="165" fontId="7" fillId="3" borderId="0" xfId="0" applyNumberFormat="1" applyFont="1" applyFill="1" applyBorder="1" applyAlignment="1" applyProtection="1">
      <alignment horizontal="center"/>
      <protection locked="0"/>
    </xf>
    <xf numFmtId="9" fontId="7" fillId="3" borderId="0" xfId="0" applyNumberFormat="1" applyFont="1" applyFill="1" applyBorder="1" applyAlignment="1" applyProtection="1">
      <alignment horizontal="center"/>
      <protection locked="0"/>
    </xf>
    <xf numFmtId="0" fontId="9" fillId="3" borderId="0" xfId="0" applyFont="1" applyFill="1" applyBorder="1" applyAlignment="1" applyProtection="1">
      <alignment horizontal="center"/>
      <protection locked="0"/>
    </xf>
    <xf numFmtId="164" fontId="9" fillId="3" borderId="0" xfId="0" applyNumberFormat="1" applyFont="1" applyFill="1" applyBorder="1" applyAlignment="1" applyProtection="1">
      <alignment horizontal="center"/>
      <protection locked="0"/>
    </xf>
    <xf numFmtId="9" fontId="7" fillId="3" borderId="0" xfId="2" applyFont="1" applyFill="1" applyBorder="1" applyAlignment="1" applyProtection="1">
      <alignment horizontal="center"/>
      <protection locked="0"/>
    </xf>
    <xf numFmtId="0" fontId="7" fillId="3" borderId="0" xfId="0" applyFont="1" applyFill="1" applyBorder="1" applyAlignment="1" applyProtection="1">
      <alignment horizontal="left" indent="1"/>
      <protection locked="0"/>
    </xf>
    <xf numFmtId="0" fontId="6" fillId="3" borderId="0" xfId="0" applyFont="1" applyFill="1" applyBorder="1" applyAlignment="1" applyProtection="1">
      <protection locked="0"/>
    </xf>
    <xf numFmtId="164" fontId="7" fillId="3" borderId="0" xfId="0" applyNumberFormat="1" applyFont="1" applyFill="1" applyBorder="1" applyAlignment="1" applyProtection="1">
      <alignment horizontal="left"/>
      <protection locked="0"/>
    </xf>
    <xf numFmtId="164" fontId="7" fillId="3" borderId="0" xfId="0" applyNumberFormat="1" applyFont="1" applyFill="1" applyBorder="1" applyAlignment="1" applyProtection="1">
      <alignment horizontal="left" vertical="center" wrapText="1"/>
      <protection locked="0"/>
    </xf>
    <xf numFmtId="164" fontId="7" fillId="3" borderId="0" xfId="0" applyNumberFormat="1" applyFont="1" applyFill="1" applyBorder="1" applyAlignment="1" applyProtection="1">
      <alignment horizontal="left" vertical="center"/>
      <protection locked="0"/>
    </xf>
    <xf numFmtId="165" fontId="9" fillId="3" borderId="0" xfId="0" applyNumberFormat="1"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6" fillId="3" borderId="3" xfId="0" applyFont="1" applyFill="1" applyBorder="1" applyAlignment="1" applyProtection="1">
      <alignment horizontal="left"/>
      <protection locked="0"/>
    </xf>
    <xf numFmtId="164" fontId="6" fillId="3" borderId="0" xfId="0" applyNumberFormat="1" applyFont="1" applyFill="1" applyBorder="1" applyAlignment="1" applyProtection="1">
      <alignment horizontal="center"/>
      <protection locked="0"/>
    </xf>
    <xf numFmtId="0" fontId="7" fillId="3" borderId="0" xfId="0" applyFont="1" applyFill="1" applyBorder="1" applyAlignment="1" applyProtection="1">
      <protection locked="0"/>
    </xf>
    <xf numFmtId="1" fontId="7" fillId="3" borderId="0" xfId="0" applyNumberFormat="1" applyFont="1" applyFill="1" applyBorder="1" applyAlignment="1" applyProtection="1">
      <alignment horizontal="center"/>
      <protection locked="0"/>
    </xf>
    <xf numFmtId="0" fontId="7" fillId="3" borderId="0" xfId="0" applyFont="1" applyFill="1" applyBorder="1" applyAlignment="1" applyProtection="1">
      <alignment horizontal="center"/>
      <protection locked="0"/>
    </xf>
    <xf numFmtId="0" fontId="9" fillId="3" borderId="0" xfId="0" applyFont="1" applyFill="1" applyBorder="1" applyAlignment="1" applyProtection="1">
      <alignment horizontal="left"/>
      <protection locked="0"/>
    </xf>
    <xf numFmtId="165" fontId="9" fillId="3" borderId="0" xfId="0" applyNumberFormat="1" applyFont="1" applyFill="1" applyBorder="1" applyAlignment="1" applyProtection="1">
      <alignment horizontal="center"/>
      <protection locked="0"/>
    </xf>
    <xf numFmtId="0" fontId="9" fillId="3" borderId="0" xfId="0" applyFont="1" applyFill="1" applyBorder="1" applyAlignment="1" applyProtection="1">
      <alignment horizontal="right"/>
      <protection locked="0"/>
    </xf>
    <xf numFmtId="0" fontId="9" fillId="3" borderId="0" xfId="0" applyNumberFormat="1" applyFont="1" applyFill="1" applyBorder="1" applyAlignment="1" applyProtection="1">
      <alignment horizontal="center"/>
      <protection locked="0"/>
    </xf>
    <xf numFmtId="0" fontId="9" fillId="3" borderId="0" xfId="0" applyFont="1" applyFill="1" applyBorder="1" applyAlignment="1" applyProtection="1">
      <protection locked="0"/>
    </xf>
    <xf numFmtId="0" fontId="6" fillId="2" borderId="0" xfId="0" applyFont="1" applyFill="1" applyBorder="1" applyAlignment="1" applyProtection="1">
      <alignment horizontal="left" vertical="top"/>
    </xf>
    <xf numFmtId="0" fontId="7" fillId="2" borderId="0" xfId="0" applyFont="1" applyFill="1" applyBorder="1" applyAlignment="1" applyProtection="1">
      <alignment horizontal="right"/>
    </xf>
    <xf numFmtId="0" fontId="6" fillId="2" borderId="0" xfId="0" applyFont="1" applyFill="1" applyBorder="1" applyAlignment="1" applyProtection="1">
      <alignment horizontal="left"/>
    </xf>
    <xf numFmtId="37" fontId="7" fillId="2" borderId="0" xfId="1" applyNumberFormat="1" applyFont="1" applyFill="1" applyBorder="1" applyAlignment="1" applyProtection="1">
      <alignment horizontal="center" vertical="center"/>
    </xf>
    <xf numFmtId="0" fontId="7" fillId="2" borderId="0" xfId="0" applyFont="1" applyFill="1" applyBorder="1" applyAlignment="1" applyProtection="1">
      <alignment horizontal="left"/>
    </xf>
    <xf numFmtId="0" fontId="7" fillId="2" borderId="0" xfId="0" applyFont="1" applyFill="1" applyBorder="1" applyAlignment="1" applyProtection="1">
      <alignment horizontal="center"/>
    </xf>
    <xf numFmtId="0" fontId="7" fillId="2" borderId="0" xfId="0" applyFont="1" applyFill="1" applyBorder="1" applyAlignment="1" applyProtection="1"/>
    <xf numFmtId="0" fontId="19" fillId="2" borderId="0" xfId="0" applyFont="1" applyFill="1" applyBorder="1" applyAlignment="1" applyProtection="1">
      <alignment horizontal="left"/>
    </xf>
    <xf numFmtId="0" fontId="9" fillId="2" borderId="0" xfId="0" applyFont="1" applyFill="1" applyBorder="1" applyAlignment="1" applyProtection="1">
      <alignment horizontal="left"/>
    </xf>
    <xf numFmtId="0" fontId="9" fillId="2" borderId="0" xfId="0" applyFont="1" applyFill="1" applyBorder="1" applyAlignment="1" applyProtection="1">
      <alignment horizontal="center"/>
    </xf>
    <xf numFmtId="0" fontId="9" fillId="2" borderId="0" xfId="0" applyFont="1" applyFill="1" applyBorder="1" applyAlignment="1" applyProtection="1">
      <alignment horizontal="right"/>
    </xf>
    <xf numFmtId="0" fontId="9" fillId="2" borderId="0" xfId="0" applyFont="1" applyFill="1" applyBorder="1" applyAlignment="1" applyProtection="1">
      <alignment horizontal="left"/>
    </xf>
    <xf numFmtId="164" fontId="9" fillId="2" borderId="0" xfId="0" applyNumberFormat="1" applyFont="1" applyFill="1" applyBorder="1" applyAlignment="1" applyProtection="1">
      <alignment horizontal="center"/>
    </xf>
    <xf numFmtId="0" fontId="9" fillId="2" borderId="0" xfId="0" applyNumberFormat="1" applyFont="1" applyFill="1" applyBorder="1" applyAlignment="1" applyProtection="1">
      <alignment horizontal="center"/>
    </xf>
    <xf numFmtId="0" fontId="9" fillId="2" borderId="0" xfId="0" applyFont="1" applyFill="1" applyBorder="1" applyAlignment="1" applyProtection="1">
      <alignment horizontal="center"/>
    </xf>
    <xf numFmtId="2" fontId="9" fillId="2" borderId="0" xfId="0" applyNumberFormat="1" applyFont="1" applyFill="1" applyBorder="1" applyAlignment="1" applyProtection="1">
      <alignment horizontal="center"/>
    </xf>
    <xf numFmtId="1" fontId="9" fillId="2" borderId="0" xfId="0" applyNumberFormat="1" applyFont="1" applyFill="1" applyBorder="1" applyAlignment="1" applyProtection="1">
      <alignment horizontal="center"/>
    </xf>
    <xf numFmtId="0" fontId="9" fillId="2" borderId="2" xfId="0" applyFont="1" applyFill="1" applyBorder="1" applyAlignment="1" applyProtection="1">
      <alignment horizontal="center"/>
    </xf>
    <xf numFmtId="165" fontId="9" fillId="2" borderId="0" xfId="0" applyNumberFormat="1" applyFont="1" applyFill="1" applyBorder="1" applyAlignment="1" applyProtection="1">
      <alignment horizontal="center"/>
    </xf>
    <xf numFmtId="164" fontId="17" fillId="2" borderId="0" xfId="0" applyNumberFormat="1" applyFont="1" applyFill="1" applyBorder="1" applyAlignment="1" applyProtection="1">
      <alignment horizontal="center"/>
    </xf>
    <xf numFmtId="3" fontId="9" fillId="2" borderId="0" xfId="0" applyNumberFormat="1" applyFont="1" applyFill="1" applyBorder="1" applyAlignment="1" applyProtection="1">
      <alignment horizontal="center"/>
    </xf>
    <xf numFmtId="0" fontId="17" fillId="2" borderId="0" xfId="0" applyFont="1" applyFill="1" applyBorder="1" applyAlignment="1" applyProtection="1">
      <alignment horizontal="right"/>
    </xf>
    <xf numFmtId="0" fontId="8" fillId="0" borderId="0" xfId="0" applyFont="1" applyFill="1" applyBorder="1" applyAlignment="1" applyProtection="1">
      <alignment horizontal="right"/>
    </xf>
    <xf numFmtId="0" fontId="7" fillId="0" borderId="0" xfId="0" applyFont="1" applyAlignment="1" applyProtection="1">
      <alignment horizontal="left"/>
    </xf>
    <xf numFmtId="0" fontId="6" fillId="2" borderId="0" xfId="0" applyFont="1" applyFill="1" applyBorder="1" applyAlignment="1" applyProtection="1">
      <alignment horizontal="left" vertical="top"/>
    </xf>
    <xf numFmtId="0" fontId="9" fillId="2" borderId="0" xfId="0" applyFont="1" applyFill="1" applyBorder="1" applyAlignment="1" applyProtection="1">
      <alignment horizontal="left" vertical="center" wrapText="1"/>
    </xf>
    <xf numFmtId="0" fontId="9" fillId="2" borderId="0" xfId="0" applyFont="1" applyFill="1" applyBorder="1" applyAlignment="1" applyProtection="1">
      <alignment horizontal="left" vertical="top" wrapText="1"/>
    </xf>
    <xf numFmtId="0" fontId="9" fillId="2" borderId="0" xfId="0" applyFont="1" applyFill="1" applyBorder="1" applyAlignment="1" applyProtection="1">
      <alignment horizontal="right" vertical="center"/>
    </xf>
    <xf numFmtId="0" fontId="9" fillId="2" borderId="0" xfId="0" applyFont="1" applyFill="1" applyBorder="1" applyAlignment="1" applyProtection="1">
      <alignment horizontal="center" vertical="center"/>
    </xf>
    <xf numFmtId="165" fontId="9" fillId="2" borderId="0" xfId="0" applyNumberFormat="1" applyFont="1" applyFill="1" applyBorder="1" applyAlignment="1" applyProtection="1">
      <alignment horizontal="center" vertical="center"/>
    </xf>
    <xf numFmtId="0" fontId="9" fillId="2" borderId="0" xfId="0" applyNumberFormat="1" applyFont="1" applyFill="1" applyBorder="1" applyAlignment="1" applyProtection="1">
      <alignment horizontal="center" vertical="center"/>
    </xf>
    <xf numFmtId="164" fontId="9" fillId="2" borderId="0" xfId="0" applyNumberFormat="1" applyFont="1" applyFill="1" applyBorder="1" applyAlignment="1" applyProtection="1">
      <alignment horizontal="center" vertical="center" wrapText="1"/>
    </xf>
    <xf numFmtId="0" fontId="8" fillId="2" borderId="0" xfId="0" applyFont="1" applyFill="1" applyBorder="1" applyAlignment="1" applyProtection="1">
      <alignment horizontal="right"/>
    </xf>
    <xf numFmtId="0" fontId="8" fillId="2" borderId="0" xfId="0" applyFont="1" applyFill="1" applyBorder="1" applyAlignment="1" applyProtection="1">
      <alignment horizontal="center"/>
    </xf>
    <xf numFmtId="3" fontId="8" fillId="2" borderId="0" xfId="0" applyNumberFormat="1" applyFont="1" applyFill="1" applyBorder="1" applyAlignment="1" applyProtection="1">
      <alignment horizontal="center"/>
    </xf>
    <xf numFmtId="165" fontId="11" fillId="2" borderId="0" xfId="0" applyNumberFormat="1" applyFont="1" applyFill="1" applyBorder="1" applyAlignment="1" applyProtection="1">
      <alignment horizontal="center"/>
    </xf>
    <xf numFmtId="164" fontId="8" fillId="2" borderId="0" xfId="0" applyNumberFormat="1" applyFont="1" applyFill="1" applyBorder="1" applyAlignment="1" applyProtection="1">
      <alignment horizontal="center"/>
    </xf>
    <xf numFmtId="3" fontId="7" fillId="2" borderId="0" xfId="0" applyNumberFormat="1" applyFont="1" applyFill="1" applyBorder="1" applyAlignment="1" applyProtection="1"/>
    <xf numFmtId="3" fontId="8" fillId="2" borderId="0" xfId="0" applyNumberFormat="1" applyFont="1" applyFill="1" applyBorder="1" applyAlignment="1" applyProtection="1"/>
    <xf numFmtId="1" fontId="7" fillId="2" borderId="0" xfId="0" applyNumberFormat="1" applyFont="1" applyFill="1" applyBorder="1" applyAlignment="1" applyProtection="1">
      <alignment horizontal="center"/>
    </xf>
    <xf numFmtId="0" fontId="12" fillId="2" borderId="0" xfId="0" applyFont="1" applyFill="1" applyBorder="1" applyAlignment="1" applyProtection="1">
      <alignment horizontal="left"/>
    </xf>
    <xf numFmtId="0" fontId="22" fillId="0" borderId="0" xfId="0" applyFont="1" applyProtection="1"/>
    <xf numFmtId="0" fontId="23" fillId="0" borderId="0" xfId="0" applyFont="1" applyProtection="1"/>
    <xf numFmtId="0" fontId="22" fillId="0" borderId="0" xfId="0" applyFont="1" applyAlignment="1" applyProtection="1">
      <alignment vertical="center"/>
    </xf>
    <xf numFmtId="0" fontId="24" fillId="0" borderId="0" xfId="0" applyFont="1" applyFill="1" applyProtection="1"/>
    <xf numFmtId="0" fontId="24" fillId="0" borderId="0" xfId="0" applyFont="1" applyProtection="1"/>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FFCC99"/>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2.emf"/><Relationship Id="rId6" Type="http://schemas.openxmlformats.org/officeDocument/2006/relationships/image" Target="../media/image9.emf"/><Relationship Id="rId5" Type="http://schemas.openxmlformats.org/officeDocument/2006/relationships/image" Target="../media/image8.emf"/><Relationship Id="rId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5</xdr:row>
      <xdr:rowOff>0</xdr:rowOff>
    </xdr:from>
    <xdr:to>
      <xdr:col>29</xdr:col>
      <xdr:colOff>198796</xdr:colOff>
      <xdr:row>26</xdr:row>
      <xdr:rowOff>83344</xdr:rowOff>
    </xdr:to>
    <xdr:pic>
      <xdr:nvPicPr>
        <xdr:cNvPr id="8"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26125" y="571500"/>
          <a:ext cx="8247421" cy="5131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53</xdr:col>
      <xdr:colOff>0</xdr:colOff>
      <xdr:row>5</xdr:row>
      <xdr:rowOff>0</xdr:rowOff>
    </xdr:from>
    <xdr:to>
      <xdr:col>70</xdr:col>
      <xdr:colOff>369431</xdr:colOff>
      <xdr:row>22</xdr:row>
      <xdr:rowOff>197117</xdr:rowOff>
    </xdr:to>
    <xdr:pic>
      <xdr:nvPicPr>
        <xdr:cNvPr id="10"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33750" y="571500"/>
          <a:ext cx="10894557" cy="3673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5</xdr:row>
      <xdr:rowOff>0</xdr:rowOff>
    </xdr:from>
    <xdr:to>
      <xdr:col>42</xdr:col>
      <xdr:colOff>583405</xdr:colOff>
      <xdr:row>26</xdr:row>
      <xdr:rowOff>180645</xdr:rowOff>
    </xdr:to>
    <xdr:pic>
      <xdr:nvPicPr>
        <xdr:cNvPr id="11" name="Picture 1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15281" y="571500"/>
          <a:ext cx="7870030" cy="5205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xdr:col>
      <xdr:colOff>0</xdr:colOff>
      <xdr:row>5</xdr:row>
      <xdr:rowOff>0</xdr:rowOff>
    </xdr:from>
    <xdr:to>
      <xdr:col>52</xdr:col>
      <xdr:colOff>178594</xdr:colOff>
      <xdr:row>57</xdr:row>
      <xdr:rowOff>23983</xdr:rowOff>
    </xdr:to>
    <xdr:pic>
      <xdr:nvPicPr>
        <xdr:cNvPr id="12" name="Picture 1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516344" y="571500"/>
          <a:ext cx="5036344" cy="13239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5</xdr:row>
      <xdr:rowOff>0</xdr:rowOff>
    </xdr:from>
    <xdr:to>
      <xdr:col>33</xdr:col>
      <xdr:colOff>434255</xdr:colOff>
      <xdr:row>22</xdr:row>
      <xdr:rowOff>149491</xdr:rowOff>
    </xdr:to>
    <xdr:pic>
      <xdr:nvPicPr>
        <xdr:cNvPr id="14"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55583" y="190500"/>
          <a:ext cx="10869421" cy="3682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0</xdr:colOff>
      <xdr:row>5</xdr:row>
      <xdr:rowOff>0</xdr:rowOff>
    </xdr:from>
    <xdr:to>
      <xdr:col>45</xdr:col>
      <xdr:colOff>40746</xdr:colOff>
      <xdr:row>35</xdr:row>
      <xdr:rowOff>49362</xdr:rowOff>
    </xdr:to>
    <xdr:pic>
      <xdr:nvPicPr>
        <xdr:cNvPr id="15"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204583" y="190500"/>
          <a:ext cx="6792912" cy="6562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55</xdr:col>
      <xdr:colOff>31750</xdr:colOff>
      <xdr:row>5</xdr:row>
      <xdr:rowOff>31751</xdr:rowOff>
    </xdr:from>
    <xdr:to>
      <xdr:col>65</xdr:col>
      <xdr:colOff>374651</xdr:colOff>
      <xdr:row>42</xdr:row>
      <xdr:rowOff>183169</xdr:rowOff>
    </xdr:to>
    <xdr:pic>
      <xdr:nvPicPr>
        <xdr:cNvPr id="16" name="Picture 1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126833" y="222251"/>
          <a:ext cx="6481234" cy="8140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45</xdr:col>
      <xdr:colOff>433912</xdr:colOff>
      <xdr:row>5</xdr:row>
      <xdr:rowOff>10586</xdr:rowOff>
    </xdr:from>
    <xdr:to>
      <xdr:col>54</xdr:col>
      <xdr:colOff>154068</xdr:colOff>
      <xdr:row>34</xdr:row>
      <xdr:rowOff>114300</xdr:rowOff>
    </xdr:to>
    <xdr:pic>
      <xdr:nvPicPr>
        <xdr:cNvPr id="20" name="Picture 1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390662" y="201086"/>
          <a:ext cx="5244656" cy="6424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5</xdr:row>
      <xdr:rowOff>0</xdr:rowOff>
    </xdr:from>
    <xdr:to>
      <xdr:col>79</xdr:col>
      <xdr:colOff>494527</xdr:colOff>
      <xdr:row>27</xdr:row>
      <xdr:rowOff>106891</xdr:rowOff>
    </xdr:to>
    <xdr:pic>
      <xdr:nvPicPr>
        <xdr:cNvPr id="21" name="Picture 20"/>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847250" y="190500"/>
          <a:ext cx="8474361" cy="5027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81</xdr:col>
      <xdr:colOff>0</xdr:colOff>
      <xdr:row>5</xdr:row>
      <xdr:rowOff>0</xdr:rowOff>
    </xdr:from>
    <xdr:to>
      <xdr:col>92</xdr:col>
      <xdr:colOff>402167</xdr:colOff>
      <xdr:row>24</xdr:row>
      <xdr:rowOff>458401</xdr:rowOff>
    </xdr:to>
    <xdr:pic>
      <xdr:nvPicPr>
        <xdr:cNvPr id="22" name="Picture 2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054750" y="190500"/>
          <a:ext cx="7154334" cy="4416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H14" sqref="H14"/>
    </sheetView>
  </sheetViews>
  <sheetFormatPr defaultRowHeight="15" x14ac:dyDescent="0.25"/>
  <cols>
    <col min="1" max="2" width="9.140625" style="19"/>
    <col min="3" max="3" width="25.42578125" style="19" customWidth="1"/>
    <col min="4" max="16384" width="9.140625" style="19"/>
  </cols>
  <sheetData>
    <row r="1" spans="1:3" x14ac:dyDescent="0.25">
      <c r="A1" s="17" t="s">
        <v>519</v>
      </c>
      <c r="B1" s="18"/>
      <c r="C1" s="18"/>
    </row>
    <row r="2" spans="1:3" x14ac:dyDescent="0.25">
      <c r="A2" s="18"/>
      <c r="B2" s="18"/>
      <c r="C2" s="18"/>
    </row>
    <row r="3" spans="1:3" x14ac:dyDescent="0.25">
      <c r="A3" s="18"/>
      <c r="B3" s="18"/>
      <c r="C3" s="18"/>
    </row>
    <row r="4" spans="1:3" x14ac:dyDescent="0.25">
      <c r="A4" s="20" t="s">
        <v>520</v>
      </c>
      <c r="B4" s="20" t="s">
        <v>521</v>
      </c>
      <c r="C4" s="21" t="s">
        <v>522</v>
      </c>
    </row>
    <row r="5" spans="1:3" x14ac:dyDescent="0.25">
      <c r="A5" s="22">
        <v>0</v>
      </c>
      <c r="B5" s="23">
        <v>42826</v>
      </c>
      <c r="C5" s="24" t="s">
        <v>523</v>
      </c>
    </row>
    <row r="6" spans="1:3" x14ac:dyDescent="0.25">
      <c r="A6" s="24"/>
      <c r="B6" s="24"/>
      <c r="C6" s="24"/>
    </row>
    <row r="7" spans="1:3" x14ac:dyDescent="0.25">
      <c r="A7" s="25"/>
      <c r="B7" s="25"/>
      <c r="C7" s="25"/>
    </row>
  </sheetData>
  <sheetProtection password="E156"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44"/>
  <sheetViews>
    <sheetView tabSelected="1" zoomScaleNormal="100" workbookViewId="0">
      <selection activeCell="I19" sqref="I19"/>
    </sheetView>
  </sheetViews>
  <sheetFormatPr defaultColWidth="9.140625" defaultRowHeight="15" x14ac:dyDescent="0.2"/>
  <cols>
    <col min="1" max="1" width="6.7109375" style="28" bestFit="1" customWidth="1"/>
    <col min="2" max="2" width="2" style="26" bestFit="1" customWidth="1"/>
    <col min="3" max="3" width="42.42578125" style="27" customWidth="1"/>
    <col min="4" max="4" width="9.140625" style="18"/>
    <col min="5" max="5" width="6.7109375" style="28" bestFit="1" customWidth="1"/>
    <col min="6" max="6" width="2" style="26" bestFit="1" customWidth="1"/>
    <col min="7" max="7" width="42" style="27" customWidth="1"/>
    <col min="8" max="16384" width="9.140625" style="18"/>
  </cols>
  <sheetData>
    <row r="1" spans="1:7" x14ac:dyDescent="0.25">
      <c r="A1" s="17" t="s">
        <v>519</v>
      </c>
    </row>
    <row r="5" spans="1:7" s="17" customFormat="1" x14ac:dyDescent="0.25">
      <c r="A5" s="29" t="s">
        <v>518</v>
      </c>
      <c r="B5" s="30"/>
      <c r="C5" s="30"/>
      <c r="D5" s="30"/>
      <c r="E5" s="30"/>
      <c r="F5" s="30"/>
      <c r="G5" s="30"/>
    </row>
    <row r="6" spans="1:7" s="17" customFormat="1" ht="15.75" thickBot="1" x14ac:dyDescent="0.3">
      <c r="A6" s="31" t="s">
        <v>0</v>
      </c>
      <c r="B6" s="32"/>
      <c r="C6" s="32"/>
      <c r="D6" s="32"/>
      <c r="E6" s="32"/>
      <c r="F6" s="32"/>
      <c r="G6" s="32"/>
    </row>
    <row r="7" spans="1:7" ht="15" customHeight="1" x14ac:dyDescent="0.2">
      <c r="A7" s="28" t="s">
        <v>1</v>
      </c>
      <c r="B7" s="28" t="s">
        <v>2</v>
      </c>
      <c r="C7" s="27" t="s">
        <v>46</v>
      </c>
      <c r="E7" s="28" t="s">
        <v>90</v>
      </c>
      <c r="F7" s="28" t="s">
        <v>2</v>
      </c>
      <c r="G7" s="27" t="s">
        <v>133</v>
      </c>
    </row>
    <row r="8" spans="1:7" ht="14.25" x14ac:dyDescent="0.2">
      <c r="A8" s="28" t="s">
        <v>32</v>
      </c>
      <c r="B8" s="28" t="s">
        <v>2</v>
      </c>
      <c r="C8" s="27" t="s">
        <v>47</v>
      </c>
      <c r="E8" s="28" t="s">
        <v>91</v>
      </c>
      <c r="F8" s="28" t="s">
        <v>2</v>
      </c>
      <c r="G8" s="27" t="s">
        <v>102</v>
      </c>
    </row>
    <row r="9" spans="1:7" ht="14.25" x14ac:dyDescent="0.2">
      <c r="A9" s="28" t="s">
        <v>33</v>
      </c>
      <c r="B9" s="28" t="s">
        <v>2</v>
      </c>
      <c r="C9" s="27" t="s">
        <v>48</v>
      </c>
      <c r="E9" s="28" t="s">
        <v>12</v>
      </c>
      <c r="F9" s="28" t="s">
        <v>2</v>
      </c>
      <c r="G9" s="27" t="s">
        <v>103</v>
      </c>
    </row>
    <row r="10" spans="1:7" ht="14.25" x14ac:dyDescent="0.2">
      <c r="A10" s="28" t="s">
        <v>34</v>
      </c>
      <c r="B10" s="28" t="s">
        <v>2</v>
      </c>
      <c r="C10" s="27" t="s">
        <v>49</v>
      </c>
      <c r="E10" s="28" t="s">
        <v>74</v>
      </c>
      <c r="F10" s="28" t="s">
        <v>2</v>
      </c>
      <c r="G10" s="27" t="s">
        <v>104</v>
      </c>
    </row>
    <row r="11" spans="1:7" ht="15.75" customHeight="1" x14ac:dyDescent="0.2">
      <c r="A11" s="28" t="s">
        <v>35</v>
      </c>
      <c r="B11" s="28" t="s">
        <v>2</v>
      </c>
      <c r="C11" s="27" t="s">
        <v>129</v>
      </c>
      <c r="E11" s="28" t="s">
        <v>92</v>
      </c>
      <c r="F11" s="28" t="s">
        <v>2</v>
      </c>
      <c r="G11" s="27" t="s">
        <v>105</v>
      </c>
    </row>
    <row r="12" spans="1:7" ht="14.25" x14ac:dyDescent="0.2">
      <c r="A12" s="28" t="s">
        <v>18</v>
      </c>
      <c r="B12" s="28" t="s">
        <v>2</v>
      </c>
      <c r="C12" s="27" t="s">
        <v>50</v>
      </c>
      <c r="E12" s="28" t="s">
        <v>93</v>
      </c>
      <c r="F12" s="28" t="s">
        <v>2</v>
      </c>
      <c r="G12" s="27" t="s">
        <v>134</v>
      </c>
    </row>
    <row r="13" spans="1:7" ht="12.75" x14ac:dyDescent="0.2">
      <c r="A13" s="28" t="s">
        <v>19</v>
      </c>
      <c r="B13" s="28" t="s">
        <v>2</v>
      </c>
      <c r="C13" s="27" t="s">
        <v>51</v>
      </c>
      <c r="E13" s="28" t="s">
        <v>13</v>
      </c>
      <c r="F13" s="28" t="s">
        <v>2</v>
      </c>
      <c r="G13" s="27" t="s">
        <v>106</v>
      </c>
    </row>
    <row r="14" spans="1:7" ht="15.75" customHeight="1" x14ac:dyDescent="0.2">
      <c r="A14" s="28" t="s">
        <v>20</v>
      </c>
      <c r="B14" s="28" t="s">
        <v>2</v>
      </c>
      <c r="C14" s="27" t="s">
        <v>52</v>
      </c>
      <c r="E14" s="28" t="s">
        <v>75</v>
      </c>
      <c r="F14" s="28" t="s">
        <v>2</v>
      </c>
      <c r="G14" s="27" t="s">
        <v>107</v>
      </c>
    </row>
    <row r="15" spans="1:7" ht="25.5" x14ac:dyDescent="0.2">
      <c r="A15" s="28" t="s">
        <v>21</v>
      </c>
      <c r="B15" s="28" t="s">
        <v>2</v>
      </c>
      <c r="C15" s="27" t="s">
        <v>53</v>
      </c>
      <c r="E15" s="28" t="s">
        <v>76</v>
      </c>
      <c r="F15" s="28" t="s">
        <v>2</v>
      </c>
      <c r="G15" s="27" t="s">
        <v>135</v>
      </c>
    </row>
    <row r="16" spans="1:7" ht="15" customHeight="1" x14ac:dyDescent="0.2">
      <c r="A16" s="28" t="s">
        <v>22</v>
      </c>
      <c r="B16" s="28" t="s">
        <v>2</v>
      </c>
      <c r="C16" s="27" t="s">
        <v>54</v>
      </c>
      <c r="E16" s="33" t="s">
        <v>15</v>
      </c>
      <c r="F16" s="28" t="s">
        <v>2</v>
      </c>
      <c r="G16" s="27" t="s">
        <v>108</v>
      </c>
    </row>
    <row r="17" spans="1:7" ht="16.5" customHeight="1" x14ac:dyDescent="0.2">
      <c r="A17" s="28" t="s">
        <v>5</v>
      </c>
      <c r="B17" s="28" t="s">
        <v>2</v>
      </c>
      <c r="C17" s="27" t="s">
        <v>130</v>
      </c>
      <c r="E17" s="28" t="s">
        <v>94</v>
      </c>
      <c r="F17" s="28" t="s">
        <v>2</v>
      </c>
      <c r="G17" s="27" t="s">
        <v>109</v>
      </c>
    </row>
    <row r="18" spans="1:7" ht="16.5" customHeight="1" x14ac:dyDescent="0.2">
      <c r="A18" s="28" t="s">
        <v>23</v>
      </c>
      <c r="B18" s="28" t="s">
        <v>2</v>
      </c>
      <c r="C18" s="27" t="s">
        <v>55</v>
      </c>
      <c r="E18" s="28" t="s">
        <v>95</v>
      </c>
      <c r="F18" s="28" t="s">
        <v>2</v>
      </c>
      <c r="G18" s="27" t="s">
        <v>110</v>
      </c>
    </row>
    <row r="19" spans="1:7" ht="28.5" customHeight="1" x14ac:dyDescent="0.2">
      <c r="A19" s="28" t="s">
        <v>24</v>
      </c>
      <c r="B19" s="28" t="s">
        <v>2</v>
      </c>
      <c r="C19" s="27" t="s">
        <v>56</v>
      </c>
      <c r="E19" s="28" t="s">
        <v>96</v>
      </c>
      <c r="F19" s="28" t="s">
        <v>2</v>
      </c>
      <c r="G19" s="27" t="s">
        <v>111</v>
      </c>
    </row>
    <row r="20" spans="1:7" ht="14.25" x14ac:dyDescent="0.2">
      <c r="A20" s="28" t="s">
        <v>6</v>
      </c>
      <c r="B20" s="28" t="s">
        <v>2</v>
      </c>
      <c r="C20" s="27" t="s">
        <v>57</v>
      </c>
      <c r="E20" s="28" t="s">
        <v>97</v>
      </c>
      <c r="F20" s="28" t="s">
        <v>2</v>
      </c>
      <c r="G20" s="34" t="s">
        <v>112</v>
      </c>
    </row>
    <row r="21" spans="1:7" ht="14.25" x14ac:dyDescent="0.2">
      <c r="A21" s="28" t="s">
        <v>36</v>
      </c>
      <c r="B21" s="28" t="s">
        <v>2</v>
      </c>
      <c r="C21" s="27" t="s">
        <v>58</v>
      </c>
      <c r="E21" s="28" t="s">
        <v>77</v>
      </c>
      <c r="F21" s="28" t="s">
        <v>2</v>
      </c>
      <c r="G21" s="27" t="s">
        <v>136</v>
      </c>
    </row>
    <row r="22" spans="1:7" ht="14.25" x14ac:dyDescent="0.2">
      <c r="A22" s="28" t="s">
        <v>37</v>
      </c>
      <c r="B22" s="28" t="s">
        <v>2</v>
      </c>
      <c r="C22" s="27" t="s">
        <v>131</v>
      </c>
      <c r="E22" s="28" t="s">
        <v>77</v>
      </c>
      <c r="F22" s="28" t="s">
        <v>2</v>
      </c>
      <c r="G22" s="27" t="s">
        <v>106</v>
      </c>
    </row>
    <row r="23" spans="1:7" ht="38.25" x14ac:dyDescent="0.2">
      <c r="A23" s="28" t="s">
        <v>38</v>
      </c>
      <c r="B23" s="28" t="s">
        <v>2</v>
      </c>
      <c r="C23" s="27" t="s">
        <v>59</v>
      </c>
      <c r="E23" s="28" t="s">
        <v>78</v>
      </c>
      <c r="F23" s="28" t="s">
        <v>2</v>
      </c>
      <c r="G23" s="27" t="s">
        <v>113</v>
      </c>
    </row>
    <row r="24" spans="1:7" ht="12.75" x14ac:dyDescent="0.2">
      <c r="A24" s="28" t="s">
        <v>11</v>
      </c>
      <c r="B24" s="28" t="s">
        <v>2</v>
      </c>
      <c r="C24" s="27" t="s">
        <v>60</v>
      </c>
      <c r="E24" s="28" t="s">
        <v>17</v>
      </c>
      <c r="F24" s="28" t="s">
        <v>2</v>
      </c>
      <c r="G24" s="27" t="s">
        <v>114</v>
      </c>
    </row>
    <row r="25" spans="1:7" ht="12.75" x14ac:dyDescent="0.2">
      <c r="A25" s="28" t="s">
        <v>25</v>
      </c>
      <c r="B25" s="28" t="s">
        <v>2</v>
      </c>
      <c r="C25" s="27" t="s">
        <v>61</v>
      </c>
      <c r="E25" s="28" t="s">
        <v>79</v>
      </c>
      <c r="F25" s="28" t="s">
        <v>2</v>
      </c>
      <c r="G25" s="27" t="s">
        <v>107</v>
      </c>
    </row>
    <row r="26" spans="1:7" ht="14.25" x14ac:dyDescent="0.2">
      <c r="A26" s="28" t="s">
        <v>39</v>
      </c>
      <c r="B26" s="28" t="s">
        <v>2</v>
      </c>
      <c r="C26" s="27" t="s">
        <v>62</v>
      </c>
      <c r="E26" s="28" t="s">
        <v>80</v>
      </c>
      <c r="F26" s="28" t="s">
        <v>2</v>
      </c>
      <c r="G26" s="27" t="s">
        <v>511</v>
      </c>
    </row>
    <row r="27" spans="1:7" ht="16.5" customHeight="1" x14ac:dyDescent="0.2">
      <c r="A27" s="28" t="s">
        <v>40</v>
      </c>
      <c r="B27" s="28" t="s">
        <v>2</v>
      </c>
      <c r="C27" s="27" t="s">
        <v>63</v>
      </c>
      <c r="E27" s="28" t="s">
        <v>3</v>
      </c>
      <c r="F27" s="28" t="s">
        <v>2</v>
      </c>
      <c r="G27" s="27" t="s">
        <v>512</v>
      </c>
    </row>
    <row r="28" spans="1:7" ht="19.5" customHeight="1" x14ac:dyDescent="0.2">
      <c r="A28" s="28" t="s">
        <v>26</v>
      </c>
      <c r="B28" s="28" t="s">
        <v>2</v>
      </c>
      <c r="C28" s="27" t="s">
        <v>64</v>
      </c>
      <c r="E28" s="28" t="s">
        <v>81</v>
      </c>
      <c r="F28" s="28" t="s">
        <v>2</v>
      </c>
      <c r="G28" s="27" t="s">
        <v>115</v>
      </c>
    </row>
    <row r="29" spans="1:7" ht="12.75" x14ac:dyDescent="0.2">
      <c r="A29" s="28" t="s">
        <v>27</v>
      </c>
      <c r="B29" s="28" t="s">
        <v>2</v>
      </c>
      <c r="C29" s="27" t="s">
        <v>65</v>
      </c>
      <c r="E29" s="28" t="s">
        <v>82</v>
      </c>
      <c r="F29" s="28" t="s">
        <v>2</v>
      </c>
      <c r="G29" s="27" t="s">
        <v>116</v>
      </c>
    </row>
    <row r="30" spans="1:7" ht="15.75" x14ac:dyDescent="0.2">
      <c r="A30" s="28" t="s">
        <v>7</v>
      </c>
      <c r="B30" s="28" t="s">
        <v>2</v>
      </c>
      <c r="C30" s="27" t="s">
        <v>66</v>
      </c>
      <c r="E30" s="28" t="s">
        <v>83</v>
      </c>
      <c r="F30" s="28" t="s">
        <v>2</v>
      </c>
      <c r="G30" s="27" t="s">
        <v>137</v>
      </c>
    </row>
    <row r="31" spans="1:7" ht="12.75" x14ac:dyDescent="0.2">
      <c r="A31" s="28" t="s">
        <v>28</v>
      </c>
      <c r="B31" s="28" t="s">
        <v>2</v>
      </c>
      <c r="C31" s="27" t="s">
        <v>67</v>
      </c>
      <c r="E31" s="28" t="s">
        <v>84</v>
      </c>
      <c r="F31" s="28" t="s">
        <v>2</v>
      </c>
      <c r="G31" s="27" t="s">
        <v>117</v>
      </c>
    </row>
    <row r="32" spans="1:7" ht="15.75" customHeight="1" x14ac:dyDescent="0.2">
      <c r="A32" s="28" t="s">
        <v>41</v>
      </c>
      <c r="B32" s="28" t="s">
        <v>2</v>
      </c>
      <c r="C32" s="27" t="s">
        <v>68</v>
      </c>
      <c r="E32" s="33" t="s">
        <v>85</v>
      </c>
      <c r="F32" s="28" t="s">
        <v>2</v>
      </c>
      <c r="G32" s="27" t="s">
        <v>118</v>
      </c>
    </row>
    <row r="33" spans="1:7" ht="16.5" customHeight="1" x14ac:dyDescent="0.2">
      <c r="A33" s="28" t="s">
        <v>42</v>
      </c>
      <c r="B33" s="28" t="s">
        <v>2</v>
      </c>
      <c r="C33" s="27" t="s">
        <v>508</v>
      </c>
      <c r="E33" s="28" t="s">
        <v>98</v>
      </c>
      <c r="F33" s="28" t="s">
        <v>2</v>
      </c>
      <c r="G33" s="27" t="s">
        <v>119</v>
      </c>
    </row>
    <row r="34" spans="1:7" ht="14.25" x14ac:dyDescent="0.2">
      <c r="A34" s="28" t="s">
        <v>43</v>
      </c>
      <c r="B34" s="28" t="s">
        <v>2</v>
      </c>
      <c r="C34" s="27" t="s">
        <v>509</v>
      </c>
      <c r="E34" s="33" t="s">
        <v>86</v>
      </c>
      <c r="F34" s="28" t="s">
        <v>2</v>
      </c>
      <c r="G34" s="27" t="s">
        <v>120</v>
      </c>
    </row>
    <row r="35" spans="1:7" ht="25.5" x14ac:dyDescent="0.2">
      <c r="A35" s="28" t="s">
        <v>44</v>
      </c>
      <c r="B35" s="28" t="s">
        <v>2</v>
      </c>
      <c r="C35" s="27" t="s">
        <v>510</v>
      </c>
      <c r="F35" s="28"/>
    </row>
    <row r="36" spans="1:7" ht="25.5" x14ac:dyDescent="0.2">
      <c r="A36" s="28" t="s">
        <v>45</v>
      </c>
      <c r="B36" s="28" t="s">
        <v>2</v>
      </c>
      <c r="C36" s="27" t="s">
        <v>507</v>
      </c>
      <c r="E36" s="35" t="s">
        <v>8</v>
      </c>
      <c r="F36" s="35"/>
      <c r="G36" s="35"/>
    </row>
    <row r="37" spans="1:7" ht="12.75" x14ac:dyDescent="0.2">
      <c r="A37" s="28" t="s">
        <v>29</v>
      </c>
      <c r="B37" s="28" t="s">
        <v>2</v>
      </c>
      <c r="C37" s="27" t="s">
        <v>69</v>
      </c>
      <c r="E37" s="28" t="s">
        <v>4</v>
      </c>
      <c r="F37" s="28" t="s">
        <v>2</v>
      </c>
      <c r="G37" s="27" t="s">
        <v>513</v>
      </c>
    </row>
    <row r="38" spans="1:7" ht="12.75" x14ac:dyDescent="0.2">
      <c r="A38" s="28" t="s">
        <v>30</v>
      </c>
      <c r="B38" s="28" t="s">
        <v>2</v>
      </c>
      <c r="C38" s="27" t="s">
        <v>70</v>
      </c>
      <c r="E38" s="28" t="s">
        <v>87</v>
      </c>
      <c r="F38" s="28" t="s">
        <v>2</v>
      </c>
      <c r="G38" s="27" t="s">
        <v>138</v>
      </c>
    </row>
    <row r="39" spans="1:7" ht="12.75" x14ac:dyDescent="0.2">
      <c r="A39" s="28" t="s">
        <v>9</v>
      </c>
      <c r="B39" s="28" t="s">
        <v>2</v>
      </c>
      <c r="C39" s="27" t="s">
        <v>71</v>
      </c>
      <c r="E39" s="28" t="s">
        <v>14</v>
      </c>
      <c r="F39" s="28" t="s">
        <v>2</v>
      </c>
      <c r="G39" s="27" t="s">
        <v>514</v>
      </c>
    </row>
    <row r="40" spans="1:7" ht="12.75" x14ac:dyDescent="0.2">
      <c r="A40" s="28" t="s">
        <v>10</v>
      </c>
      <c r="B40" s="28" t="s">
        <v>2</v>
      </c>
      <c r="C40" s="27" t="s">
        <v>72</v>
      </c>
      <c r="E40" s="28" t="s">
        <v>80</v>
      </c>
      <c r="F40" s="28" t="s">
        <v>2</v>
      </c>
      <c r="G40" s="27" t="s">
        <v>515</v>
      </c>
    </row>
    <row r="41" spans="1:7" ht="12.75" x14ac:dyDescent="0.2">
      <c r="A41" s="28" t="s">
        <v>31</v>
      </c>
      <c r="B41" s="28" t="s">
        <v>2</v>
      </c>
      <c r="C41" s="27" t="s">
        <v>132</v>
      </c>
      <c r="E41" s="28" t="s">
        <v>16</v>
      </c>
      <c r="F41" s="28" t="s">
        <v>2</v>
      </c>
      <c r="G41" s="27" t="s">
        <v>121</v>
      </c>
    </row>
    <row r="42" spans="1:7" ht="12.75" x14ac:dyDescent="0.2">
      <c r="A42" s="28" t="s">
        <v>73</v>
      </c>
      <c r="B42" s="28" t="s">
        <v>2</v>
      </c>
      <c r="C42" s="27" t="s">
        <v>99</v>
      </c>
      <c r="E42" s="28">
        <v>1</v>
      </c>
      <c r="F42" s="28" t="s">
        <v>2</v>
      </c>
      <c r="G42" s="27" t="s">
        <v>122</v>
      </c>
    </row>
    <row r="43" spans="1:7" ht="14.25" x14ac:dyDescent="0.2">
      <c r="A43" s="28" t="s">
        <v>88</v>
      </c>
      <c r="B43" s="28" t="s">
        <v>2</v>
      </c>
      <c r="C43" s="27" t="s">
        <v>100</v>
      </c>
      <c r="E43" s="28">
        <v>2</v>
      </c>
      <c r="F43" s="28" t="s">
        <v>2</v>
      </c>
      <c r="G43" s="27" t="s">
        <v>123</v>
      </c>
    </row>
    <row r="44" spans="1:7" x14ac:dyDescent="0.2">
      <c r="A44" s="28" t="s">
        <v>89</v>
      </c>
      <c r="B44" s="28" t="s">
        <v>2</v>
      </c>
      <c r="C44" s="27" t="s">
        <v>101</v>
      </c>
    </row>
  </sheetData>
  <sheetProtection password="E156" sheet="1" objects="1" scenarios="1"/>
  <mergeCells count="3">
    <mergeCell ref="A5:G5"/>
    <mergeCell ref="A6:G6"/>
    <mergeCell ref="E36:G36"/>
  </mergeCells>
  <pageMargins left="0.7" right="0.7" top="0.75" bottom="0.75" header="0.3" footer="0.3"/>
  <pageSetup scale="81" orientation="portrait" r:id="rId1"/>
  <headerFooter>
    <oddHeader>&amp;CCALCULATION SPREADSHEET FOR GPSA ENGINEERING DATA BOOK, 13th EDITION
NOMENCLATURE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U109"/>
  <sheetViews>
    <sheetView zoomScale="80" zoomScaleNormal="80" workbookViewId="0">
      <selection activeCell="C2" sqref="C2"/>
    </sheetView>
  </sheetViews>
  <sheetFormatPr defaultColWidth="9.140625" defaultRowHeight="15" x14ac:dyDescent="0.25"/>
  <cols>
    <col min="1" max="1" width="44.5703125" style="51" customWidth="1"/>
    <col min="2" max="2" width="9.140625" style="37"/>
    <col min="3" max="3" width="27.28515625" style="37" customWidth="1"/>
    <col min="4" max="4" width="20.85546875" style="38" customWidth="1"/>
    <col min="5" max="5" width="9.140625" style="37"/>
    <col min="6" max="6" width="11.5703125" style="37" customWidth="1"/>
    <col min="7" max="7" width="18" style="37" customWidth="1"/>
    <col min="8" max="8" width="9.140625" style="36"/>
    <col min="9" max="9" width="32" style="38" customWidth="1"/>
    <col min="10" max="10" width="7.7109375" style="37" customWidth="1"/>
    <col min="11" max="11" width="20.85546875" style="37" bestFit="1" customWidth="1"/>
    <col min="12" max="12" width="25.7109375" style="36" customWidth="1"/>
    <col min="13" max="14" width="9.140625" style="37"/>
    <col min="15" max="15" width="18.7109375" style="38" customWidth="1"/>
    <col min="16" max="16384" width="9.140625" style="36"/>
  </cols>
  <sheetData>
    <row r="1" spans="1:73" x14ac:dyDescent="0.25">
      <c r="A1" s="36" t="s">
        <v>519</v>
      </c>
    </row>
    <row r="5" spans="1:73" ht="45" customHeight="1" x14ac:dyDescent="0.25">
      <c r="A5" s="104" t="s">
        <v>462</v>
      </c>
      <c r="B5" s="104"/>
      <c r="C5" s="104"/>
      <c r="D5" s="104"/>
      <c r="E5" s="104"/>
      <c r="F5" s="104"/>
      <c r="G5" s="105"/>
      <c r="I5" s="39" t="s">
        <v>462</v>
      </c>
      <c r="J5" s="39"/>
      <c r="K5" s="39"/>
      <c r="L5" s="39"/>
      <c r="M5" s="39"/>
      <c r="N5" s="39"/>
      <c r="O5" s="1"/>
    </row>
    <row r="6" spans="1:73" x14ac:dyDescent="0.25">
      <c r="A6" s="106" t="s">
        <v>151</v>
      </c>
      <c r="B6" s="105"/>
      <c r="C6" s="105"/>
      <c r="D6" s="107"/>
      <c r="E6" s="105"/>
      <c r="F6" s="105"/>
      <c r="G6" s="105"/>
      <c r="I6" s="40" t="s">
        <v>461</v>
      </c>
      <c r="J6" s="1"/>
      <c r="K6" s="1"/>
      <c r="L6" s="5"/>
      <c r="M6" s="1"/>
      <c r="N6" s="1"/>
      <c r="O6" s="1"/>
      <c r="BU6" s="37" t="s">
        <v>426</v>
      </c>
    </row>
    <row r="7" spans="1:73" x14ac:dyDescent="0.25">
      <c r="A7" s="107" t="s">
        <v>152</v>
      </c>
      <c r="B7" s="105" t="s">
        <v>153</v>
      </c>
      <c r="C7" s="105" t="s">
        <v>154</v>
      </c>
      <c r="D7" s="107"/>
      <c r="E7" s="105"/>
      <c r="F7" s="105"/>
      <c r="G7" s="105"/>
      <c r="I7" s="41" t="s">
        <v>152</v>
      </c>
      <c r="J7" s="1" t="s">
        <v>153</v>
      </c>
      <c r="K7" s="1" t="s">
        <v>154</v>
      </c>
      <c r="L7" s="5"/>
      <c r="M7" s="1"/>
      <c r="N7" s="1"/>
      <c r="O7" s="1"/>
      <c r="BU7" s="42" t="s">
        <v>163</v>
      </c>
    </row>
    <row r="8" spans="1:73" x14ac:dyDescent="0.25">
      <c r="A8" s="107" t="s">
        <v>155</v>
      </c>
      <c r="B8" s="108" t="s">
        <v>153</v>
      </c>
      <c r="C8" s="109">
        <v>20000000</v>
      </c>
      <c r="D8" s="107" t="s">
        <v>127</v>
      </c>
      <c r="E8" s="105"/>
      <c r="F8" s="105"/>
      <c r="G8" s="105"/>
      <c r="I8" s="41" t="s">
        <v>155</v>
      </c>
      <c r="J8" s="43" t="s">
        <v>153</v>
      </c>
      <c r="K8" s="2">
        <v>20000000</v>
      </c>
      <c r="L8" s="5" t="s">
        <v>127</v>
      </c>
      <c r="M8" s="1"/>
      <c r="N8" s="1"/>
      <c r="O8" s="1"/>
      <c r="BU8" s="42" t="s">
        <v>427</v>
      </c>
    </row>
    <row r="9" spans="1:73" ht="17.25" customHeight="1" x14ac:dyDescent="0.25">
      <c r="A9" s="107" t="s">
        <v>156</v>
      </c>
      <c r="B9" s="105" t="s">
        <v>2</v>
      </c>
      <c r="C9" s="105">
        <v>300</v>
      </c>
      <c r="D9" s="110" t="s">
        <v>140</v>
      </c>
      <c r="E9" s="105"/>
      <c r="F9" s="105"/>
      <c r="G9" s="105"/>
      <c r="I9" s="41" t="s">
        <v>156</v>
      </c>
      <c r="J9" s="1" t="s">
        <v>2</v>
      </c>
      <c r="K9" s="1">
        <v>300</v>
      </c>
      <c r="L9" s="44" t="s">
        <v>140</v>
      </c>
      <c r="M9" s="1"/>
      <c r="N9" s="1"/>
      <c r="O9" s="1"/>
    </row>
    <row r="10" spans="1:73" x14ac:dyDescent="0.25">
      <c r="A10" s="110" t="s">
        <v>158</v>
      </c>
      <c r="B10" s="111" t="s">
        <v>2</v>
      </c>
      <c r="C10" s="111">
        <v>150</v>
      </c>
      <c r="D10" s="110" t="s">
        <v>140</v>
      </c>
      <c r="E10" s="105"/>
      <c r="F10" s="105"/>
      <c r="G10" s="105"/>
      <c r="I10" s="45" t="s">
        <v>158</v>
      </c>
      <c r="J10" s="3" t="s">
        <v>2</v>
      </c>
      <c r="K10" s="3">
        <v>150</v>
      </c>
      <c r="L10" s="44" t="s">
        <v>140</v>
      </c>
      <c r="M10" s="1"/>
      <c r="N10" s="1"/>
      <c r="O10" s="1"/>
    </row>
    <row r="11" spans="1:73" x14ac:dyDescent="0.25">
      <c r="A11" s="107" t="s">
        <v>159</v>
      </c>
      <c r="B11" s="105" t="s">
        <v>2</v>
      </c>
      <c r="C11" s="105">
        <v>100</v>
      </c>
      <c r="D11" s="110" t="s">
        <v>140</v>
      </c>
      <c r="E11" s="105"/>
      <c r="F11" s="105"/>
      <c r="G11" s="105"/>
      <c r="I11" s="41" t="s">
        <v>159</v>
      </c>
      <c r="J11" s="1" t="s">
        <v>2</v>
      </c>
      <c r="K11" s="1">
        <v>100</v>
      </c>
      <c r="L11" s="44" t="s">
        <v>140</v>
      </c>
      <c r="M11" s="1"/>
      <c r="N11" s="1"/>
      <c r="O11" s="1"/>
    </row>
    <row r="12" spans="1:73" x14ac:dyDescent="0.25">
      <c r="A12" s="107" t="s">
        <v>160</v>
      </c>
      <c r="B12" s="105" t="s">
        <v>2</v>
      </c>
      <c r="C12" s="105">
        <v>2E-3</v>
      </c>
      <c r="D12" s="107" t="s">
        <v>161</v>
      </c>
      <c r="E12" s="105"/>
      <c r="F12" s="105"/>
      <c r="G12" s="105"/>
      <c r="I12" s="41" t="s">
        <v>160</v>
      </c>
      <c r="J12" s="1" t="s">
        <v>2</v>
      </c>
      <c r="K12" s="1">
        <v>2E-3</v>
      </c>
      <c r="L12" s="5" t="s">
        <v>161</v>
      </c>
      <c r="M12" s="1"/>
      <c r="N12" s="1"/>
      <c r="O12" s="1"/>
    </row>
    <row r="13" spans="1:73" x14ac:dyDescent="0.25">
      <c r="A13" s="107" t="s">
        <v>162</v>
      </c>
      <c r="B13" s="105" t="s">
        <v>2</v>
      </c>
      <c r="C13" s="105" t="s">
        <v>163</v>
      </c>
      <c r="D13" s="107"/>
      <c r="E13" s="105"/>
      <c r="F13" s="105"/>
      <c r="G13" s="105"/>
      <c r="I13" s="41" t="s">
        <v>162</v>
      </c>
      <c r="J13" s="1" t="s">
        <v>2</v>
      </c>
      <c r="K13" s="1" t="s">
        <v>163</v>
      </c>
      <c r="L13" s="5"/>
      <c r="M13" s="1"/>
      <c r="N13" s="1"/>
      <c r="O13" s="1"/>
    </row>
    <row r="14" spans="1:73" x14ac:dyDescent="0.25">
      <c r="A14" s="107" t="s">
        <v>164</v>
      </c>
      <c r="B14" s="105" t="s">
        <v>2</v>
      </c>
      <c r="C14" s="112">
        <v>0.25</v>
      </c>
      <c r="D14" s="107" t="s">
        <v>165</v>
      </c>
      <c r="E14" s="105"/>
      <c r="F14" s="105"/>
      <c r="G14" s="105"/>
      <c r="I14" s="41" t="s">
        <v>164</v>
      </c>
      <c r="J14" s="1" t="s">
        <v>2</v>
      </c>
      <c r="K14" s="4">
        <v>0.25</v>
      </c>
      <c r="L14" s="5" t="s">
        <v>165</v>
      </c>
      <c r="M14" s="1"/>
      <c r="N14" s="1"/>
      <c r="O14" s="1"/>
    </row>
    <row r="15" spans="1:73" x14ac:dyDescent="0.25">
      <c r="A15" s="106" t="s">
        <v>125</v>
      </c>
      <c r="B15" s="105"/>
      <c r="C15" s="109"/>
      <c r="D15" s="107"/>
      <c r="E15" s="105"/>
      <c r="F15" s="105"/>
      <c r="G15" s="105"/>
      <c r="I15" s="40" t="s">
        <v>460</v>
      </c>
      <c r="J15" s="1"/>
      <c r="K15" s="2"/>
      <c r="L15" s="5"/>
      <c r="M15" s="1"/>
      <c r="N15" s="1"/>
      <c r="O15" s="1"/>
    </row>
    <row r="16" spans="1:73" x14ac:dyDescent="0.25">
      <c r="A16" s="107" t="s">
        <v>126</v>
      </c>
      <c r="B16" s="105" t="s">
        <v>2</v>
      </c>
      <c r="C16" s="105" t="s">
        <v>166</v>
      </c>
      <c r="D16" s="107"/>
      <c r="E16" s="105"/>
      <c r="F16" s="105"/>
      <c r="G16" s="105"/>
      <c r="I16" s="41" t="s">
        <v>126</v>
      </c>
      <c r="J16" s="1" t="s">
        <v>2</v>
      </c>
      <c r="K16" s="1">
        <v>2</v>
      </c>
      <c r="L16" s="1" t="s">
        <v>455</v>
      </c>
      <c r="M16" s="1"/>
      <c r="N16" s="1"/>
      <c r="O16" s="1"/>
    </row>
    <row r="17" spans="1:21" x14ac:dyDescent="0.25">
      <c r="A17" s="107" t="s">
        <v>167</v>
      </c>
      <c r="B17" s="105" t="s">
        <v>2</v>
      </c>
      <c r="C17" s="105" t="s">
        <v>168</v>
      </c>
      <c r="D17" s="107"/>
      <c r="E17" s="105"/>
      <c r="F17" s="105"/>
      <c r="G17" s="105"/>
      <c r="I17" s="41" t="s">
        <v>456</v>
      </c>
      <c r="J17" s="1" t="s">
        <v>2</v>
      </c>
      <c r="K17" s="1">
        <v>1</v>
      </c>
      <c r="L17" s="5" t="s">
        <v>241</v>
      </c>
      <c r="M17" s="1"/>
      <c r="N17" s="1"/>
      <c r="O17" s="1"/>
    </row>
    <row r="18" spans="1:21" x14ac:dyDescent="0.25">
      <c r="A18" s="107" t="s">
        <v>139</v>
      </c>
      <c r="B18" s="105" t="s">
        <v>2</v>
      </c>
      <c r="C18" s="105" t="s">
        <v>169</v>
      </c>
      <c r="D18" s="107"/>
      <c r="E18" s="105"/>
      <c r="F18" s="105"/>
      <c r="G18" s="105"/>
      <c r="I18" s="41" t="s">
        <v>457</v>
      </c>
      <c r="J18" s="1" t="s">
        <v>2</v>
      </c>
      <c r="K18" s="1">
        <f>5/8</f>
        <v>0.625</v>
      </c>
      <c r="L18" s="5" t="s">
        <v>228</v>
      </c>
      <c r="M18" s="1"/>
      <c r="N18" s="1"/>
      <c r="O18" s="1"/>
    </row>
    <row r="19" spans="1:21" ht="15" customHeight="1" x14ac:dyDescent="0.25">
      <c r="A19" s="107" t="s">
        <v>170</v>
      </c>
      <c r="B19" s="105" t="s">
        <v>2</v>
      </c>
      <c r="C19" s="105" t="s">
        <v>171</v>
      </c>
      <c r="D19" s="107"/>
      <c r="E19" s="105"/>
      <c r="F19" s="105"/>
      <c r="G19" s="105"/>
      <c r="I19" s="41" t="s">
        <v>139</v>
      </c>
      <c r="J19" s="1" t="s">
        <v>2</v>
      </c>
      <c r="K19" s="1">
        <f>2+3/8</f>
        <v>2.375</v>
      </c>
      <c r="L19" s="5" t="s">
        <v>229</v>
      </c>
      <c r="M19" s="1"/>
      <c r="N19" s="1"/>
      <c r="O19" s="1"/>
    </row>
    <row r="20" spans="1:21" ht="15" customHeight="1" x14ac:dyDescent="0.25">
      <c r="A20" s="106"/>
      <c r="B20" s="108"/>
      <c r="C20" s="105"/>
      <c r="D20" s="107"/>
      <c r="E20" s="105"/>
      <c r="F20" s="105"/>
      <c r="G20" s="113"/>
      <c r="I20" s="41" t="s">
        <v>458</v>
      </c>
      <c r="J20" s="1" t="s">
        <v>2</v>
      </c>
      <c r="K20" s="1">
        <v>4</v>
      </c>
      <c r="L20" s="5" t="s">
        <v>231</v>
      </c>
      <c r="M20" s="1"/>
      <c r="N20" s="1"/>
      <c r="O20" s="1"/>
    </row>
    <row r="21" spans="1:21" x14ac:dyDescent="0.25">
      <c r="A21" s="106" t="s">
        <v>172</v>
      </c>
      <c r="B21" s="105"/>
      <c r="C21" s="105"/>
      <c r="D21" s="107"/>
      <c r="E21" s="105"/>
      <c r="F21" s="105"/>
      <c r="G21" s="113"/>
      <c r="I21" s="41" t="s">
        <v>73</v>
      </c>
      <c r="J21" s="43" t="s">
        <v>2</v>
      </c>
      <c r="K21" s="1">
        <v>6</v>
      </c>
      <c r="L21" s="5" t="s">
        <v>459</v>
      </c>
      <c r="M21" s="1"/>
      <c r="N21" s="1"/>
      <c r="O21" s="46"/>
    </row>
    <row r="22" spans="1:21" ht="30" x14ac:dyDescent="0.25">
      <c r="A22" s="114" t="s">
        <v>175</v>
      </c>
      <c r="B22" s="111" t="s">
        <v>2</v>
      </c>
      <c r="C22" s="111">
        <v>5.2</v>
      </c>
      <c r="D22" s="115" t="s">
        <v>197</v>
      </c>
      <c r="E22" s="115"/>
      <c r="F22" s="115"/>
      <c r="G22" s="115"/>
      <c r="I22" s="40" t="s">
        <v>434</v>
      </c>
      <c r="J22" s="1"/>
      <c r="K22" s="1"/>
      <c r="L22" s="5"/>
      <c r="M22" s="1"/>
      <c r="N22" s="1"/>
      <c r="O22" s="46"/>
    </row>
    <row r="23" spans="1:21" ht="30" x14ac:dyDescent="0.25">
      <c r="A23" s="116" t="s">
        <v>433</v>
      </c>
      <c r="B23" s="111" t="s">
        <v>2</v>
      </c>
      <c r="C23" s="111">
        <v>169.6</v>
      </c>
      <c r="D23" s="117" t="s">
        <v>428</v>
      </c>
      <c r="E23" s="117"/>
      <c r="F23" s="117"/>
      <c r="G23" s="117"/>
      <c r="I23" s="47" t="s">
        <v>430</v>
      </c>
      <c r="J23" s="3" t="s">
        <v>2</v>
      </c>
      <c r="K23" s="3">
        <v>5.2</v>
      </c>
      <c r="L23" s="48" t="s">
        <v>429</v>
      </c>
      <c r="M23" s="48"/>
      <c r="N23" s="48"/>
      <c r="O23" s="3" t="s">
        <v>466</v>
      </c>
    </row>
    <row r="24" spans="1:21" ht="39.75" customHeight="1" x14ac:dyDescent="0.25">
      <c r="A24" s="114" t="s">
        <v>176</v>
      </c>
      <c r="B24" s="111" t="s">
        <v>2</v>
      </c>
      <c r="C24" s="111">
        <v>1</v>
      </c>
      <c r="D24" s="118" t="s">
        <v>174</v>
      </c>
      <c r="E24" s="118"/>
      <c r="F24" s="118"/>
      <c r="G24" s="118"/>
      <c r="I24" s="47" t="s">
        <v>20</v>
      </c>
      <c r="J24" s="3" t="s">
        <v>2</v>
      </c>
      <c r="K24" s="3">
        <v>169.6</v>
      </c>
      <c r="L24" s="44" t="s">
        <v>173</v>
      </c>
      <c r="M24" s="1"/>
      <c r="N24" s="1"/>
      <c r="O24" s="3" t="s">
        <v>235</v>
      </c>
    </row>
    <row r="25" spans="1:21" ht="30" x14ac:dyDescent="0.25">
      <c r="A25" s="114" t="s">
        <v>177</v>
      </c>
      <c r="B25" s="119" t="s">
        <v>153</v>
      </c>
      <c r="C25" s="111">
        <f>(C9+C11)/2</f>
        <v>200</v>
      </c>
      <c r="D25" s="110" t="s">
        <v>157</v>
      </c>
      <c r="E25" s="105"/>
      <c r="F25" s="105"/>
      <c r="G25" s="105"/>
      <c r="I25" s="47" t="s">
        <v>432</v>
      </c>
      <c r="J25" s="3" t="s">
        <v>2</v>
      </c>
      <c r="K25" s="3">
        <v>1</v>
      </c>
      <c r="L25" s="49" t="s">
        <v>431</v>
      </c>
      <c r="M25" s="49"/>
      <c r="N25" s="49"/>
      <c r="O25" s="49"/>
    </row>
    <row r="26" spans="1:21" ht="24" customHeight="1" x14ac:dyDescent="0.25">
      <c r="A26" s="110" t="s">
        <v>178</v>
      </c>
      <c r="B26" s="111" t="s">
        <v>2</v>
      </c>
      <c r="C26" s="120">
        <f>1*((C9-C25)-(C10-C11))/((LN((C9-C25)/(C10-C11))))</f>
        <v>72.134752044448177</v>
      </c>
      <c r="D26" s="110" t="s">
        <v>157</v>
      </c>
      <c r="E26" s="105"/>
      <c r="F26" s="105"/>
      <c r="G26" s="105"/>
      <c r="I26" s="47" t="s">
        <v>438</v>
      </c>
      <c r="J26" s="50" t="s">
        <v>153</v>
      </c>
      <c r="K26" s="3">
        <f>(K9+K11)/2</f>
        <v>200</v>
      </c>
      <c r="L26" s="44" t="s">
        <v>157</v>
      </c>
      <c r="M26" s="1"/>
      <c r="N26" s="1"/>
      <c r="O26" s="41" t="s">
        <v>506</v>
      </c>
      <c r="P26" s="51"/>
      <c r="Q26" s="51"/>
      <c r="R26" s="51"/>
      <c r="S26" s="51"/>
      <c r="T26" s="51"/>
      <c r="U26" s="51"/>
    </row>
    <row r="27" spans="1:21" x14ac:dyDescent="0.25">
      <c r="A27" s="107" t="s">
        <v>179</v>
      </c>
      <c r="B27" s="105" t="s">
        <v>2</v>
      </c>
      <c r="C27" s="109">
        <f>C8/C22/C26</f>
        <v>53319.013889226553</v>
      </c>
      <c r="D27" s="107" t="s">
        <v>180</v>
      </c>
      <c r="E27" s="105"/>
      <c r="F27" s="105"/>
      <c r="G27" s="105"/>
      <c r="I27" s="52" t="s">
        <v>440</v>
      </c>
      <c r="J27" s="53"/>
      <c r="K27" s="53"/>
      <c r="L27" s="54"/>
      <c r="M27" s="53"/>
      <c r="N27" s="53"/>
      <c r="O27" s="55"/>
    </row>
    <row r="28" spans="1:21" ht="30" x14ac:dyDescent="0.25">
      <c r="A28" s="121" t="s">
        <v>181</v>
      </c>
      <c r="B28" s="111" t="s">
        <v>153</v>
      </c>
      <c r="C28" s="120">
        <f>C27/C23</f>
        <v>314.38097812043958</v>
      </c>
      <c r="D28" s="110" t="s">
        <v>180</v>
      </c>
      <c r="E28" s="105"/>
      <c r="F28" s="105"/>
      <c r="G28" s="105"/>
      <c r="I28" s="45" t="s">
        <v>23</v>
      </c>
      <c r="J28" s="3" t="s">
        <v>2</v>
      </c>
      <c r="K28" s="6">
        <f>1*((K9-K26)-(K10-K11))/((LN((K9-K26)/(K10-K11))))</f>
        <v>72.134752044448177</v>
      </c>
      <c r="L28" s="44" t="s">
        <v>157</v>
      </c>
      <c r="M28" s="1"/>
      <c r="N28" s="1"/>
      <c r="O28" s="1"/>
    </row>
    <row r="29" spans="1:21" ht="45" x14ac:dyDescent="0.25">
      <c r="A29" s="114" t="s">
        <v>517</v>
      </c>
      <c r="B29" s="111" t="s">
        <v>2</v>
      </c>
      <c r="C29" s="122">
        <f>C28*600*0.075*60</f>
        <v>848828.6409251868</v>
      </c>
      <c r="D29" s="110" t="s">
        <v>128</v>
      </c>
      <c r="E29" s="105"/>
      <c r="F29" s="105"/>
      <c r="G29" s="113"/>
      <c r="I29" s="45" t="s">
        <v>435</v>
      </c>
      <c r="J29" s="3" t="s">
        <v>2</v>
      </c>
      <c r="K29" s="7">
        <f>K8/K23/K28</f>
        <v>53319.013889226553</v>
      </c>
      <c r="L29" s="44" t="s">
        <v>180</v>
      </c>
      <c r="M29" s="3"/>
      <c r="N29" s="3"/>
      <c r="O29" s="3"/>
    </row>
    <row r="30" spans="1:21" ht="39" customHeight="1" x14ac:dyDescent="0.25">
      <c r="A30" s="114" t="s">
        <v>182</v>
      </c>
      <c r="B30" s="111" t="s">
        <v>2</v>
      </c>
      <c r="C30" s="123">
        <f>(C8/C29/C14)+C11</f>
        <v>194.24752670079963</v>
      </c>
      <c r="D30" s="110" t="s">
        <v>140</v>
      </c>
      <c r="E30" s="105"/>
      <c r="F30" s="105"/>
      <c r="G30" s="105"/>
      <c r="I30" s="47" t="s">
        <v>436</v>
      </c>
      <c r="J30" s="3" t="s">
        <v>153</v>
      </c>
      <c r="K30" s="6">
        <f>K29/K24</f>
        <v>314.38097812043958</v>
      </c>
      <c r="L30" s="44" t="s">
        <v>180</v>
      </c>
      <c r="M30" s="1"/>
      <c r="N30" s="1"/>
      <c r="O30" s="1"/>
    </row>
    <row r="31" spans="1:21" ht="36.75" customHeight="1" x14ac:dyDescent="0.25">
      <c r="A31" s="114" t="s">
        <v>183</v>
      </c>
      <c r="B31" s="111" t="s">
        <v>2</v>
      </c>
      <c r="C31" s="111">
        <v>196.2</v>
      </c>
      <c r="D31" s="110" t="s">
        <v>140</v>
      </c>
      <c r="E31" s="105"/>
      <c r="F31" s="105"/>
      <c r="G31" s="105"/>
      <c r="I31" s="47" t="s">
        <v>437</v>
      </c>
      <c r="J31" s="3" t="s">
        <v>2</v>
      </c>
      <c r="K31" s="7">
        <f>K30*600*0.075*60</f>
        <v>848828.6409251868</v>
      </c>
      <c r="L31" s="44" t="s">
        <v>128</v>
      </c>
      <c r="M31" s="1"/>
      <c r="N31" s="1"/>
      <c r="O31" s="46"/>
    </row>
    <row r="32" spans="1:21" ht="22.5" customHeight="1" x14ac:dyDescent="0.25">
      <c r="A32" s="121" t="s">
        <v>184</v>
      </c>
      <c r="B32" s="105" t="s">
        <v>2</v>
      </c>
      <c r="C32" s="124">
        <f>(1)*((C9-C31)-(C10-C11))/LN((C9-C31)/(C10-C11))</f>
        <v>73.653936796606104</v>
      </c>
      <c r="D32" s="110" t="s">
        <v>140</v>
      </c>
      <c r="E32" s="105"/>
      <c r="F32" s="105"/>
      <c r="G32" s="105"/>
      <c r="I32" s="47" t="s">
        <v>439</v>
      </c>
      <c r="J32" s="3" t="s">
        <v>2</v>
      </c>
      <c r="K32" s="8">
        <f>(K8/K31/K14)+K11</f>
        <v>194.24752670079963</v>
      </c>
      <c r="L32" s="44" t="s">
        <v>140</v>
      </c>
      <c r="M32" s="1"/>
      <c r="N32" s="1"/>
      <c r="O32" s="1"/>
    </row>
    <row r="33" spans="1:15" ht="23.25" customHeight="1" x14ac:dyDescent="0.25">
      <c r="A33" s="107" t="s">
        <v>185</v>
      </c>
      <c r="B33" s="105" t="s">
        <v>153</v>
      </c>
      <c r="C33" s="109">
        <f>C8/C22/C32</f>
        <v>52219.256884732778</v>
      </c>
      <c r="D33" s="107" t="s">
        <v>180</v>
      </c>
      <c r="E33" s="105"/>
      <c r="F33" s="105"/>
      <c r="G33" s="105"/>
      <c r="I33" s="56"/>
      <c r="J33" s="56"/>
      <c r="K33" s="56"/>
      <c r="L33" s="56"/>
      <c r="M33" s="56"/>
      <c r="N33" s="56"/>
      <c r="O33" s="56"/>
    </row>
    <row r="34" spans="1:15" ht="23.25" customHeight="1" x14ac:dyDescent="0.25">
      <c r="A34" s="107" t="s">
        <v>186</v>
      </c>
      <c r="B34" s="105" t="s">
        <v>2</v>
      </c>
      <c r="C34" s="125">
        <f>C33/C23</f>
        <v>307.89656182035839</v>
      </c>
      <c r="D34" s="107" t="s">
        <v>180</v>
      </c>
      <c r="E34" s="105"/>
      <c r="F34" s="105"/>
      <c r="G34" s="105"/>
      <c r="I34" s="40" t="s">
        <v>441</v>
      </c>
      <c r="J34" s="1"/>
      <c r="K34" s="1"/>
      <c r="L34" s="5"/>
      <c r="M34" s="1"/>
      <c r="N34" s="1"/>
      <c r="O34" s="46"/>
    </row>
    <row r="35" spans="1:15" ht="23.25" customHeight="1" x14ac:dyDescent="0.25">
      <c r="A35" s="107" t="s">
        <v>187</v>
      </c>
      <c r="B35" s="105" t="s">
        <v>2</v>
      </c>
      <c r="C35" s="109">
        <f>C34*600*0.075*60</f>
        <v>831320.71691496763</v>
      </c>
      <c r="D35" s="107" t="s">
        <v>180</v>
      </c>
      <c r="E35" s="105"/>
      <c r="F35" s="105"/>
      <c r="G35" s="105"/>
      <c r="I35" s="41" t="s">
        <v>191</v>
      </c>
      <c r="J35" s="1" t="s">
        <v>153</v>
      </c>
      <c r="K35" s="9">
        <f>SQRT(K30/3)</f>
        <v>10.236877422997692</v>
      </c>
      <c r="L35" s="5" t="s">
        <v>192</v>
      </c>
      <c r="M35" s="5" t="str">
        <f>IF(K35&gt;15,"Truck shippable units do not exceed 15 ft X 45 ft","Bay width does not exceed 15 feet")</f>
        <v>Bay width does not exceed 15 feet</v>
      </c>
      <c r="N35" s="1"/>
      <c r="O35" s="1"/>
    </row>
    <row r="36" spans="1:15" ht="23.25" customHeight="1" x14ac:dyDescent="0.25">
      <c r="A36" s="107" t="s">
        <v>188</v>
      </c>
      <c r="B36" s="105" t="s">
        <v>2</v>
      </c>
      <c r="C36" s="125">
        <f>(C8/C35/C14)+C11</f>
        <v>196.23241472542645</v>
      </c>
      <c r="D36" s="110" t="s">
        <v>140</v>
      </c>
      <c r="E36" s="105"/>
      <c r="F36" s="105"/>
      <c r="G36" s="105"/>
      <c r="I36" s="41" t="s">
        <v>193</v>
      </c>
      <c r="J36" s="1" t="s">
        <v>153</v>
      </c>
      <c r="K36" s="9">
        <f>K35*3</f>
        <v>30.710632268993074</v>
      </c>
      <c r="L36" s="5" t="s">
        <v>124</v>
      </c>
      <c r="M36" s="5" t="str">
        <f>IF(K36&gt;45,"Truck shippable units do not exceed 15 ft X 45 ft","Bay length does not exceed 45 feet")</f>
        <v>Bay length does not exceed 45 feet</v>
      </c>
      <c r="N36" s="1"/>
      <c r="O36" s="1"/>
    </row>
    <row r="37" spans="1:15" ht="23.25" customHeight="1" x14ac:dyDescent="0.25">
      <c r="A37" s="126" t="s">
        <v>189</v>
      </c>
      <c r="B37" s="126"/>
      <c r="C37" s="126"/>
      <c r="D37" s="126"/>
      <c r="E37" s="105"/>
      <c r="F37" s="105"/>
      <c r="G37" s="105"/>
      <c r="I37" s="56"/>
      <c r="J37" s="56"/>
      <c r="K37" s="56"/>
      <c r="L37" s="56"/>
      <c r="M37" s="56"/>
      <c r="N37" s="56"/>
      <c r="O37" s="56"/>
    </row>
    <row r="38" spans="1:15" x14ac:dyDescent="0.25">
      <c r="A38" s="107" t="s">
        <v>191</v>
      </c>
      <c r="B38" s="105" t="s">
        <v>153</v>
      </c>
      <c r="C38" s="105">
        <v>10</v>
      </c>
      <c r="D38" s="107" t="s">
        <v>192</v>
      </c>
      <c r="E38" s="105"/>
      <c r="F38" s="105"/>
      <c r="G38" s="105"/>
      <c r="I38" s="40" t="s">
        <v>444</v>
      </c>
      <c r="J38" s="1"/>
      <c r="K38" s="1"/>
      <c r="L38" s="5"/>
      <c r="M38" s="1"/>
      <c r="N38" s="1"/>
      <c r="O38" s="46"/>
    </row>
    <row r="39" spans="1:15" x14ac:dyDescent="0.25">
      <c r="A39" s="107" t="s">
        <v>193</v>
      </c>
      <c r="B39" s="105" t="s">
        <v>153</v>
      </c>
      <c r="C39" s="105">
        <v>30</v>
      </c>
      <c r="D39" s="107" t="s">
        <v>124</v>
      </c>
      <c r="E39" s="105"/>
      <c r="F39" s="105"/>
      <c r="G39" s="105"/>
      <c r="I39" s="47" t="s">
        <v>442</v>
      </c>
      <c r="J39" s="3" t="s">
        <v>153</v>
      </c>
      <c r="K39" s="10">
        <f>40*K35*K36/15/45</f>
        <v>18.629983888618639</v>
      </c>
      <c r="L39" s="44" t="s">
        <v>443</v>
      </c>
      <c r="M39" s="1"/>
      <c r="N39" s="1"/>
      <c r="O39" s="1"/>
    </row>
    <row r="40" spans="1:15" ht="54" customHeight="1" x14ac:dyDescent="0.25">
      <c r="A40" s="114" t="s">
        <v>190</v>
      </c>
      <c r="B40" s="111" t="s">
        <v>153</v>
      </c>
      <c r="C40" s="127">
        <f>40*C38*C39/15/45</f>
        <v>17.777777777777779</v>
      </c>
      <c r="D40" s="110" t="s">
        <v>194</v>
      </c>
      <c r="E40" s="105"/>
      <c r="F40" s="105"/>
      <c r="G40" s="105"/>
      <c r="I40" s="57"/>
      <c r="J40" s="57"/>
      <c r="K40" s="57"/>
      <c r="L40" s="58"/>
      <c r="M40" s="59"/>
      <c r="N40" s="60"/>
      <c r="O40" s="61"/>
    </row>
    <row r="41" spans="1:15" x14ac:dyDescent="0.25">
      <c r="A41" s="107" t="s">
        <v>195</v>
      </c>
      <c r="B41" s="105"/>
      <c r="C41" s="105"/>
      <c r="D41" s="107"/>
      <c r="E41" s="105"/>
      <c r="F41" s="105"/>
      <c r="G41" s="105"/>
      <c r="I41" s="57"/>
      <c r="J41" s="57"/>
      <c r="K41" s="57"/>
      <c r="L41" s="58"/>
      <c r="M41" s="59"/>
      <c r="N41" s="60"/>
      <c r="O41" s="61"/>
    </row>
    <row r="42" spans="1:15" x14ac:dyDescent="0.25">
      <c r="A42" s="107" t="s">
        <v>196</v>
      </c>
      <c r="B42" s="105"/>
      <c r="C42" s="105"/>
      <c r="D42" s="107"/>
      <c r="E42" s="105"/>
      <c r="F42" s="105"/>
      <c r="G42" s="105"/>
      <c r="I42" s="62"/>
      <c r="J42" s="63"/>
      <c r="K42" s="63"/>
      <c r="L42" s="63"/>
      <c r="M42" s="59"/>
      <c r="N42" s="64"/>
      <c r="O42" s="61"/>
    </row>
    <row r="43" spans="1:15" x14ac:dyDescent="0.25">
      <c r="A43" s="65"/>
      <c r="B43" s="65"/>
      <c r="C43" s="65"/>
      <c r="D43" s="66"/>
      <c r="E43" s="67"/>
      <c r="F43" s="68"/>
      <c r="G43" s="69"/>
      <c r="I43" s="62"/>
      <c r="J43" s="63"/>
      <c r="K43" s="63"/>
      <c r="L43" s="58"/>
      <c r="M43" s="59"/>
      <c r="N43" s="60"/>
      <c r="O43" s="61"/>
    </row>
    <row r="44" spans="1:15" x14ac:dyDescent="0.25">
      <c r="A44" s="70" t="s">
        <v>425</v>
      </c>
      <c r="B44" s="15"/>
      <c r="C44" s="15"/>
      <c r="D44" s="15"/>
      <c r="E44" s="67"/>
      <c r="F44" s="71"/>
      <c r="G44" s="69"/>
      <c r="I44" s="62"/>
      <c r="J44" s="63"/>
      <c r="K44" s="63"/>
      <c r="L44" s="63"/>
      <c r="M44" s="59"/>
      <c r="N44" s="64"/>
      <c r="O44" s="61"/>
    </row>
    <row r="45" spans="1:15" x14ac:dyDescent="0.25">
      <c r="A45" s="70" t="s">
        <v>524</v>
      </c>
      <c r="B45" s="15"/>
      <c r="C45" s="15"/>
      <c r="D45" s="66"/>
      <c r="E45" s="67"/>
      <c r="F45" s="68"/>
      <c r="G45" s="69"/>
      <c r="I45" s="62"/>
      <c r="J45" s="63"/>
      <c r="K45" s="63"/>
      <c r="L45" s="58"/>
      <c r="M45" s="59"/>
      <c r="N45" s="59"/>
      <c r="O45" s="61"/>
    </row>
    <row r="46" spans="1:15" x14ac:dyDescent="0.25">
      <c r="A46" s="70" t="s">
        <v>525</v>
      </c>
      <c r="B46" s="15"/>
      <c r="C46" s="15"/>
      <c r="D46" s="15"/>
      <c r="E46" s="67"/>
      <c r="F46" s="71"/>
      <c r="G46" s="69"/>
      <c r="I46" s="58"/>
      <c r="J46" s="58"/>
      <c r="K46" s="63"/>
      <c r="L46" s="58"/>
      <c r="M46" s="59"/>
      <c r="N46" s="59"/>
      <c r="O46" s="61"/>
    </row>
    <row r="47" spans="1:15" x14ac:dyDescent="0.25">
      <c r="A47" s="70" t="s">
        <v>526</v>
      </c>
      <c r="B47" s="15"/>
      <c r="C47" s="15"/>
      <c r="D47" s="66"/>
      <c r="E47" s="67"/>
      <c r="F47" s="67"/>
      <c r="G47" s="69"/>
      <c r="I47" s="62"/>
      <c r="J47" s="63"/>
      <c r="K47" s="72"/>
      <c r="L47" s="72"/>
      <c r="M47" s="59"/>
      <c r="N47" s="64"/>
      <c r="O47" s="61"/>
    </row>
    <row r="48" spans="1:15" x14ac:dyDescent="0.25">
      <c r="A48" s="73" t="s">
        <v>527</v>
      </c>
      <c r="B48" s="66"/>
      <c r="C48" s="15"/>
      <c r="D48" s="66"/>
      <c r="E48" s="67"/>
      <c r="F48" s="67"/>
      <c r="G48" s="69"/>
      <c r="I48" s="62"/>
      <c r="J48" s="63"/>
      <c r="K48" s="63"/>
      <c r="L48" s="58"/>
      <c r="M48" s="59"/>
      <c r="N48" s="59"/>
      <c r="O48" s="61"/>
    </row>
    <row r="49" spans="1:15" x14ac:dyDescent="0.25">
      <c r="A49" s="74"/>
      <c r="B49" s="15"/>
      <c r="C49" s="16"/>
      <c r="D49" s="16"/>
      <c r="E49" s="67"/>
      <c r="F49" s="71"/>
      <c r="G49" s="69"/>
      <c r="I49" s="57"/>
      <c r="J49" s="57"/>
      <c r="K49" s="57"/>
      <c r="L49" s="58"/>
      <c r="M49" s="59"/>
      <c r="N49" s="59"/>
      <c r="O49" s="61"/>
    </row>
    <row r="50" spans="1:15" x14ac:dyDescent="0.25">
      <c r="A50" s="74"/>
      <c r="B50" s="15"/>
      <c r="C50" s="15"/>
      <c r="D50" s="66"/>
      <c r="E50" s="67"/>
      <c r="F50" s="67"/>
      <c r="G50" s="69"/>
      <c r="I50" s="62"/>
      <c r="J50" s="63"/>
      <c r="K50" s="72"/>
      <c r="L50" s="72"/>
      <c r="M50" s="63"/>
      <c r="N50" s="64"/>
      <c r="O50" s="61"/>
    </row>
    <row r="51" spans="1:15" x14ac:dyDescent="0.25">
      <c r="A51" s="65"/>
      <c r="B51" s="65"/>
      <c r="C51" s="65"/>
      <c r="D51" s="66"/>
      <c r="E51" s="67"/>
      <c r="F51" s="67"/>
      <c r="G51" s="69"/>
      <c r="I51" s="62"/>
      <c r="J51" s="63"/>
      <c r="K51" s="72"/>
      <c r="L51" s="72"/>
      <c r="M51" s="63"/>
      <c r="N51" s="59"/>
      <c r="O51" s="61"/>
    </row>
    <row r="52" spans="1:15" x14ac:dyDescent="0.25">
      <c r="A52" s="74"/>
      <c r="B52" s="15"/>
      <c r="C52" s="16"/>
      <c r="D52" s="16"/>
      <c r="E52" s="15"/>
      <c r="F52" s="71"/>
      <c r="G52" s="69"/>
      <c r="I52" s="57"/>
      <c r="J52" s="57"/>
      <c r="K52" s="57"/>
      <c r="L52" s="58"/>
      <c r="M52" s="63"/>
      <c r="N52" s="60"/>
      <c r="O52" s="61"/>
    </row>
    <row r="53" spans="1:15" x14ac:dyDescent="0.25">
      <c r="A53" s="74"/>
      <c r="B53" s="15"/>
      <c r="C53" s="16"/>
      <c r="D53" s="16"/>
      <c r="E53" s="15"/>
      <c r="F53" s="67"/>
      <c r="G53" s="69"/>
      <c r="I53" s="62"/>
      <c r="J53" s="63"/>
      <c r="K53" s="72"/>
      <c r="L53" s="72"/>
      <c r="M53" s="63"/>
      <c r="N53" s="75"/>
      <c r="O53" s="61"/>
    </row>
    <row r="54" spans="1:15" x14ac:dyDescent="0.25">
      <c r="A54" s="65"/>
      <c r="B54" s="65"/>
      <c r="C54" s="65"/>
      <c r="D54" s="66"/>
      <c r="E54" s="15"/>
      <c r="F54" s="68"/>
      <c r="G54" s="69"/>
      <c r="I54" s="62"/>
      <c r="J54" s="63"/>
      <c r="K54" s="63"/>
      <c r="L54" s="58"/>
      <c r="M54" s="63"/>
      <c r="N54" s="60"/>
      <c r="O54" s="61"/>
    </row>
    <row r="55" spans="1:15" x14ac:dyDescent="0.25">
      <c r="A55" s="74"/>
      <c r="B55" s="15"/>
      <c r="C55" s="16"/>
      <c r="D55" s="16"/>
      <c r="E55" s="15"/>
      <c r="F55" s="76"/>
      <c r="G55" s="69"/>
      <c r="I55" s="57"/>
      <c r="J55" s="57"/>
      <c r="K55" s="57"/>
      <c r="L55" s="58"/>
      <c r="M55" s="63"/>
      <c r="N55" s="60"/>
      <c r="O55" s="61"/>
    </row>
    <row r="56" spans="1:15" x14ac:dyDescent="0.25">
      <c r="A56" s="74"/>
      <c r="B56" s="15"/>
      <c r="C56" s="15"/>
      <c r="D56" s="66"/>
      <c r="E56" s="15"/>
      <c r="F56" s="68"/>
      <c r="G56" s="69"/>
      <c r="I56" s="62"/>
      <c r="J56" s="63"/>
      <c r="K56" s="72"/>
      <c r="L56" s="72"/>
      <c r="M56" s="59"/>
      <c r="N56" s="59"/>
      <c r="O56" s="61"/>
    </row>
    <row r="57" spans="1:15" x14ac:dyDescent="0.25">
      <c r="A57" s="65"/>
      <c r="B57" s="65"/>
      <c r="C57" s="65"/>
      <c r="D57" s="66"/>
      <c r="E57" s="15"/>
      <c r="F57" s="68"/>
      <c r="G57" s="69"/>
      <c r="I57" s="62"/>
      <c r="J57" s="63"/>
      <c r="K57" s="63"/>
      <c r="L57" s="58"/>
      <c r="M57" s="59"/>
      <c r="N57" s="60"/>
      <c r="O57" s="61"/>
    </row>
    <row r="58" spans="1:15" x14ac:dyDescent="0.25">
      <c r="A58" s="74"/>
      <c r="B58" s="15"/>
      <c r="C58" s="16"/>
      <c r="D58" s="16"/>
      <c r="E58" s="67"/>
      <c r="F58" s="67"/>
      <c r="G58" s="69"/>
      <c r="I58" s="62"/>
      <c r="J58" s="63"/>
      <c r="K58" s="72"/>
      <c r="L58" s="72"/>
      <c r="M58" s="59"/>
      <c r="N58" s="60"/>
      <c r="O58" s="61"/>
    </row>
    <row r="59" spans="1:15" x14ac:dyDescent="0.25">
      <c r="A59" s="74"/>
      <c r="B59" s="15"/>
      <c r="C59" s="15"/>
      <c r="D59" s="66"/>
      <c r="E59" s="67"/>
      <c r="F59" s="68"/>
      <c r="G59" s="69"/>
      <c r="I59" s="62"/>
      <c r="J59" s="63"/>
      <c r="K59" s="77"/>
      <c r="L59" s="77"/>
      <c r="M59" s="59"/>
      <c r="N59" s="60"/>
      <c r="O59" s="61"/>
    </row>
    <row r="60" spans="1:15" x14ac:dyDescent="0.25">
      <c r="A60" s="74"/>
      <c r="B60" s="15"/>
      <c r="C60" s="16"/>
      <c r="D60" s="16"/>
      <c r="E60" s="67"/>
      <c r="F60" s="68"/>
      <c r="G60" s="69"/>
      <c r="I60" s="62"/>
      <c r="J60" s="63"/>
      <c r="K60" s="72"/>
      <c r="L60" s="72"/>
      <c r="M60" s="59"/>
      <c r="N60" s="78"/>
      <c r="O60" s="61"/>
    </row>
    <row r="61" spans="1:15" ht="33" customHeight="1" x14ac:dyDescent="0.25">
      <c r="A61" s="74"/>
      <c r="B61" s="15"/>
      <c r="C61" s="79"/>
      <c r="D61" s="79"/>
      <c r="E61" s="67"/>
      <c r="F61" s="68"/>
      <c r="G61" s="69"/>
      <c r="I61" s="62"/>
      <c r="J61" s="63"/>
      <c r="K61" s="80"/>
      <c r="L61" s="80"/>
      <c r="M61" s="59"/>
      <c r="N61" s="78"/>
      <c r="O61" s="61"/>
    </row>
    <row r="62" spans="1:15" x14ac:dyDescent="0.25">
      <c r="A62" s="74"/>
      <c r="B62" s="15"/>
      <c r="C62" s="16"/>
      <c r="D62" s="16"/>
      <c r="E62" s="67"/>
      <c r="F62" s="81"/>
      <c r="G62" s="69"/>
      <c r="I62" s="62"/>
      <c r="J62" s="63"/>
      <c r="K62" s="63"/>
      <c r="L62" s="58"/>
      <c r="M62" s="59"/>
      <c r="N62" s="60"/>
      <c r="O62" s="61"/>
    </row>
    <row r="63" spans="1:15" ht="93" customHeight="1" x14ac:dyDescent="0.25">
      <c r="A63" s="74"/>
      <c r="B63" s="15"/>
      <c r="C63" s="82"/>
      <c r="D63" s="82"/>
      <c r="E63" s="67"/>
      <c r="F63" s="81"/>
      <c r="G63" s="69"/>
      <c r="I63" s="57"/>
      <c r="J63" s="57"/>
      <c r="K63" s="57"/>
      <c r="L63" s="58"/>
      <c r="M63" s="59"/>
      <c r="N63" s="60"/>
      <c r="O63" s="61"/>
    </row>
    <row r="64" spans="1:15" x14ac:dyDescent="0.25">
      <c r="A64" s="74"/>
      <c r="B64" s="15"/>
      <c r="C64" s="15"/>
      <c r="D64" s="66"/>
      <c r="E64" s="67"/>
      <c r="F64" s="68"/>
      <c r="G64" s="69"/>
      <c r="I64" s="62"/>
      <c r="J64" s="63"/>
      <c r="K64" s="72"/>
      <c r="L64" s="72"/>
      <c r="M64" s="59"/>
      <c r="N64" s="59"/>
      <c r="O64" s="61"/>
    </row>
    <row r="65" spans="1:15" x14ac:dyDescent="0.25">
      <c r="A65" s="65"/>
      <c r="B65" s="65"/>
      <c r="C65" s="65"/>
      <c r="D65" s="66"/>
      <c r="E65" s="67"/>
      <c r="F65" s="68"/>
      <c r="G65" s="69"/>
      <c r="I65" s="62"/>
      <c r="J65" s="63"/>
      <c r="K65" s="63"/>
      <c r="L65" s="58"/>
      <c r="M65" s="59"/>
      <c r="N65" s="60"/>
      <c r="O65" s="61"/>
    </row>
    <row r="66" spans="1:15" x14ac:dyDescent="0.25">
      <c r="A66" s="74"/>
      <c r="B66" s="15"/>
      <c r="C66" s="16"/>
      <c r="D66" s="16"/>
      <c r="E66" s="67"/>
      <c r="F66" s="67"/>
      <c r="G66" s="69"/>
      <c r="I66" s="57"/>
      <c r="J66" s="57"/>
      <c r="K66" s="63"/>
      <c r="L66" s="58"/>
      <c r="M66" s="59"/>
      <c r="N66" s="60"/>
      <c r="O66" s="61"/>
    </row>
    <row r="67" spans="1:15" x14ac:dyDescent="0.25">
      <c r="A67" s="74"/>
      <c r="B67" s="15"/>
      <c r="C67" s="15"/>
      <c r="D67" s="66"/>
      <c r="E67" s="67"/>
      <c r="F67" s="68"/>
      <c r="G67" s="69"/>
      <c r="I67" s="62"/>
      <c r="J67" s="63"/>
      <c r="K67" s="72"/>
      <c r="L67" s="72"/>
      <c r="M67" s="59"/>
      <c r="N67" s="64"/>
      <c r="O67" s="61"/>
    </row>
    <row r="68" spans="1:15" x14ac:dyDescent="0.25">
      <c r="A68" s="65"/>
      <c r="B68" s="65"/>
      <c r="C68" s="15"/>
      <c r="D68" s="66"/>
      <c r="E68" s="67"/>
      <c r="F68" s="68"/>
      <c r="G68" s="69"/>
      <c r="I68" s="62"/>
      <c r="J68" s="63"/>
      <c r="K68" s="63"/>
      <c r="L68" s="58"/>
      <c r="M68" s="59"/>
      <c r="N68" s="60"/>
      <c r="O68" s="61"/>
    </row>
    <row r="69" spans="1:15" x14ac:dyDescent="0.25">
      <c r="A69" s="74"/>
      <c r="B69" s="15"/>
      <c r="C69" s="16"/>
      <c r="D69" s="16"/>
      <c r="E69" s="67"/>
      <c r="F69" s="71"/>
      <c r="G69" s="69"/>
      <c r="I69" s="57"/>
      <c r="J69" s="57"/>
      <c r="K69" s="57"/>
      <c r="L69" s="58"/>
      <c r="M69" s="59"/>
      <c r="N69" s="60"/>
      <c r="O69" s="61"/>
    </row>
    <row r="70" spans="1:15" x14ac:dyDescent="0.25">
      <c r="A70" s="74"/>
      <c r="B70" s="15"/>
      <c r="C70" s="15"/>
      <c r="D70" s="66"/>
      <c r="E70" s="67"/>
      <c r="F70" s="68"/>
      <c r="G70" s="69"/>
      <c r="I70" s="62"/>
      <c r="J70" s="63"/>
      <c r="K70" s="72"/>
      <c r="L70" s="72"/>
      <c r="M70" s="59"/>
      <c r="N70" s="75"/>
      <c r="O70" s="61"/>
    </row>
    <row r="71" spans="1:15" x14ac:dyDescent="0.25">
      <c r="A71" s="65"/>
      <c r="B71" s="65"/>
      <c r="C71" s="65"/>
      <c r="D71" s="66"/>
      <c r="E71" s="67"/>
      <c r="F71" s="68"/>
      <c r="G71" s="69"/>
      <c r="I71" s="62"/>
      <c r="J71" s="63"/>
      <c r="K71" s="63"/>
      <c r="L71" s="63"/>
      <c r="M71" s="59"/>
      <c r="N71" s="75"/>
      <c r="O71" s="61"/>
    </row>
    <row r="72" spans="1:15" x14ac:dyDescent="0.25">
      <c r="A72" s="74"/>
      <c r="B72" s="15"/>
      <c r="C72" s="16"/>
      <c r="D72" s="16"/>
      <c r="E72" s="67"/>
      <c r="F72" s="76"/>
      <c r="G72" s="69"/>
      <c r="I72" s="57"/>
      <c r="J72" s="57"/>
      <c r="K72" s="57"/>
      <c r="L72" s="63"/>
      <c r="M72" s="59"/>
      <c r="N72" s="75"/>
      <c r="O72" s="61"/>
    </row>
    <row r="73" spans="1:15" x14ac:dyDescent="0.25">
      <c r="A73" s="74"/>
      <c r="B73" s="15"/>
      <c r="C73" s="15"/>
      <c r="D73" s="15"/>
      <c r="E73" s="67"/>
      <c r="F73" s="76"/>
      <c r="G73" s="69"/>
      <c r="I73" s="83"/>
      <c r="J73" s="84"/>
      <c r="K73" s="84"/>
      <c r="L73" s="84"/>
      <c r="M73" s="85"/>
      <c r="N73" s="86"/>
      <c r="O73" s="87"/>
    </row>
    <row r="74" spans="1:15" x14ac:dyDescent="0.25">
      <c r="A74" s="65"/>
      <c r="B74" s="65"/>
      <c r="C74" s="65"/>
      <c r="D74" s="15"/>
      <c r="E74" s="67"/>
      <c r="F74" s="76"/>
      <c r="G74" s="69"/>
      <c r="I74" s="62"/>
      <c r="J74" s="63"/>
      <c r="K74" s="63"/>
      <c r="L74" s="63"/>
      <c r="M74" s="59"/>
      <c r="N74" s="75"/>
      <c r="O74" s="61"/>
    </row>
    <row r="75" spans="1:15" x14ac:dyDescent="0.25">
      <c r="A75" s="88"/>
      <c r="B75" s="89"/>
      <c r="C75" s="89"/>
      <c r="D75" s="89"/>
      <c r="E75" s="90"/>
      <c r="F75" s="91"/>
      <c r="G75" s="92"/>
      <c r="I75" s="57"/>
      <c r="J75" s="57"/>
      <c r="K75" s="57"/>
      <c r="L75" s="63"/>
      <c r="M75" s="59"/>
      <c r="N75" s="75"/>
      <c r="O75" s="61"/>
    </row>
    <row r="76" spans="1:15" x14ac:dyDescent="0.25">
      <c r="A76" s="74"/>
      <c r="B76" s="15"/>
      <c r="C76" s="15"/>
      <c r="D76" s="15"/>
      <c r="E76" s="67"/>
      <c r="F76" s="76"/>
      <c r="G76" s="69"/>
      <c r="I76" s="62"/>
      <c r="J76" s="63"/>
      <c r="K76" s="63"/>
      <c r="L76" s="63"/>
      <c r="M76" s="59"/>
      <c r="N76" s="75"/>
      <c r="O76" s="61"/>
    </row>
    <row r="77" spans="1:15" x14ac:dyDescent="0.25">
      <c r="A77" s="65"/>
      <c r="B77" s="65"/>
      <c r="C77" s="65"/>
      <c r="D77" s="15"/>
      <c r="E77" s="67"/>
      <c r="F77" s="76"/>
      <c r="G77" s="69"/>
      <c r="I77" s="62"/>
      <c r="J77" s="63"/>
      <c r="K77" s="63"/>
      <c r="L77" s="63"/>
      <c r="M77" s="59"/>
      <c r="N77" s="75"/>
      <c r="O77" s="61"/>
    </row>
    <row r="78" spans="1:15" x14ac:dyDescent="0.25">
      <c r="A78" s="74"/>
      <c r="B78" s="15"/>
      <c r="C78" s="15"/>
      <c r="D78" s="15"/>
      <c r="E78" s="67"/>
      <c r="F78" s="76"/>
      <c r="G78" s="69"/>
      <c r="I78" s="62"/>
      <c r="J78" s="63"/>
      <c r="K78" s="72"/>
      <c r="L78" s="72"/>
      <c r="M78" s="59"/>
      <c r="N78" s="78"/>
      <c r="O78" s="61"/>
    </row>
    <row r="79" spans="1:15" x14ac:dyDescent="0.25">
      <c r="A79" s="74"/>
      <c r="B79" s="15"/>
      <c r="C79" s="15"/>
      <c r="D79" s="15"/>
      <c r="E79" s="67"/>
      <c r="F79" s="76"/>
      <c r="G79" s="69"/>
      <c r="I79" s="62"/>
      <c r="J79" s="63"/>
      <c r="K79" s="63"/>
      <c r="L79" s="63"/>
      <c r="M79" s="59"/>
      <c r="N79" s="75"/>
      <c r="O79" s="61"/>
    </row>
    <row r="80" spans="1:15" x14ac:dyDescent="0.25">
      <c r="A80" s="74"/>
      <c r="B80" s="15"/>
      <c r="C80" s="16"/>
      <c r="D80" s="16"/>
      <c r="E80" s="67"/>
      <c r="F80" s="81"/>
      <c r="G80" s="69"/>
      <c r="I80" s="57"/>
      <c r="J80" s="57"/>
      <c r="K80" s="57"/>
      <c r="L80" s="63"/>
      <c r="M80" s="59"/>
      <c r="N80" s="75"/>
      <c r="O80" s="61"/>
    </row>
    <row r="81" spans="1:15" x14ac:dyDescent="0.25">
      <c r="A81" s="74"/>
      <c r="B81" s="15"/>
      <c r="C81" s="15"/>
      <c r="D81" s="15"/>
      <c r="E81" s="67"/>
      <c r="F81" s="76"/>
      <c r="G81" s="69"/>
      <c r="I81" s="62"/>
      <c r="J81" s="63"/>
      <c r="K81" s="72"/>
      <c r="L81" s="72"/>
      <c r="M81" s="59"/>
      <c r="N81" s="64"/>
      <c r="O81" s="61"/>
    </row>
    <row r="82" spans="1:15" x14ac:dyDescent="0.25">
      <c r="A82" s="65"/>
      <c r="B82" s="65"/>
      <c r="C82" s="65"/>
      <c r="D82" s="15"/>
      <c r="E82" s="67"/>
      <c r="F82" s="76"/>
      <c r="G82" s="69"/>
      <c r="I82" s="62"/>
      <c r="J82" s="63"/>
      <c r="K82" s="63"/>
      <c r="L82" s="63"/>
      <c r="M82" s="59"/>
      <c r="N82" s="64"/>
      <c r="O82" s="61"/>
    </row>
    <row r="83" spans="1:15" x14ac:dyDescent="0.25">
      <c r="A83" s="74"/>
      <c r="B83" s="15"/>
      <c r="C83" s="16"/>
      <c r="D83" s="16"/>
      <c r="E83" s="67"/>
      <c r="F83" s="71"/>
      <c r="G83" s="69"/>
      <c r="I83" s="57"/>
      <c r="J83" s="57"/>
      <c r="K83" s="57"/>
      <c r="L83" s="57"/>
      <c r="M83" s="59"/>
      <c r="N83" s="64"/>
      <c r="O83" s="61"/>
    </row>
    <row r="84" spans="1:15" x14ac:dyDescent="0.25">
      <c r="A84" s="74"/>
      <c r="B84" s="15"/>
      <c r="C84" s="15"/>
      <c r="D84" s="15"/>
      <c r="E84" s="67"/>
      <c r="F84" s="71"/>
      <c r="G84" s="69"/>
      <c r="I84" s="62"/>
      <c r="J84" s="63"/>
      <c r="K84" s="72"/>
      <c r="L84" s="72"/>
      <c r="M84" s="59"/>
      <c r="N84" s="78"/>
      <c r="O84" s="61"/>
    </row>
    <row r="85" spans="1:15" x14ac:dyDescent="0.25">
      <c r="A85" s="65"/>
      <c r="B85" s="65"/>
      <c r="C85" s="65"/>
      <c r="D85" s="65"/>
      <c r="E85" s="67"/>
      <c r="F85" s="71"/>
      <c r="G85" s="69"/>
      <c r="I85" s="62"/>
      <c r="J85" s="63"/>
      <c r="K85" s="63"/>
      <c r="L85" s="63"/>
      <c r="M85" s="59"/>
      <c r="N85" s="78"/>
      <c r="O85" s="61"/>
    </row>
    <row r="86" spans="1:15" x14ac:dyDescent="0.25">
      <c r="A86" s="74"/>
      <c r="B86" s="15"/>
      <c r="C86" s="16"/>
      <c r="D86" s="16"/>
      <c r="E86" s="67"/>
      <c r="F86" s="81"/>
      <c r="G86" s="69"/>
      <c r="I86" s="57"/>
      <c r="J86" s="57"/>
      <c r="K86" s="57"/>
      <c r="L86" s="57"/>
      <c r="M86" s="59"/>
      <c r="N86" s="78"/>
      <c r="O86" s="61"/>
    </row>
    <row r="87" spans="1:15" x14ac:dyDescent="0.25">
      <c r="A87" s="74"/>
      <c r="B87" s="15"/>
      <c r="C87" s="15"/>
      <c r="D87" s="15"/>
      <c r="E87" s="67"/>
      <c r="F87" s="81"/>
      <c r="G87" s="69"/>
      <c r="I87" s="62"/>
      <c r="J87" s="63"/>
      <c r="K87" s="63"/>
      <c r="L87" s="63"/>
      <c r="M87" s="59"/>
      <c r="N87" s="75"/>
      <c r="O87" s="61"/>
    </row>
    <row r="88" spans="1:15" x14ac:dyDescent="0.25">
      <c r="A88" s="65"/>
      <c r="B88" s="65"/>
      <c r="C88" s="65"/>
      <c r="D88" s="65"/>
      <c r="E88" s="67"/>
      <c r="F88" s="81"/>
      <c r="G88" s="69"/>
      <c r="I88" s="62"/>
      <c r="J88" s="63"/>
      <c r="K88" s="72"/>
      <c r="L88" s="72"/>
      <c r="M88" s="59"/>
      <c r="N88" s="78"/>
      <c r="O88" s="61"/>
    </row>
    <row r="89" spans="1:15" x14ac:dyDescent="0.25">
      <c r="A89" s="74"/>
      <c r="B89" s="15"/>
      <c r="C89" s="15"/>
      <c r="D89" s="15"/>
      <c r="E89" s="67"/>
      <c r="F89" s="76"/>
      <c r="G89" s="69"/>
      <c r="I89" s="62"/>
      <c r="J89" s="63"/>
      <c r="K89" s="63"/>
      <c r="L89" s="63"/>
      <c r="M89" s="59"/>
      <c r="N89" s="75"/>
      <c r="O89" s="61"/>
    </row>
    <row r="90" spans="1:15" x14ac:dyDescent="0.25">
      <c r="A90" s="74"/>
      <c r="B90" s="15"/>
      <c r="C90" s="16"/>
      <c r="D90" s="16"/>
      <c r="E90" s="67"/>
      <c r="F90" s="81"/>
      <c r="G90" s="69"/>
      <c r="I90" s="57"/>
      <c r="J90" s="57"/>
      <c r="K90" s="57"/>
      <c r="L90" s="63"/>
      <c r="M90" s="59"/>
      <c r="N90" s="75"/>
      <c r="O90" s="61"/>
    </row>
    <row r="91" spans="1:15" x14ac:dyDescent="0.25">
      <c r="A91" s="74"/>
      <c r="B91" s="15"/>
      <c r="C91" s="15"/>
      <c r="D91" s="15"/>
      <c r="E91" s="67"/>
      <c r="F91" s="76"/>
      <c r="G91" s="69"/>
      <c r="I91" s="62"/>
      <c r="J91" s="63"/>
      <c r="K91" s="63"/>
      <c r="L91" s="58"/>
      <c r="M91" s="59"/>
      <c r="N91" s="75"/>
      <c r="O91" s="61"/>
    </row>
    <row r="92" spans="1:15" x14ac:dyDescent="0.25">
      <c r="A92" s="65"/>
      <c r="B92" s="65"/>
      <c r="C92" s="65"/>
      <c r="D92" s="15"/>
      <c r="E92" s="67"/>
      <c r="F92" s="76"/>
      <c r="G92" s="69"/>
      <c r="I92" s="62"/>
      <c r="J92" s="63"/>
      <c r="K92" s="72"/>
      <c r="L92" s="72"/>
      <c r="M92" s="59"/>
      <c r="N92" s="59"/>
      <c r="O92" s="61"/>
    </row>
    <row r="93" spans="1:15" x14ac:dyDescent="0.25">
      <c r="A93" s="74"/>
      <c r="B93" s="15"/>
      <c r="C93" s="15"/>
      <c r="D93" s="66"/>
      <c r="E93" s="67"/>
      <c r="F93" s="76"/>
      <c r="G93" s="69"/>
      <c r="I93" s="62"/>
      <c r="J93" s="63"/>
      <c r="K93" s="63"/>
      <c r="L93" s="58"/>
      <c r="M93" s="59"/>
      <c r="N93" s="75"/>
      <c r="O93" s="61"/>
    </row>
    <row r="94" spans="1:15" x14ac:dyDescent="0.25">
      <c r="A94" s="74"/>
      <c r="B94" s="15"/>
      <c r="C94" s="16"/>
      <c r="D94" s="16"/>
      <c r="E94" s="67"/>
      <c r="F94" s="67"/>
      <c r="G94" s="69"/>
      <c r="I94" s="57"/>
      <c r="J94" s="57"/>
      <c r="K94" s="57"/>
      <c r="L94" s="58"/>
      <c r="M94" s="59"/>
      <c r="N94" s="60"/>
      <c r="O94" s="61"/>
    </row>
    <row r="95" spans="1:15" x14ac:dyDescent="0.25">
      <c r="A95" s="74"/>
      <c r="B95" s="15"/>
      <c r="C95" s="15"/>
      <c r="D95" s="66"/>
      <c r="E95" s="67"/>
      <c r="F95" s="76"/>
      <c r="G95" s="69"/>
      <c r="I95" s="62"/>
      <c r="J95" s="63"/>
      <c r="K95" s="63"/>
      <c r="L95" s="58"/>
      <c r="M95" s="59"/>
      <c r="N95" s="60"/>
      <c r="O95" s="61"/>
    </row>
    <row r="96" spans="1:15" x14ac:dyDescent="0.25">
      <c r="A96" s="65"/>
      <c r="B96" s="65"/>
      <c r="C96" s="65"/>
      <c r="D96" s="66"/>
      <c r="E96" s="67"/>
      <c r="F96" s="68"/>
      <c r="G96" s="69"/>
      <c r="I96" s="62"/>
      <c r="J96" s="63"/>
      <c r="K96" s="72"/>
      <c r="L96" s="72"/>
      <c r="M96" s="59"/>
      <c r="N96" s="75"/>
      <c r="O96" s="61"/>
    </row>
    <row r="97" spans="1:15" x14ac:dyDescent="0.25">
      <c r="A97" s="74"/>
      <c r="B97" s="15"/>
      <c r="C97" s="15"/>
      <c r="D97" s="66"/>
      <c r="E97" s="67"/>
      <c r="F97" s="68"/>
      <c r="G97" s="69"/>
      <c r="I97" s="62"/>
      <c r="J97" s="63"/>
      <c r="K97" s="63"/>
      <c r="L97" s="58"/>
      <c r="M97" s="59"/>
      <c r="N97" s="60"/>
      <c r="O97" s="61"/>
    </row>
    <row r="98" spans="1:15" x14ac:dyDescent="0.25">
      <c r="A98" s="74"/>
      <c r="B98" s="15"/>
      <c r="C98" s="16"/>
      <c r="D98" s="16"/>
      <c r="E98" s="67"/>
      <c r="F98" s="76"/>
      <c r="G98" s="69"/>
      <c r="I98" s="62"/>
      <c r="J98" s="63"/>
      <c r="K98" s="72"/>
      <c r="L98" s="72"/>
      <c r="M98" s="59"/>
      <c r="N98" s="75"/>
      <c r="O98" s="61"/>
    </row>
    <row r="99" spans="1:15" x14ac:dyDescent="0.25">
      <c r="A99" s="74"/>
      <c r="B99" s="15"/>
      <c r="C99" s="15"/>
      <c r="D99" s="66"/>
      <c r="E99" s="67"/>
      <c r="F99" s="68"/>
      <c r="G99" s="69"/>
      <c r="I99" s="93"/>
      <c r="J99" s="94"/>
      <c r="K99" s="95"/>
      <c r="L99" s="95"/>
      <c r="M99" s="94"/>
      <c r="N99" s="96"/>
      <c r="O99" s="97"/>
    </row>
    <row r="100" spans="1:15" x14ac:dyDescent="0.25">
      <c r="A100" s="74"/>
      <c r="B100" s="15"/>
      <c r="C100" s="16"/>
      <c r="D100" s="16"/>
      <c r="E100" s="67"/>
      <c r="F100" s="76"/>
      <c r="G100" s="69"/>
      <c r="I100" s="93"/>
      <c r="J100" s="94"/>
      <c r="K100" s="95"/>
      <c r="L100" s="95"/>
      <c r="M100" s="94"/>
      <c r="N100" s="96"/>
      <c r="O100" s="97"/>
    </row>
    <row r="101" spans="1:15" x14ac:dyDescent="0.25">
      <c r="A101" s="93"/>
      <c r="B101" s="94"/>
      <c r="C101" s="95"/>
      <c r="D101" s="95"/>
      <c r="E101" s="94"/>
      <c r="F101" s="96"/>
      <c r="G101" s="97"/>
      <c r="I101" s="93"/>
      <c r="J101" s="94"/>
      <c r="K101" s="98"/>
      <c r="L101" s="98"/>
      <c r="M101" s="94"/>
      <c r="N101" s="96"/>
      <c r="O101" s="97"/>
    </row>
    <row r="102" spans="1:15" x14ac:dyDescent="0.25">
      <c r="A102" s="93"/>
      <c r="B102" s="94"/>
      <c r="C102" s="95"/>
      <c r="D102" s="95"/>
      <c r="E102" s="94"/>
      <c r="F102" s="96"/>
      <c r="G102" s="97"/>
      <c r="I102" s="93"/>
      <c r="J102" s="99"/>
      <c r="K102" s="98"/>
      <c r="L102" s="98"/>
      <c r="M102" s="94"/>
      <c r="N102" s="96"/>
      <c r="O102" s="97"/>
    </row>
    <row r="103" spans="1:15" x14ac:dyDescent="0.25">
      <c r="A103" s="93"/>
      <c r="B103" s="94"/>
      <c r="C103" s="95"/>
      <c r="D103" s="98"/>
      <c r="E103" s="94"/>
      <c r="F103" s="96"/>
      <c r="G103" s="97"/>
      <c r="I103" s="93"/>
      <c r="J103" s="94"/>
      <c r="K103" s="98"/>
      <c r="L103" s="98"/>
      <c r="M103" s="94"/>
      <c r="N103" s="96"/>
      <c r="O103" s="97"/>
    </row>
    <row r="104" spans="1:15" x14ac:dyDescent="0.25">
      <c r="A104" s="93"/>
      <c r="B104" s="99"/>
      <c r="C104" s="95"/>
      <c r="D104" s="98"/>
      <c r="E104" s="94"/>
      <c r="F104" s="96"/>
      <c r="G104" s="97"/>
      <c r="I104" s="93"/>
      <c r="J104" s="94"/>
      <c r="K104" s="98"/>
      <c r="L104" s="98"/>
      <c r="M104" s="94"/>
      <c r="N104" s="96"/>
      <c r="O104" s="97"/>
    </row>
    <row r="105" spans="1:15" x14ac:dyDescent="0.25">
      <c r="A105" s="93"/>
      <c r="B105" s="94"/>
      <c r="C105" s="95"/>
      <c r="D105" s="98"/>
      <c r="E105" s="94"/>
      <c r="F105" s="96"/>
      <c r="G105" s="97"/>
      <c r="I105" s="94"/>
      <c r="J105" s="94"/>
      <c r="K105" s="94"/>
      <c r="L105" s="100"/>
      <c r="M105" s="94"/>
      <c r="N105" s="94"/>
      <c r="O105" s="94"/>
    </row>
    <row r="106" spans="1:15" x14ac:dyDescent="0.25">
      <c r="A106" s="93"/>
      <c r="B106" s="94"/>
      <c r="C106" s="95"/>
      <c r="D106" s="98"/>
      <c r="E106" s="94"/>
      <c r="F106" s="96"/>
      <c r="G106" s="97"/>
      <c r="I106" s="101"/>
      <c r="J106" s="102"/>
      <c r="K106" s="102"/>
      <c r="L106" s="103"/>
      <c r="M106" s="102"/>
      <c r="N106" s="102"/>
      <c r="O106" s="101"/>
    </row>
    <row r="107" spans="1:15" x14ac:dyDescent="0.25">
      <c r="A107" s="94"/>
      <c r="B107" s="94"/>
      <c r="C107" s="94"/>
      <c r="D107" s="100"/>
      <c r="E107" s="94"/>
      <c r="F107" s="94"/>
      <c r="G107" s="94"/>
      <c r="I107" s="101"/>
      <c r="J107" s="102"/>
      <c r="K107" s="102"/>
      <c r="L107" s="103"/>
      <c r="M107" s="102"/>
      <c r="N107" s="102"/>
      <c r="O107" s="101"/>
    </row>
    <row r="108" spans="1:15" x14ac:dyDescent="0.25">
      <c r="A108" s="93"/>
      <c r="I108" s="101"/>
      <c r="J108" s="102"/>
      <c r="K108" s="102"/>
      <c r="L108" s="103"/>
      <c r="M108" s="102"/>
      <c r="N108" s="102"/>
      <c r="O108" s="101"/>
    </row>
    <row r="109" spans="1:15" x14ac:dyDescent="0.25">
      <c r="I109" s="101"/>
      <c r="J109" s="102"/>
      <c r="K109" s="102"/>
      <c r="L109" s="103"/>
      <c r="M109" s="102"/>
      <c r="N109" s="102"/>
      <c r="O109" s="101"/>
    </row>
  </sheetData>
  <sheetProtection password="E156" sheet="1" objects="1" scenarios="1"/>
  <mergeCells count="76">
    <mergeCell ref="K60:L60"/>
    <mergeCell ref="K61:L61"/>
    <mergeCell ref="I63:K63"/>
    <mergeCell ref="K64:L64"/>
    <mergeCell ref="I66:J66"/>
    <mergeCell ref="K67:L67"/>
    <mergeCell ref="I69:K69"/>
    <mergeCell ref="K70:L70"/>
    <mergeCell ref="I72:K72"/>
    <mergeCell ref="I75:K75"/>
    <mergeCell ref="K78:L78"/>
    <mergeCell ref="I80:K80"/>
    <mergeCell ref="K81:L81"/>
    <mergeCell ref="I83:L83"/>
    <mergeCell ref="K84:L84"/>
    <mergeCell ref="K96:L96"/>
    <mergeCell ref="K98:L98"/>
    <mergeCell ref="I86:L86"/>
    <mergeCell ref="K88:L88"/>
    <mergeCell ref="I90:K90"/>
    <mergeCell ref="K92:L92"/>
    <mergeCell ref="I94:K94"/>
    <mergeCell ref="K58:L58"/>
    <mergeCell ref="K59:L59"/>
    <mergeCell ref="K47:L47"/>
    <mergeCell ref="I49:K49"/>
    <mergeCell ref="K50:L50"/>
    <mergeCell ref="K51:L51"/>
    <mergeCell ref="I52:K52"/>
    <mergeCell ref="I5:N5"/>
    <mergeCell ref="I41:K41"/>
    <mergeCell ref="K53:L53"/>
    <mergeCell ref="I55:K55"/>
    <mergeCell ref="K56:L56"/>
    <mergeCell ref="L25:O25"/>
    <mergeCell ref="I40:K40"/>
    <mergeCell ref="I33:O33"/>
    <mergeCell ref="I37:O37"/>
    <mergeCell ref="C100:D100"/>
    <mergeCell ref="A51:C51"/>
    <mergeCell ref="C86:D86"/>
    <mergeCell ref="C90:D90"/>
    <mergeCell ref="C63:D63"/>
    <mergeCell ref="A54:C54"/>
    <mergeCell ref="A57:C57"/>
    <mergeCell ref="A65:C65"/>
    <mergeCell ref="A68:B68"/>
    <mergeCell ref="A71:C71"/>
    <mergeCell ref="A92:C92"/>
    <mergeCell ref="C94:D94"/>
    <mergeCell ref="A96:C96"/>
    <mergeCell ref="C98:D98"/>
    <mergeCell ref="C60:D60"/>
    <mergeCell ref="C61:D61"/>
    <mergeCell ref="A5:F5"/>
    <mergeCell ref="A82:C82"/>
    <mergeCell ref="C49:D49"/>
    <mergeCell ref="C52:D52"/>
    <mergeCell ref="A43:C43"/>
    <mergeCell ref="D24:G24"/>
    <mergeCell ref="A37:D37"/>
    <mergeCell ref="D22:G22"/>
    <mergeCell ref="D23:G23"/>
    <mergeCell ref="A85:D85"/>
    <mergeCell ref="A88:D88"/>
    <mergeCell ref="C55:D55"/>
    <mergeCell ref="C58:D58"/>
    <mergeCell ref="C53:D53"/>
    <mergeCell ref="C83:D83"/>
    <mergeCell ref="C72:D72"/>
    <mergeCell ref="A74:C74"/>
    <mergeCell ref="A77:C77"/>
    <mergeCell ref="C80:D80"/>
    <mergeCell ref="C62:D62"/>
    <mergeCell ref="C66:D66"/>
    <mergeCell ref="C69:D69"/>
  </mergeCells>
  <dataValidations count="1">
    <dataValidation type="list" errorStyle="warning" allowBlank="1" showInputMessage="1" showErrorMessage="1" sqref="K13">
      <formula1>HeatReleaseCurve</formula1>
    </dataValidation>
  </dataValidations>
  <pageMargins left="0.7" right="0.7" top="0.75" bottom="0.75" header="0.3" footer="0.3"/>
  <pageSetup scale="34" fitToHeight="2" orientation="portrait" r:id="rId1"/>
  <headerFooter>
    <oddHeader>&amp;CCALCULATION SPREADSHEET FOR GPSA ENGINEERING DATA BOOK, 13th EDITION
EXAMPLE 10-1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262"/>
  <sheetViews>
    <sheetView zoomScaleNormal="100" workbookViewId="0">
      <selection activeCell="E2" sqref="E2"/>
    </sheetView>
  </sheetViews>
  <sheetFormatPr defaultColWidth="9.140625" defaultRowHeight="15" x14ac:dyDescent="0.25"/>
  <cols>
    <col min="1" max="1" width="25.42578125" style="51" customWidth="1"/>
    <col min="2" max="2" width="9.140625" style="37"/>
    <col min="3" max="3" width="22.42578125" style="37" customWidth="1"/>
    <col min="4" max="4" width="20.85546875" style="38" customWidth="1"/>
    <col min="5" max="5" width="9.140625" style="37"/>
    <col min="6" max="6" width="11.5703125" style="37" customWidth="1"/>
    <col min="7" max="7" width="18" style="37" customWidth="1"/>
    <col min="8" max="8" width="9.140625" style="36"/>
    <col min="9" max="9" width="33.140625" style="38" customWidth="1"/>
    <col min="10" max="10" width="9.140625" style="37"/>
    <col min="11" max="11" width="18.5703125" style="37" customWidth="1"/>
    <col min="12" max="12" width="25.7109375" style="36" customWidth="1"/>
    <col min="13" max="14" width="9.140625" style="37"/>
    <col min="15" max="15" width="18.7109375" style="38" customWidth="1"/>
    <col min="16" max="16384" width="9.140625" style="36"/>
  </cols>
  <sheetData>
    <row r="1" spans="1:15" x14ac:dyDescent="0.25">
      <c r="A1" s="36" t="s">
        <v>519</v>
      </c>
    </row>
    <row r="5" spans="1:15" ht="15" customHeight="1" x14ac:dyDescent="0.25">
      <c r="A5" s="155" t="s">
        <v>405</v>
      </c>
      <c r="B5" s="155"/>
      <c r="C5" s="155"/>
      <c r="D5" s="155"/>
      <c r="E5" s="155"/>
      <c r="F5" s="155"/>
      <c r="G5" s="105"/>
      <c r="I5" s="128" t="s">
        <v>505</v>
      </c>
      <c r="J5" s="128"/>
      <c r="K5" s="128"/>
      <c r="L5" s="128"/>
      <c r="M5" s="128"/>
      <c r="N5" s="128"/>
      <c r="O5" s="1"/>
    </row>
    <row r="6" spans="1:15" x14ac:dyDescent="0.25">
      <c r="A6" s="156"/>
      <c r="B6" s="105"/>
      <c r="C6" s="105"/>
      <c r="D6" s="107"/>
      <c r="E6" s="105"/>
      <c r="F6" s="105"/>
      <c r="G6" s="105"/>
      <c r="I6" s="41"/>
      <c r="J6" s="1"/>
      <c r="K6" s="1"/>
      <c r="L6" s="5"/>
      <c r="M6" s="1"/>
      <c r="N6" s="1"/>
      <c r="O6" s="1"/>
    </row>
    <row r="7" spans="1:15" x14ac:dyDescent="0.25">
      <c r="A7" s="156" t="s">
        <v>198</v>
      </c>
      <c r="B7" s="105"/>
      <c r="C7" s="105"/>
      <c r="D7" s="107"/>
      <c r="E7" s="105"/>
      <c r="F7" s="105"/>
      <c r="G7" s="105"/>
      <c r="I7" s="41" t="s">
        <v>198</v>
      </c>
      <c r="J7" s="1"/>
      <c r="K7" s="1"/>
      <c r="L7" s="5"/>
      <c r="M7" s="1"/>
      <c r="N7" s="1"/>
      <c r="O7" s="1"/>
    </row>
    <row r="8" spans="1:15" x14ac:dyDescent="0.25">
      <c r="A8" s="156"/>
      <c r="B8" s="105"/>
      <c r="C8" s="105"/>
      <c r="D8" s="107"/>
      <c r="E8" s="105"/>
      <c r="F8" s="105"/>
      <c r="G8" s="105"/>
      <c r="I8" s="41"/>
      <c r="J8" s="1"/>
      <c r="K8" s="1"/>
      <c r="L8" s="5"/>
      <c r="M8" s="1"/>
      <c r="N8" s="1"/>
      <c r="O8" s="1"/>
    </row>
    <row r="9" spans="1:15" x14ac:dyDescent="0.25">
      <c r="A9" s="157" t="s">
        <v>199</v>
      </c>
      <c r="B9" s="157"/>
      <c r="C9" s="105"/>
      <c r="D9" s="107"/>
      <c r="E9" s="105"/>
      <c r="F9" s="105"/>
      <c r="G9" s="105"/>
      <c r="I9" s="129" t="s">
        <v>199</v>
      </c>
      <c r="J9" s="129"/>
      <c r="K9" s="1"/>
      <c r="L9" s="5"/>
      <c r="M9" s="1"/>
      <c r="N9" s="1"/>
      <c r="O9" s="1"/>
    </row>
    <row r="10" spans="1:15" ht="30" customHeight="1" x14ac:dyDescent="0.25">
      <c r="A10" s="156" t="s">
        <v>200</v>
      </c>
      <c r="B10" s="105" t="s">
        <v>2</v>
      </c>
      <c r="C10" s="105" t="s">
        <v>201</v>
      </c>
      <c r="D10" s="121" t="s">
        <v>202</v>
      </c>
      <c r="E10" s="105"/>
      <c r="F10" s="105"/>
      <c r="G10" s="105"/>
      <c r="I10" s="41" t="s">
        <v>477</v>
      </c>
      <c r="J10" s="1" t="s">
        <v>2</v>
      </c>
      <c r="K10" s="1">
        <v>48</v>
      </c>
      <c r="L10" s="5" t="s">
        <v>478</v>
      </c>
      <c r="M10" s="1"/>
      <c r="N10" s="1"/>
      <c r="O10" s="1"/>
    </row>
    <row r="11" spans="1:15" x14ac:dyDescent="0.25">
      <c r="A11" s="110" t="s">
        <v>203</v>
      </c>
      <c r="B11" s="111" t="s">
        <v>2</v>
      </c>
      <c r="C11" s="111">
        <v>200</v>
      </c>
      <c r="D11" s="110" t="s">
        <v>140</v>
      </c>
      <c r="E11" s="105"/>
      <c r="F11" s="105"/>
      <c r="G11" s="105"/>
      <c r="I11" s="41" t="s">
        <v>445</v>
      </c>
      <c r="J11" s="1" t="s">
        <v>2</v>
      </c>
      <c r="K11" s="130" t="s">
        <v>202</v>
      </c>
      <c r="L11" s="130"/>
      <c r="M11" s="1"/>
      <c r="N11" s="1"/>
      <c r="O11" s="1"/>
    </row>
    <row r="12" spans="1:15" x14ac:dyDescent="0.25">
      <c r="A12" s="156" t="s">
        <v>204</v>
      </c>
      <c r="B12" s="105" t="s">
        <v>2</v>
      </c>
      <c r="C12" s="105">
        <v>0.55000000000000004</v>
      </c>
      <c r="D12" s="107" t="s">
        <v>205</v>
      </c>
      <c r="E12" s="105"/>
      <c r="F12" s="105"/>
      <c r="G12" s="105"/>
      <c r="I12" s="45" t="s">
        <v>446</v>
      </c>
      <c r="J12" s="3" t="s">
        <v>2</v>
      </c>
      <c r="K12" s="3">
        <v>200</v>
      </c>
      <c r="L12" s="44" t="s">
        <v>140</v>
      </c>
      <c r="M12" s="1"/>
      <c r="N12" s="1"/>
      <c r="O12" s="1"/>
    </row>
    <row r="13" spans="1:15" x14ac:dyDescent="0.25">
      <c r="A13" s="156" t="s">
        <v>206</v>
      </c>
      <c r="B13" s="105" t="s">
        <v>2</v>
      </c>
      <c r="C13" s="105">
        <v>0.51</v>
      </c>
      <c r="D13" s="107" t="s">
        <v>207</v>
      </c>
      <c r="E13" s="105"/>
      <c r="F13" s="105"/>
      <c r="G13" s="105"/>
      <c r="I13" s="41" t="s">
        <v>447</v>
      </c>
      <c r="J13" s="1" t="s">
        <v>2</v>
      </c>
      <c r="K13" s="1">
        <v>0.55000000000000004</v>
      </c>
      <c r="L13" s="5" t="s">
        <v>205</v>
      </c>
      <c r="M13" s="1"/>
      <c r="N13" s="1"/>
      <c r="O13" s="1"/>
    </row>
    <row r="14" spans="1:15" x14ac:dyDescent="0.25">
      <c r="A14" s="156" t="s">
        <v>208</v>
      </c>
      <c r="B14" s="105" t="s">
        <v>2</v>
      </c>
      <c r="C14" s="105">
        <v>7.6600000000000001E-2</v>
      </c>
      <c r="D14" s="107" t="s">
        <v>209</v>
      </c>
      <c r="E14" s="105"/>
      <c r="F14" s="105"/>
      <c r="G14" s="105"/>
      <c r="I14" s="41" t="s">
        <v>85</v>
      </c>
      <c r="J14" s="1" t="s">
        <v>2</v>
      </c>
      <c r="K14" s="1">
        <v>0.51</v>
      </c>
      <c r="L14" s="5" t="s">
        <v>207</v>
      </c>
      <c r="M14" s="1"/>
      <c r="N14" s="1"/>
      <c r="O14" s="1"/>
    </row>
    <row r="15" spans="1:15" x14ac:dyDescent="0.25">
      <c r="A15" s="156" t="s">
        <v>210</v>
      </c>
      <c r="B15" s="105" t="s">
        <v>2</v>
      </c>
      <c r="C15" s="158">
        <v>15000000</v>
      </c>
      <c r="D15" s="107" t="s">
        <v>127</v>
      </c>
      <c r="E15" s="105"/>
      <c r="F15" s="105"/>
      <c r="G15" s="105"/>
      <c r="I15" s="41" t="s">
        <v>9</v>
      </c>
      <c r="J15" s="1" t="s">
        <v>2</v>
      </c>
      <c r="K15" s="1">
        <v>7.6600000000000001E-2</v>
      </c>
      <c r="L15" s="5" t="s">
        <v>209</v>
      </c>
      <c r="M15" s="1"/>
      <c r="N15" s="1"/>
      <c r="O15" s="1"/>
    </row>
    <row r="16" spans="1:15" ht="16.5" x14ac:dyDescent="0.3">
      <c r="A16" s="156" t="s">
        <v>211</v>
      </c>
      <c r="B16" s="105" t="s">
        <v>2</v>
      </c>
      <c r="C16" s="109">
        <v>273000</v>
      </c>
      <c r="D16" s="107" t="s">
        <v>128</v>
      </c>
      <c r="E16" s="105"/>
      <c r="F16" s="105"/>
      <c r="G16" s="105"/>
      <c r="I16" s="41" t="s">
        <v>15</v>
      </c>
      <c r="J16" s="1" t="s">
        <v>2</v>
      </c>
      <c r="K16" s="11">
        <v>15000000</v>
      </c>
      <c r="L16" s="5" t="s">
        <v>127</v>
      </c>
      <c r="M16" s="1"/>
      <c r="N16" s="1"/>
      <c r="O16" s="1"/>
    </row>
    <row r="17" spans="1:15" ht="16.5" x14ac:dyDescent="0.3">
      <c r="A17" s="156" t="s">
        <v>212</v>
      </c>
      <c r="B17" s="105" t="s">
        <v>2</v>
      </c>
      <c r="C17" s="105">
        <v>250</v>
      </c>
      <c r="D17" s="107" t="s">
        <v>140</v>
      </c>
      <c r="E17" s="105"/>
      <c r="F17" s="105"/>
      <c r="G17" s="105"/>
      <c r="I17" s="41" t="s">
        <v>448</v>
      </c>
      <c r="J17" s="1" t="s">
        <v>2</v>
      </c>
      <c r="K17" s="2">
        <v>273000</v>
      </c>
      <c r="L17" s="5" t="s">
        <v>128</v>
      </c>
      <c r="M17" s="1"/>
      <c r="N17" s="1"/>
      <c r="O17" s="1"/>
    </row>
    <row r="18" spans="1:15" ht="16.5" x14ac:dyDescent="0.3">
      <c r="A18" s="156" t="s">
        <v>213</v>
      </c>
      <c r="B18" s="105" t="s">
        <v>2</v>
      </c>
      <c r="C18" s="105">
        <v>150</v>
      </c>
      <c r="D18" s="107" t="s">
        <v>140</v>
      </c>
      <c r="E18" s="105"/>
      <c r="F18" s="105"/>
      <c r="G18" s="105"/>
      <c r="I18" s="41" t="s">
        <v>449</v>
      </c>
      <c r="J18" s="1" t="s">
        <v>2</v>
      </c>
      <c r="K18" s="1">
        <v>250</v>
      </c>
      <c r="L18" s="5" t="s">
        <v>140</v>
      </c>
      <c r="M18" s="1"/>
      <c r="N18" s="1"/>
      <c r="O18" s="1"/>
    </row>
    <row r="19" spans="1:15" ht="16.5" x14ac:dyDescent="0.3">
      <c r="A19" s="156" t="s">
        <v>214</v>
      </c>
      <c r="B19" s="105" t="s">
        <v>2</v>
      </c>
      <c r="C19" s="105">
        <v>1E-3</v>
      </c>
      <c r="D19" s="107" t="s">
        <v>215</v>
      </c>
      <c r="E19" s="105"/>
      <c r="F19" s="105"/>
      <c r="G19" s="105"/>
      <c r="I19" s="41" t="s">
        <v>450</v>
      </c>
      <c r="J19" s="1" t="s">
        <v>2</v>
      </c>
      <c r="K19" s="1">
        <v>150</v>
      </c>
      <c r="L19" s="5" t="s">
        <v>140</v>
      </c>
      <c r="M19" s="1"/>
      <c r="N19" s="1"/>
      <c r="O19" s="1"/>
    </row>
    <row r="20" spans="1:15" ht="15" customHeight="1" x14ac:dyDescent="0.3">
      <c r="A20" s="156" t="s">
        <v>216</v>
      </c>
      <c r="B20" s="105" t="s">
        <v>2</v>
      </c>
      <c r="C20" s="105">
        <v>5</v>
      </c>
      <c r="D20" s="107" t="s">
        <v>217</v>
      </c>
      <c r="E20" s="105"/>
      <c r="F20" s="105"/>
      <c r="G20" s="105"/>
      <c r="I20" s="41" t="s">
        <v>451</v>
      </c>
      <c r="J20" s="1" t="s">
        <v>2</v>
      </c>
      <c r="K20" s="1">
        <v>1E-3</v>
      </c>
      <c r="L20" s="5" t="s">
        <v>215</v>
      </c>
      <c r="M20" s="1"/>
      <c r="N20" s="1"/>
      <c r="O20" s="1"/>
    </row>
    <row r="21" spans="1:15" ht="15" customHeight="1" x14ac:dyDescent="0.3">
      <c r="A21" s="106" t="s">
        <v>218</v>
      </c>
      <c r="B21" s="108"/>
      <c r="C21" s="105"/>
      <c r="D21" s="107"/>
      <c r="E21" s="105"/>
      <c r="F21" s="105"/>
      <c r="G21" s="113"/>
      <c r="I21" s="41" t="s">
        <v>485</v>
      </c>
      <c r="J21" s="1" t="s">
        <v>2</v>
      </c>
      <c r="K21" s="1">
        <v>5</v>
      </c>
      <c r="L21" s="5" t="s">
        <v>217</v>
      </c>
      <c r="M21" s="1"/>
      <c r="N21" s="1"/>
      <c r="O21" s="1"/>
    </row>
    <row r="22" spans="1:15" ht="16.5" x14ac:dyDescent="0.3">
      <c r="A22" s="107" t="s">
        <v>219</v>
      </c>
      <c r="B22" s="105" t="s">
        <v>2</v>
      </c>
      <c r="C22" s="105">
        <v>100</v>
      </c>
      <c r="D22" s="107" t="s">
        <v>140</v>
      </c>
      <c r="E22" s="105"/>
      <c r="F22" s="105"/>
      <c r="G22" s="113"/>
      <c r="I22" s="40" t="s">
        <v>218</v>
      </c>
      <c r="J22" s="43"/>
      <c r="K22" s="1"/>
      <c r="L22" s="5"/>
      <c r="M22" s="1"/>
      <c r="N22" s="1"/>
      <c r="O22" s="46"/>
    </row>
    <row r="23" spans="1:15" ht="16.5" x14ac:dyDescent="0.3">
      <c r="A23" s="107" t="s">
        <v>220</v>
      </c>
      <c r="B23" s="105" t="s">
        <v>2</v>
      </c>
      <c r="C23" s="105" t="s">
        <v>221</v>
      </c>
      <c r="D23" s="159" t="s">
        <v>222</v>
      </c>
      <c r="E23" s="159"/>
      <c r="F23" s="159"/>
      <c r="G23" s="156"/>
      <c r="I23" s="41" t="s">
        <v>452</v>
      </c>
      <c r="J23" s="1" t="s">
        <v>2</v>
      </c>
      <c r="K23" s="1">
        <v>100</v>
      </c>
      <c r="L23" s="5" t="s">
        <v>140</v>
      </c>
      <c r="M23" s="1"/>
      <c r="N23" s="1"/>
      <c r="O23" s="46"/>
    </row>
    <row r="24" spans="1:15" ht="16.5" x14ac:dyDescent="0.3">
      <c r="A24" s="107" t="s">
        <v>223</v>
      </c>
      <c r="B24" s="111" t="s">
        <v>2</v>
      </c>
      <c r="C24" s="105">
        <v>0.24</v>
      </c>
      <c r="D24" s="107" t="s">
        <v>205</v>
      </c>
      <c r="E24" s="105"/>
      <c r="F24" s="105"/>
      <c r="G24" s="113"/>
      <c r="I24" s="41" t="s">
        <v>453</v>
      </c>
      <c r="J24" s="1" t="s">
        <v>2</v>
      </c>
      <c r="K24" s="1" t="s">
        <v>221</v>
      </c>
      <c r="L24" s="131" t="s">
        <v>222</v>
      </c>
      <c r="M24" s="131"/>
      <c r="N24" s="131"/>
      <c r="O24" s="41"/>
    </row>
    <row r="25" spans="1:15" ht="42.75" customHeight="1" x14ac:dyDescent="0.25">
      <c r="A25" s="121" t="s">
        <v>393</v>
      </c>
      <c r="B25" s="111" t="s">
        <v>153</v>
      </c>
      <c r="C25" s="111">
        <v>7.4899999999999994E-2</v>
      </c>
      <c r="D25" s="110" t="s">
        <v>394</v>
      </c>
      <c r="E25" s="105"/>
      <c r="F25" s="105"/>
      <c r="G25" s="113"/>
      <c r="I25" s="45" t="s">
        <v>223</v>
      </c>
      <c r="J25" s="3" t="s">
        <v>2</v>
      </c>
      <c r="K25" s="3">
        <v>0.24</v>
      </c>
      <c r="L25" s="44" t="s">
        <v>205</v>
      </c>
      <c r="M25" s="1"/>
      <c r="N25" s="1"/>
      <c r="O25" s="46"/>
    </row>
    <row r="26" spans="1:15" ht="16.5" x14ac:dyDescent="0.3">
      <c r="A26" s="107" t="s">
        <v>224</v>
      </c>
      <c r="B26" s="105" t="s">
        <v>2</v>
      </c>
      <c r="C26" s="105">
        <v>0.94</v>
      </c>
      <c r="D26" s="107" t="s">
        <v>392</v>
      </c>
      <c r="E26" s="105"/>
      <c r="F26" s="105"/>
      <c r="G26" s="105"/>
      <c r="I26" s="132" t="s">
        <v>393</v>
      </c>
      <c r="J26" s="3" t="s">
        <v>153</v>
      </c>
      <c r="K26" s="3">
        <v>7.4899999999999994E-2</v>
      </c>
      <c r="L26" s="44" t="s">
        <v>394</v>
      </c>
      <c r="M26" s="1"/>
      <c r="N26" s="1"/>
      <c r="O26" s="46"/>
    </row>
    <row r="27" spans="1:15" ht="16.5" x14ac:dyDescent="0.3">
      <c r="A27" s="106" t="s">
        <v>125</v>
      </c>
      <c r="B27" s="108"/>
      <c r="C27" s="105"/>
      <c r="D27" s="107"/>
      <c r="E27" s="105"/>
      <c r="F27" s="105"/>
      <c r="G27" s="105"/>
      <c r="I27" s="41" t="s">
        <v>454</v>
      </c>
      <c r="J27" s="1" t="s">
        <v>2</v>
      </c>
      <c r="K27" s="1">
        <v>0.94</v>
      </c>
      <c r="L27" s="5" t="s">
        <v>392</v>
      </c>
      <c r="M27" s="1"/>
      <c r="N27" s="1"/>
      <c r="O27" s="1"/>
    </row>
    <row r="28" spans="1:15" x14ac:dyDescent="0.25">
      <c r="A28" s="156" t="s">
        <v>126</v>
      </c>
      <c r="B28" s="105" t="s">
        <v>2</v>
      </c>
      <c r="C28" s="105">
        <v>2</v>
      </c>
      <c r="D28" s="107" t="s">
        <v>225</v>
      </c>
      <c r="E28" s="105"/>
      <c r="F28" s="105"/>
      <c r="G28" s="105"/>
      <c r="I28" s="40" t="s">
        <v>125</v>
      </c>
      <c r="J28" s="43"/>
      <c r="K28" s="1"/>
      <c r="L28" s="5"/>
      <c r="M28" s="1"/>
      <c r="N28" s="1"/>
      <c r="O28" s="1"/>
    </row>
    <row r="29" spans="1:15" ht="16.5" x14ac:dyDescent="0.3">
      <c r="A29" s="156" t="s">
        <v>226</v>
      </c>
      <c r="B29" s="105" t="s">
        <v>2</v>
      </c>
      <c r="C29" s="105">
        <v>1</v>
      </c>
      <c r="D29" s="107" t="s">
        <v>227</v>
      </c>
      <c r="E29" s="105"/>
      <c r="F29" s="105"/>
      <c r="G29" s="105"/>
      <c r="I29" s="41" t="s">
        <v>126</v>
      </c>
      <c r="J29" s="1" t="s">
        <v>2</v>
      </c>
      <c r="K29" s="1">
        <v>2</v>
      </c>
      <c r="L29" s="5" t="s">
        <v>225</v>
      </c>
      <c r="M29" s="1"/>
      <c r="N29" s="1"/>
      <c r="O29" s="1"/>
    </row>
    <row r="30" spans="1:15" x14ac:dyDescent="0.25">
      <c r="A30" s="156"/>
      <c r="B30" s="105"/>
      <c r="C30" s="105">
        <v>0.625</v>
      </c>
      <c r="D30" s="107" t="s">
        <v>228</v>
      </c>
      <c r="E30" s="105"/>
      <c r="F30" s="105"/>
      <c r="G30" s="105"/>
      <c r="I30" s="41" t="s">
        <v>381</v>
      </c>
      <c r="J30" s="133" t="s">
        <v>2</v>
      </c>
      <c r="K30" s="134">
        <v>0.7</v>
      </c>
      <c r="L30" s="135"/>
      <c r="M30" s="1"/>
      <c r="N30" s="1"/>
      <c r="O30" s="136"/>
    </row>
    <row r="31" spans="1:15" x14ac:dyDescent="0.25">
      <c r="A31" s="156" t="s">
        <v>139</v>
      </c>
      <c r="B31" s="105" t="s">
        <v>2</v>
      </c>
      <c r="C31" s="105">
        <v>2.5</v>
      </c>
      <c r="D31" s="107" t="s">
        <v>229</v>
      </c>
      <c r="E31" s="105"/>
      <c r="F31" s="105"/>
      <c r="G31" s="113"/>
      <c r="I31" s="41" t="s">
        <v>500</v>
      </c>
      <c r="J31" s="1" t="s">
        <v>2</v>
      </c>
      <c r="K31" s="137">
        <v>0.92</v>
      </c>
      <c r="L31" s="5"/>
      <c r="M31" s="1"/>
      <c r="N31" s="1"/>
      <c r="O31" s="136"/>
    </row>
    <row r="32" spans="1:15" ht="16.5" x14ac:dyDescent="0.3">
      <c r="A32" s="156" t="s">
        <v>230</v>
      </c>
      <c r="B32" s="105" t="s">
        <v>2</v>
      </c>
      <c r="C32" s="105">
        <v>3</v>
      </c>
      <c r="D32" s="107" t="s">
        <v>231</v>
      </c>
      <c r="E32" s="105"/>
      <c r="F32" s="105"/>
      <c r="G32" s="105"/>
      <c r="I32" s="138" t="s">
        <v>167</v>
      </c>
      <c r="J32" s="1"/>
      <c r="K32" s="1"/>
      <c r="L32" s="5"/>
      <c r="M32" s="1"/>
      <c r="N32" s="1"/>
      <c r="O32" s="1"/>
    </row>
    <row r="33" spans="1:15" ht="16.5" x14ac:dyDescent="0.3">
      <c r="A33" s="156" t="s">
        <v>73</v>
      </c>
      <c r="B33" s="105" t="s">
        <v>2</v>
      </c>
      <c r="C33" s="105">
        <v>4</v>
      </c>
      <c r="D33" s="107" t="s">
        <v>232</v>
      </c>
      <c r="E33" s="105"/>
      <c r="F33" s="105"/>
      <c r="G33" s="105"/>
      <c r="I33" s="41" t="s">
        <v>463</v>
      </c>
      <c r="J33" s="1" t="s">
        <v>2</v>
      </c>
      <c r="K33" s="1">
        <v>1</v>
      </c>
      <c r="L33" s="5" t="s">
        <v>227</v>
      </c>
      <c r="M33" s="1"/>
      <c r="N33" s="1"/>
      <c r="O33" s="1"/>
    </row>
    <row r="34" spans="1:15" x14ac:dyDescent="0.25">
      <c r="A34" s="156" t="s">
        <v>10</v>
      </c>
      <c r="B34" s="105" t="s">
        <v>2</v>
      </c>
      <c r="C34" s="105">
        <v>30</v>
      </c>
      <c r="D34" s="107" t="s">
        <v>233</v>
      </c>
      <c r="E34" s="105"/>
      <c r="F34" s="105"/>
      <c r="G34" s="105"/>
      <c r="I34" s="41" t="s">
        <v>496</v>
      </c>
      <c r="J34" s="1"/>
      <c r="K34" s="1">
        <v>0.625</v>
      </c>
      <c r="L34" s="5" t="s">
        <v>241</v>
      </c>
      <c r="M34" s="1"/>
      <c r="N34" s="1"/>
      <c r="O34" s="1"/>
    </row>
    <row r="35" spans="1:15" x14ac:dyDescent="0.25">
      <c r="A35" s="157" t="s">
        <v>234</v>
      </c>
      <c r="B35" s="157"/>
      <c r="C35" s="157"/>
      <c r="D35" s="107"/>
      <c r="E35" s="105"/>
      <c r="F35" s="105"/>
      <c r="G35" s="105"/>
      <c r="I35" s="41" t="s">
        <v>139</v>
      </c>
      <c r="J35" s="1" t="s">
        <v>2</v>
      </c>
      <c r="K35" s="1">
        <v>2.5</v>
      </c>
      <c r="L35" s="5" t="s">
        <v>229</v>
      </c>
      <c r="M35" s="1"/>
      <c r="N35" s="1"/>
      <c r="O35" s="46"/>
    </row>
    <row r="36" spans="1:15" x14ac:dyDescent="0.25">
      <c r="A36" s="156" t="s">
        <v>20</v>
      </c>
      <c r="B36" s="105" t="s">
        <v>2</v>
      </c>
      <c r="C36" s="105">
        <v>107.2</v>
      </c>
      <c r="D36" s="107" t="s">
        <v>395</v>
      </c>
      <c r="E36" s="105"/>
      <c r="F36" s="105"/>
      <c r="G36" s="105" t="s">
        <v>235</v>
      </c>
      <c r="I36" s="138" t="s">
        <v>464</v>
      </c>
      <c r="J36" s="1"/>
      <c r="K36" s="1"/>
      <c r="L36" s="5"/>
      <c r="M36" s="1"/>
      <c r="N36" s="1"/>
      <c r="O36" s="1"/>
    </row>
    <row r="37" spans="1:15" ht="16.5" x14ac:dyDescent="0.3">
      <c r="A37" s="156" t="s">
        <v>19</v>
      </c>
      <c r="B37" s="105" t="s">
        <v>2</v>
      </c>
      <c r="C37" s="105">
        <v>5.58</v>
      </c>
      <c r="D37" s="107" t="s">
        <v>236</v>
      </c>
      <c r="E37" s="105"/>
      <c r="F37" s="105"/>
      <c r="G37" s="105" t="s">
        <v>235</v>
      </c>
      <c r="I37" s="41" t="s">
        <v>465</v>
      </c>
      <c r="J37" s="1" t="s">
        <v>2</v>
      </c>
      <c r="K37" s="1">
        <v>3</v>
      </c>
      <c r="L37" s="5" t="s">
        <v>231</v>
      </c>
      <c r="M37" s="1"/>
      <c r="N37" s="1"/>
      <c r="O37" s="1"/>
    </row>
    <row r="38" spans="1:15" ht="18.75" x14ac:dyDescent="0.3">
      <c r="A38" s="156" t="s">
        <v>237</v>
      </c>
      <c r="B38" s="105" t="s">
        <v>2</v>
      </c>
      <c r="C38" s="105">
        <v>0.59450000000000003</v>
      </c>
      <c r="D38" s="107" t="s">
        <v>238</v>
      </c>
      <c r="E38" s="105"/>
      <c r="F38" s="105"/>
      <c r="G38" s="105" t="s">
        <v>239</v>
      </c>
      <c r="I38" s="41" t="s">
        <v>73</v>
      </c>
      <c r="J38" s="1" t="s">
        <v>2</v>
      </c>
      <c r="K38" s="1">
        <v>4</v>
      </c>
      <c r="L38" s="5" t="s">
        <v>232</v>
      </c>
      <c r="M38" s="1"/>
      <c r="N38" s="1"/>
      <c r="O38" s="1"/>
    </row>
    <row r="39" spans="1:15" ht="16.5" x14ac:dyDescent="0.3">
      <c r="A39" s="156" t="s">
        <v>240</v>
      </c>
      <c r="B39" s="105" t="s">
        <v>2</v>
      </c>
      <c r="C39" s="105">
        <v>0.87</v>
      </c>
      <c r="D39" s="107" t="s">
        <v>241</v>
      </c>
      <c r="E39" s="105"/>
      <c r="F39" s="105"/>
      <c r="G39" s="105" t="s">
        <v>239</v>
      </c>
      <c r="I39" s="41" t="s">
        <v>10</v>
      </c>
      <c r="J39" s="1" t="s">
        <v>2</v>
      </c>
      <c r="K39" s="1">
        <v>30</v>
      </c>
      <c r="L39" s="5" t="s">
        <v>233</v>
      </c>
      <c r="M39" s="1"/>
      <c r="N39" s="1"/>
      <c r="O39" s="1"/>
    </row>
    <row r="40" spans="1:15" x14ac:dyDescent="0.25">
      <c r="A40" s="156" t="s">
        <v>86</v>
      </c>
      <c r="B40" s="105" t="s">
        <v>2</v>
      </c>
      <c r="C40" s="105">
        <v>0.96</v>
      </c>
      <c r="D40" s="107" t="s">
        <v>392</v>
      </c>
      <c r="E40" s="105"/>
      <c r="F40" s="105"/>
      <c r="G40" s="105" t="s">
        <v>242</v>
      </c>
      <c r="I40" s="129" t="s">
        <v>234</v>
      </c>
      <c r="J40" s="129"/>
      <c r="K40" s="129"/>
      <c r="L40" s="5"/>
      <c r="M40" s="1"/>
      <c r="N40" s="1"/>
      <c r="O40" s="1"/>
    </row>
    <row r="41" spans="1:15" ht="18.75" x14ac:dyDescent="0.3">
      <c r="A41" s="156" t="s">
        <v>243</v>
      </c>
      <c r="B41" s="105" t="s">
        <v>2</v>
      </c>
      <c r="C41" s="105">
        <v>0.12</v>
      </c>
      <c r="D41" s="107" t="s">
        <v>395</v>
      </c>
      <c r="E41" s="105"/>
      <c r="F41" s="105"/>
      <c r="G41" s="105" t="s">
        <v>244</v>
      </c>
      <c r="I41" s="41" t="s">
        <v>20</v>
      </c>
      <c r="J41" s="1" t="s">
        <v>2</v>
      </c>
      <c r="K41" s="1">
        <v>107.2</v>
      </c>
      <c r="L41" s="5" t="s">
        <v>395</v>
      </c>
      <c r="M41" s="1"/>
      <c r="N41" s="1"/>
      <c r="O41" s="1" t="s">
        <v>235</v>
      </c>
    </row>
    <row r="42" spans="1:15" x14ac:dyDescent="0.25">
      <c r="A42" s="156" t="s">
        <v>21</v>
      </c>
      <c r="B42" s="105" t="s">
        <v>2</v>
      </c>
      <c r="C42" s="105">
        <v>21.4</v>
      </c>
      <c r="D42" s="107" t="s">
        <v>245</v>
      </c>
      <c r="E42" s="105"/>
      <c r="F42" s="105"/>
      <c r="G42" s="105" t="s">
        <v>235</v>
      </c>
      <c r="I42" s="41" t="s">
        <v>19</v>
      </c>
      <c r="J42" s="1" t="s">
        <v>2</v>
      </c>
      <c r="K42" s="1">
        <v>5.58</v>
      </c>
      <c r="L42" s="5" t="s">
        <v>236</v>
      </c>
      <c r="M42" s="1"/>
      <c r="N42" s="1"/>
      <c r="O42" s="1" t="s">
        <v>235</v>
      </c>
    </row>
    <row r="43" spans="1:15" ht="18.75" x14ac:dyDescent="0.3">
      <c r="A43" s="156"/>
      <c r="B43" s="105"/>
      <c r="C43" s="105"/>
      <c r="D43" s="107"/>
      <c r="E43" s="105"/>
      <c r="F43" s="105"/>
      <c r="G43" s="105"/>
      <c r="I43" s="41" t="s">
        <v>237</v>
      </c>
      <c r="J43" s="1" t="s">
        <v>2</v>
      </c>
      <c r="K43" s="1">
        <v>0.59450000000000003</v>
      </c>
      <c r="L43" s="5" t="s">
        <v>238</v>
      </c>
      <c r="M43" s="1"/>
      <c r="N43" s="1"/>
      <c r="O43" s="1" t="s">
        <v>239</v>
      </c>
    </row>
    <row r="44" spans="1:15" ht="16.5" x14ac:dyDescent="0.3">
      <c r="A44" s="159" t="s">
        <v>246</v>
      </c>
      <c r="B44" s="159"/>
      <c r="C44" s="159"/>
      <c r="D44" s="107"/>
      <c r="E44" s="105"/>
      <c r="F44" s="105"/>
      <c r="G44" s="105"/>
      <c r="I44" s="41" t="s">
        <v>240</v>
      </c>
      <c r="J44" s="1" t="s">
        <v>2</v>
      </c>
      <c r="K44" s="1">
        <v>0.87</v>
      </c>
      <c r="L44" s="5" t="s">
        <v>241</v>
      </c>
      <c r="M44" s="1"/>
      <c r="N44" s="1"/>
      <c r="O44" s="1" t="s">
        <v>239</v>
      </c>
    </row>
    <row r="45" spans="1:15" x14ac:dyDescent="0.25">
      <c r="A45" s="156"/>
      <c r="B45" s="105"/>
      <c r="C45" s="105"/>
      <c r="D45" s="107"/>
      <c r="E45" s="105"/>
      <c r="F45" s="105"/>
      <c r="G45" s="105"/>
      <c r="I45" s="41" t="s">
        <v>86</v>
      </c>
      <c r="J45" s="1" t="s">
        <v>2</v>
      </c>
      <c r="K45" s="1">
        <v>0.96</v>
      </c>
      <c r="L45" s="5" t="s">
        <v>392</v>
      </c>
      <c r="M45" s="1"/>
      <c r="N45" s="1"/>
      <c r="O45" s="1" t="s">
        <v>242</v>
      </c>
    </row>
    <row r="46" spans="1:15" ht="18.75" x14ac:dyDescent="0.3">
      <c r="A46" s="107" t="s">
        <v>247</v>
      </c>
      <c r="B46" s="105" t="s">
        <v>2</v>
      </c>
      <c r="C46" s="160" t="s">
        <v>248</v>
      </c>
      <c r="D46" s="160"/>
      <c r="E46" s="105"/>
      <c r="F46" s="105"/>
      <c r="G46" s="105"/>
      <c r="I46" s="41" t="s">
        <v>243</v>
      </c>
      <c r="J46" s="1" t="s">
        <v>2</v>
      </c>
      <c r="K46" s="1">
        <v>0.12</v>
      </c>
      <c r="L46" s="5" t="s">
        <v>395</v>
      </c>
      <c r="M46" s="1"/>
      <c r="N46" s="1"/>
      <c r="O46" s="1" t="s">
        <v>244</v>
      </c>
    </row>
    <row r="47" spans="1:15" x14ac:dyDescent="0.25">
      <c r="A47" s="156"/>
      <c r="B47" s="105"/>
      <c r="C47" s="107" t="s">
        <v>396</v>
      </c>
      <c r="D47" s="107"/>
      <c r="E47" s="105"/>
      <c r="F47" s="105"/>
      <c r="G47" s="105"/>
      <c r="I47" s="41" t="s">
        <v>21</v>
      </c>
      <c r="J47" s="1" t="s">
        <v>2</v>
      </c>
      <c r="K47" s="1">
        <v>21.4</v>
      </c>
      <c r="L47" s="5" t="s">
        <v>245</v>
      </c>
      <c r="M47" s="1"/>
      <c r="N47" s="1"/>
      <c r="O47" s="1" t="s">
        <v>235</v>
      </c>
    </row>
    <row r="48" spans="1:15" ht="16.5" x14ac:dyDescent="0.3">
      <c r="A48" s="107" t="s">
        <v>249</v>
      </c>
      <c r="B48" s="105"/>
      <c r="C48" s="105"/>
      <c r="D48" s="107"/>
      <c r="E48" s="105"/>
      <c r="F48" s="105"/>
      <c r="G48" s="105"/>
      <c r="I48" s="138" t="s">
        <v>494</v>
      </c>
      <c r="J48" s="139"/>
      <c r="K48" s="139"/>
      <c r="L48" s="5"/>
      <c r="M48" s="1"/>
      <c r="N48" s="1"/>
      <c r="O48" s="1"/>
    </row>
    <row r="49" spans="1:15" x14ac:dyDescent="0.25">
      <c r="A49" s="156"/>
      <c r="B49" s="105"/>
      <c r="C49" s="105"/>
      <c r="D49" s="107"/>
      <c r="E49" s="105"/>
      <c r="F49" s="105"/>
      <c r="G49" s="105"/>
      <c r="I49" s="41" t="s">
        <v>83</v>
      </c>
      <c r="J49" s="133" t="s">
        <v>2</v>
      </c>
      <c r="K49" s="13">
        <v>14.5</v>
      </c>
      <c r="L49" s="140" t="s">
        <v>310</v>
      </c>
      <c r="M49" s="1"/>
      <c r="N49" s="1"/>
      <c r="O49" s="1" t="s">
        <v>472</v>
      </c>
    </row>
    <row r="50" spans="1:15" ht="16.5" x14ac:dyDescent="0.3">
      <c r="A50" s="156" t="s">
        <v>250</v>
      </c>
      <c r="B50" s="105" t="s">
        <v>2</v>
      </c>
      <c r="C50" s="160" t="s">
        <v>251</v>
      </c>
      <c r="D50" s="160"/>
      <c r="E50" s="105"/>
      <c r="F50" s="105"/>
      <c r="G50" s="105"/>
      <c r="I50" s="41" t="s">
        <v>22</v>
      </c>
      <c r="J50" s="133" t="s">
        <v>2</v>
      </c>
      <c r="K50" s="13">
        <v>0.25</v>
      </c>
      <c r="L50" s="140" t="s">
        <v>311</v>
      </c>
      <c r="M50" s="1"/>
      <c r="N50" s="1"/>
      <c r="O50" s="1" t="s">
        <v>472</v>
      </c>
    </row>
    <row r="51" spans="1:15" ht="21" customHeight="1" x14ac:dyDescent="0.25">
      <c r="A51" s="156"/>
      <c r="B51" s="105"/>
      <c r="C51" s="105"/>
      <c r="D51" s="107"/>
      <c r="E51" s="105"/>
      <c r="F51" s="105"/>
      <c r="G51" s="105"/>
      <c r="I51" s="41" t="s">
        <v>11</v>
      </c>
      <c r="J51" s="133" t="s">
        <v>2</v>
      </c>
      <c r="K51" s="13">
        <v>2.3999999999999998E-3</v>
      </c>
      <c r="L51" s="5"/>
      <c r="M51" s="1"/>
      <c r="N51" s="1"/>
      <c r="O51" s="1" t="s">
        <v>473</v>
      </c>
    </row>
    <row r="52" spans="1:15" ht="21" customHeight="1" x14ac:dyDescent="0.25">
      <c r="A52" s="107" t="s">
        <v>252</v>
      </c>
      <c r="B52" s="105"/>
      <c r="C52" s="105"/>
      <c r="D52" s="107"/>
      <c r="E52" s="105"/>
      <c r="F52" s="105"/>
      <c r="G52" s="105"/>
      <c r="I52" s="41" t="s">
        <v>30</v>
      </c>
      <c r="J52" s="133" t="s">
        <v>2</v>
      </c>
      <c r="K52" s="2">
        <v>1900</v>
      </c>
      <c r="L52" s="5"/>
      <c r="M52" s="1"/>
      <c r="N52" s="1"/>
      <c r="O52" s="46" t="s">
        <v>319</v>
      </c>
    </row>
    <row r="53" spans="1:15" ht="16.5" x14ac:dyDescent="0.3">
      <c r="A53" s="156"/>
      <c r="B53" s="105"/>
      <c r="C53" s="105"/>
      <c r="D53" s="107"/>
      <c r="E53" s="105"/>
      <c r="F53" s="105"/>
      <c r="G53" s="105"/>
      <c r="I53" s="41" t="s">
        <v>481</v>
      </c>
      <c r="J53" s="133" t="s">
        <v>2</v>
      </c>
      <c r="K53" s="13">
        <v>8.5</v>
      </c>
      <c r="L53" s="140" t="s">
        <v>411</v>
      </c>
      <c r="M53" s="1"/>
      <c r="N53" s="1"/>
      <c r="O53" s="46" t="s">
        <v>480</v>
      </c>
    </row>
    <row r="54" spans="1:15" ht="16.5" x14ac:dyDescent="0.25">
      <c r="A54" s="156" t="s">
        <v>31</v>
      </c>
      <c r="B54" s="105" t="s">
        <v>2</v>
      </c>
      <c r="C54" s="160" t="s">
        <v>253</v>
      </c>
      <c r="D54" s="160"/>
      <c r="E54" s="105"/>
      <c r="F54" s="105"/>
      <c r="G54" s="105" t="s">
        <v>254</v>
      </c>
      <c r="I54" s="45" t="s">
        <v>491</v>
      </c>
      <c r="J54" s="6" t="s">
        <v>2</v>
      </c>
      <c r="K54" s="14">
        <v>0.1</v>
      </c>
      <c r="L54" s="141" t="s">
        <v>489</v>
      </c>
      <c r="M54" s="1"/>
      <c r="N54" s="1"/>
      <c r="O54" s="46" t="s">
        <v>490</v>
      </c>
    </row>
    <row r="55" spans="1:15" ht="16.5" x14ac:dyDescent="0.3">
      <c r="A55" s="156"/>
      <c r="B55" s="105"/>
      <c r="C55" s="105"/>
      <c r="D55" s="107"/>
      <c r="E55" s="105"/>
      <c r="F55" s="105"/>
      <c r="G55" s="105"/>
      <c r="I55" s="41" t="s">
        <v>493</v>
      </c>
      <c r="J55" s="133" t="s">
        <v>2</v>
      </c>
      <c r="K55" s="13">
        <v>0.94</v>
      </c>
      <c r="L55" s="1"/>
      <c r="M55" s="1"/>
      <c r="N55" s="1"/>
      <c r="O55" s="46" t="s">
        <v>492</v>
      </c>
    </row>
    <row r="56" spans="1:15" x14ac:dyDescent="0.25">
      <c r="A56" s="107" t="s">
        <v>255</v>
      </c>
      <c r="B56" s="105"/>
      <c r="C56" s="105"/>
      <c r="D56" s="107"/>
      <c r="E56" s="105"/>
      <c r="F56" s="105"/>
      <c r="G56" s="105"/>
      <c r="I56" s="41"/>
      <c r="J56" s="1"/>
      <c r="K56" s="1"/>
      <c r="L56" s="5"/>
      <c r="M56" s="1"/>
      <c r="N56" s="1"/>
      <c r="O56" s="1"/>
    </row>
    <row r="57" spans="1:15" x14ac:dyDescent="0.25">
      <c r="A57" s="156"/>
      <c r="B57" s="105"/>
      <c r="C57" s="105"/>
      <c r="D57" s="107"/>
      <c r="E57" s="105"/>
      <c r="F57" s="105"/>
      <c r="G57" s="105"/>
      <c r="I57" s="129" t="s">
        <v>434</v>
      </c>
      <c r="J57" s="129"/>
      <c r="K57" s="129"/>
      <c r="L57" s="5"/>
      <c r="M57" s="1"/>
      <c r="N57" s="1"/>
      <c r="O57" s="1"/>
    </row>
    <row r="58" spans="1:15" ht="18" x14ac:dyDescent="0.3">
      <c r="A58" s="156" t="s">
        <v>23</v>
      </c>
      <c r="B58" s="105" t="s">
        <v>2</v>
      </c>
      <c r="C58" s="160" t="s">
        <v>256</v>
      </c>
      <c r="D58" s="160"/>
      <c r="E58" s="105"/>
      <c r="F58" s="105"/>
      <c r="G58" s="105"/>
      <c r="I58" s="45" t="s">
        <v>430</v>
      </c>
      <c r="J58" s="3" t="s">
        <v>2</v>
      </c>
      <c r="K58" s="14">
        <v>4.2</v>
      </c>
      <c r="L58" s="142" t="s">
        <v>419</v>
      </c>
      <c r="M58" s="3"/>
      <c r="N58" s="3"/>
      <c r="O58" s="3"/>
    </row>
    <row r="59" spans="1:15" ht="16.5" x14ac:dyDescent="0.25">
      <c r="A59" s="156"/>
      <c r="B59" s="105"/>
      <c r="C59" s="105"/>
      <c r="D59" s="107"/>
      <c r="E59" s="105"/>
      <c r="F59" s="105"/>
      <c r="G59" s="105"/>
      <c r="I59" s="45" t="s">
        <v>469</v>
      </c>
      <c r="J59" s="143" t="s">
        <v>2</v>
      </c>
      <c r="K59" s="8">
        <v>1</v>
      </c>
      <c r="L59" s="44" t="s">
        <v>470</v>
      </c>
      <c r="M59" s="144"/>
      <c r="N59" s="144"/>
      <c r="O59" s="3" t="s">
        <v>475</v>
      </c>
    </row>
    <row r="60" spans="1:15" x14ac:dyDescent="0.25">
      <c r="A60" s="159" t="s">
        <v>257</v>
      </c>
      <c r="B60" s="159"/>
      <c r="C60" s="159"/>
      <c r="D60" s="107"/>
      <c r="E60" s="105"/>
      <c r="F60" s="105"/>
      <c r="G60" s="105"/>
      <c r="I60" s="145" t="s">
        <v>474</v>
      </c>
      <c r="J60" s="145"/>
      <c r="K60" s="145"/>
      <c r="L60" s="54"/>
      <c r="M60" s="53"/>
      <c r="N60" s="53"/>
      <c r="O60" s="53"/>
    </row>
    <row r="61" spans="1:15" ht="16.5" x14ac:dyDescent="0.3">
      <c r="A61" s="156"/>
      <c r="B61" s="105"/>
      <c r="C61" s="105"/>
      <c r="D61" s="107"/>
      <c r="E61" s="105"/>
      <c r="F61" s="105"/>
      <c r="G61" s="105"/>
      <c r="I61" s="41" t="s">
        <v>247</v>
      </c>
      <c r="J61" s="1" t="s">
        <v>2</v>
      </c>
      <c r="K61" s="1">
        <f>((K58+1)/10)*(((K18+K19)/2)-K23)</f>
        <v>52</v>
      </c>
      <c r="L61" s="140" t="s">
        <v>140</v>
      </c>
      <c r="M61" s="9"/>
      <c r="N61" s="13"/>
      <c r="O61" s="146"/>
    </row>
    <row r="62" spans="1:15" ht="16.5" x14ac:dyDescent="0.3">
      <c r="A62" s="156" t="s">
        <v>258</v>
      </c>
      <c r="B62" s="105" t="s">
        <v>2</v>
      </c>
      <c r="C62" s="160" t="s">
        <v>259</v>
      </c>
      <c r="D62" s="160"/>
      <c r="E62" s="105"/>
      <c r="F62" s="105"/>
      <c r="G62" s="105"/>
      <c r="I62" s="41" t="s">
        <v>250</v>
      </c>
      <c r="J62" s="1" t="s">
        <v>2</v>
      </c>
      <c r="K62" s="1">
        <f>K23+K61</f>
        <v>152</v>
      </c>
      <c r="L62" s="140" t="s">
        <v>140</v>
      </c>
      <c r="M62" s="1"/>
      <c r="N62" s="1"/>
      <c r="O62" s="146"/>
    </row>
    <row r="63" spans="1:15" x14ac:dyDescent="0.25">
      <c r="A63" s="156"/>
      <c r="B63" s="105"/>
      <c r="C63" s="105"/>
      <c r="D63" s="107"/>
      <c r="E63" s="105"/>
      <c r="F63" s="105"/>
      <c r="G63" s="105"/>
      <c r="I63" s="41" t="s">
        <v>467</v>
      </c>
      <c r="J63" s="1" t="s">
        <v>2</v>
      </c>
      <c r="K63" s="1">
        <f>K18-K62</f>
        <v>98</v>
      </c>
      <c r="L63" s="147"/>
      <c r="M63" s="1"/>
      <c r="N63" s="1"/>
      <c r="O63" s="146"/>
    </row>
    <row r="64" spans="1:15" x14ac:dyDescent="0.25">
      <c r="A64" s="159" t="s">
        <v>260</v>
      </c>
      <c r="B64" s="159"/>
      <c r="C64" s="159"/>
      <c r="D64" s="107"/>
      <c r="E64" s="105"/>
      <c r="F64" s="105"/>
      <c r="G64" s="105"/>
      <c r="I64" s="41" t="s">
        <v>468</v>
      </c>
      <c r="J64" s="1" t="s">
        <v>2</v>
      </c>
      <c r="K64" s="1">
        <f>K19-K23</f>
        <v>50</v>
      </c>
      <c r="L64" s="1"/>
      <c r="M64" s="1"/>
      <c r="N64" s="1"/>
      <c r="O64" s="146"/>
    </row>
    <row r="65" spans="1:15" x14ac:dyDescent="0.25">
      <c r="A65" s="156"/>
      <c r="B65" s="105"/>
      <c r="C65" s="105"/>
      <c r="D65" s="107"/>
      <c r="E65" s="105"/>
      <c r="F65" s="105"/>
      <c r="G65" s="105"/>
      <c r="I65" s="41" t="s">
        <v>292</v>
      </c>
      <c r="J65" s="1" t="s">
        <v>2</v>
      </c>
      <c r="K65" s="13">
        <f>MAX(K63:K64)</f>
        <v>98</v>
      </c>
      <c r="L65" s="140" t="s">
        <v>140</v>
      </c>
      <c r="M65" s="1"/>
      <c r="N65" s="1"/>
      <c r="O65" s="146"/>
    </row>
    <row r="66" spans="1:15" ht="16.5" x14ac:dyDescent="0.3">
      <c r="A66" s="156" t="s">
        <v>261</v>
      </c>
      <c r="B66" s="105" t="s">
        <v>2</v>
      </c>
      <c r="C66" s="160" t="s">
        <v>262</v>
      </c>
      <c r="D66" s="160"/>
      <c r="E66" s="105"/>
      <c r="F66" s="105"/>
      <c r="G66" s="105"/>
      <c r="I66" s="41" t="s">
        <v>293</v>
      </c>
      <c r="J66" s="1" t="s">
        <v>2</v>
      </c>
      <c r="K66" s="13">
        <f>MIN(K63:K64)</f>
        <v>50</v>
      </c>
      <c r="L66" s="140" t="s">
        <v>140</v>
      </c>
      <c r="M66" s="9"/>
      <c r="N66" s="148"/>
      <c r="O66" s="46"/>
    </row>
    <row r="67" spans="1:15" x14ac:dyDescent="0.25">
      <c r="A67" s="156"/>
      <c r="B67" s="105"/>
      <c r="C67" s="105"/>
      <c r="D67" s="107"/>
      <c r="E67" s="105"/>
      <c r="F67" s="105"/>
      <c r="G67" s="105"/>
      <c r="I67" s="41" t="s">
        <v>31</v>
      </c>
      <c r="J67" s="1" t="s">
        <v>2</v>
      </c>
      <c r="K67" s="133">
        <f>(K65-K66)/LN(K65/K66)</f>
        <v>71.328321887723078</v>
      </c>
      <c r="L67" s="140" t="s">
        <v>140</v>
      </c>
      <c r="M67" s="9"/>
      <c r="N67" s="46"/>
      <c r="O67" s="46"/>
    </row>
    <row r="68" spans="1:15" x14ac:dyDescent="0.25">
      <c r="A68" s="159" t="s">
        <v>263</v>
      </c>
      <c r="B68" s="159"/>
      <c r="C68" s="105"/>
      <c r="D68" s="107"/>
      <c r="E68" s="105"/>
      <c r="F68" s="105"/>
      <c r="G68" s="105"/>
      <c r="I68" s="41" t="s">
        <v>23</v>
      </c>
      <c r="J68" s="133" t="s">
        <v>2</v>
      </c>
      <c r="K68" s="133">
        <f>K67*K59</f>
        <v>71.328321887723078</v>
      </c>
      <c r="L68" s="140" t="s">
        <v>140</v>
      </c>
      <c r="M68" s="9"/>
      <c r="N68" s="148"/>
      <c r="O68" s="46"/>
    </row>
    <row r="69" spans="1:15" x14ac:dyDescent="0.25">
      <c r="A69" s="156"/>
      <c r="B69" s="105"/>
      <c r="C69" s="105"/>
      <c r="D69" s="107"/>
      <c r="E69" s="105"/>
      <c r="F69" s="105"/>
      <c r="G69" s="105"/>
      <c r="I69" s="41"/>
      <c r="J69" s="1"/>
      <c r="K69" s="1"/>
      <c r="L69" s="1"/>
      <c r="M69" s="133"/>
      <c r="N69" s="46"/>
      <c r="O69" s="46"/>
    </row>
    <row r="70" spans="1:15" ht="16.5" x14ac:dyDescent="0.3">
      <c r="A70" s="156" t="s">
        <v>264</v>
      </c>
      <c r="B70" s="105" t="s">
        <v>2</v>
      </c>
      <c r="C70" s="160" t="s">
        <v>265</v>
      </c>
      <c r="D70" s="160"/>
      <c r="E70" s="105"/>
      <c r="F70" s="105"/>
      <c r="G70" s="105"/>
      <c r="I70" s="129" t="s">
        <v>471</v>
      </c>
      <c r="J70" s="129"/>
      <c r="K70" s="149"/>
      <c r="L70" s="149"/>
      <c r="M70" s="133"/>
      <c r="N70" s="46"/>
      <c r="O70" s="46"/>
    </row>
    <row r="71" spans="1:15" ht="18.75" x14ac:dyDescent="0.3">
      <c r="A71" s="156"/>
      <c r="B71" s="105"/>
      <c r="C71" s="105"/>
      <c r="D71" s="107"/>
      <c r="E71" s="105"/>
      <c r="F71" s="105"/>
      <c r="G71" s="105"/>
      <c r="I71" s="41" t="s">
        <v>258</v>
      </c>
      <c r="J71" s="133" t="s">
        <v>2</v>
      </c>
      <c r="K71" s="2">
        <f>K16/(K58*K68)</f>
        <v>50070.273306728108</v>
      </c>
      <c r="L71" s="140" t="s">
        <v>314</v>
      </c>
      <c r="M71" s="133"/>
      <c r="N71" s="46"/>
      <c r="O71" s="46"/>
    </row>
    <row r="72" spans="1:15" ht="18.75" x14ac:dyDescent="0.3">
      <c r="A72" s="159" t="s">
        <v>266</v>
      </c>
      <c r="B72" s="159"/>
      <c r="C72" s="105"/>
      <c r="D72" s="107"/>
      <c r="E72" s="105"/>
      <c r="F72" s="105"/>
      <c r="G72" s="105"/>
      <c r="I72" s="41" t="s">
        <v>261</v>
      </c>
      <c r="J72" s="1" t="s">
        <v>2</v>
      </c>
      <c r="K72" s="13">
        <f>MROUND(K71/K41,5)</f>
        <v>465</v>
      </c>
      <c r="L72" s="140" t="s">
        <v>314</v>
      </c>
      <c r="M72" s="133"/>
      <c r="N72" s="46"/>
      <c r="O72" s="46"/>
    </row>
    <row r="73" spans="1:15" x14ac:dyDescent="0.25">
      <c r="A73" s="156"/>
      <c r="B73" s="105"/>
      <c r="C73" s="105"/>
      <c r="D73" s="107"/>
      <c r="E73" s="105"/>
      <c r="F73" s="105"/>
      <c r="G73" s="105"/>
      <c r="I73" s="41" t="s">
        <v>264</v>
      </c>
      <c r="J73" s="1" t="s">
        <v>2</v>
      </c>
      <c r="K73" s="9">
        <f>K72/K39</f>
        <v>15.5</v>
      </c>
      <c r="L73" s="140" t="s">
        <v>124</v>
      </c>
      <c r="M73" s="133"/>
      <c r="N73" s="46"/>
      <c r="O73" s="46"/>
    </row>
    <row r="74" spans="1:15" ht="18.75" x14ac:dyDescent="0.3">
      <c r="A74" s="156" t="s">
        <v>267</v>
      </c>
      <c r="B74" s="105" t="s">
        <v>2</v>
      </c>
      <c r="C74" s="160" t="s">
        <v>268</v>
      </c>
      <c r="D74" s="160"/>
      <c r="E74" s="105"/>
      <c r="F74" s="105"/>
      <c r="G74" s="105"/>
      <c r="I74" s="41" t="s">
        <v>502</v>
      </c>
      <c r="J74" s="1" t="s">
        <v>2</v>
      </c>
      <c r="K74" s="13">
        <f>K73*K39</f>
        <v>465</v>
      </c>
      <c r="L74" s="140" t="s">
        <v>314</v>
      </c>
      <c r="M74" s="133"/>
      <c r="N74" s="46"/>
      <c r="O74" s="46"/>
    </row>
    <row r="75" spans="1:15" ht="18" x14ac:dyDescent="0.25">
      <c r="A75" s="156"/>
      <c r="B75" s="105"/>
      <c r="C75" s="105"/>
      <c r="D75" s="107"/>
      <c r="E75" s="105"/>
      <c r="F75" s="105"/>
      <c r="G75" s="105"/>
      <c r="I75" s="41" t="s">
        <v>503</v>
      </c>
      <c r="J75" s="1" t="s">
        <v>2</v>
      </c>
      <c r="K75" s="2">
        <f>K74*K41</f>
        <v>49848</v>
      </c>
      <c r="L75" s="140" t="s">
        <v>314</v>
      </c>
      <c r="M75" s="133"/>
      <c r="N75" s="46"/>
      <c r="O75" s="46"/>
    </row>
    <row r="76" spans="1:15" x14ac:dyDescent="0.25">
      <c r="A76" s="159" t="s">
        <v>269</v>
      </c>
      <c r="B76" s="159"/>
      <c r="C76" s="159"/>
      <c r="D76" s="107"/>
      <c r="E76" s="105"/>
      <c r="F76" s="105"/>
      <c r="G76" s="105"/>
      <c r="I76" s="41"/>
      <c r="J76" s="1"/>
      <c r="K76" s="1"/>
      <c r="L76" s="1"/>
      <c r="M76" s="133"/>
      <c r="N76" s="46"/>
      <c r="O76" s="46"/>
    </row>
    <row r="77" spans="1:15" x14ac:dyDescent="0.25">
      <c r="A77" s="156"/>
      <c r="B77" s="105"/>
      <c r="C77" s="105"/>
      <c r="D77" s="107"/>
      <c r="E77" s="105"/>
      <c r="F77" s="105"/>
      <c r="G77" s="105"/>
      <c r="I77" s="129" t="s">
        <v>476</v>
      </c>
      <c r="J77" s="129"/>
      <c r="K77" s="149"/>
      <c r="L77" s="149"/>
      <c r="M77" s="133"/>
      <c r="N77" s="46"/>
      <c r="O77" s="46"/>
    </row>
    <row r="78" spans="1:15" ht="16.5" x14ac:dyDescent="0.3">
      <c r="A78" s="156" t="s">
        <v>270</v>
      </c>
      <c r="B78" s="105" t="s">
        <v>2</v>
      </c>
      <c r="C78" s="160" t="s">
        <v>271</v>
      </c>
      <c r="D78" s="160"/>
      <c r="E78" s="105"/>
      <c r="F78" s="105"/>
      <c r="G78" s="105"/>
      <c r="I78" s="41" t="s">
        <v>267</v>
      </c>
      <c r="J78" s="1" t="s">
        <v>2</v>
      </c>
      <c r="K78" s="148">
        <f>K71/(K42*K39)</f>
        <v>299.105575309009</v>
      </c>
      <c r="L78" s="147"/>
      <c r="M78" s="133"/>
      <c r="N78" s="46"/>
      <c r="O78" s="46"/>
    </row>
    <row r="79" spans="1:15" ht="18.75" x14ac:dyDescent="0.3">
      <c r="A79" s="156"/>
      <c r="B79" s="105"/>
      <c r="C79" s="105"/>
      <c r="D79" s="107"/>
      <c r="E79" s="105"/>
      <c r="F79" s="105"/>
      <c r="G79" s="105"/>
      <c r="I79" s="41" t="s">
        <v>270</v>
      </c>
      <c r="J79" s="1" t="s">
        <v>2</v>
      </c>
      <c r="K79" s="148">
        <f>(144*K17*K37)/(3600*K78*K43)</f>
        <v>184.23304314778744</v>
      </c>
      <c r="L79" s="140" t="s">
        <v>315</v>
      </c>
      <c r="M79" s="133"/>
      <c r="N79" s="46"/>
      <c r="O79" s="46"/>
    </row>
    <row r="80" spans="1:15" ht="16.5" x14ac:dyDescent="0.3">
      <c r="A80" s="159" t="s">
        <v>272</v>
      </c>
      <c r="B80" s="159"/>
      <c r="C80" s="159"/>
      <c r="D80" s="107"/>
      <c r="E80" s="105"/>
      <c r="F80" s="105"/>
      <c r="G80" s="105"/>
      <c r="I80" s="41" t="s">
        <v>273</v>
      </c>
      <c r="J80" s="1" t="s">
        <v>2</v>
      </c>
      <c r="K80" s="148">
        <f>(K44*K79)/K14</f>
        <v>314.27989713446095</v>
      </c>
      <c r="L80" s="147"/>
      <c r="M80" s="133"/>
      <c r="N80" s="46"/>
      <c r="O80" s="46"/>
    </row>
    <row r="81" spans="1:15" x14ac:dyDescent="0.25">
      <c r="A81" s="156"/>
      <c r="B81" s="105"/>
      <c r="C81" s="105"/>
      <c r="D81" s="107"/>
      <c r="E81" s="105"/>
      <c r="F81" s="105"/>
      <c r="G81" s="105"/>
      <c r="I81" s="41" t="s">
        <v>479</v>
      </c>
      <c r="J81" s="1" t="s">
        <v>2</v>
      </c>
      <c r="K81" s="9">
        <f>141.5/(K10+131.5)</f>
        <v>0.78830083565459608</v>
      </c>
      <c r="L81" s="147"/>
      <c r="M81" s="133"/>
      <c r="N81" s="46"/>
      <c r="O81" s="46"/>
    </row>
    <row r="82" spans="1:15" ht="16.5" x14ac:dyDescent="0.3">
      <c r="A82" s="156" t="s">
        <v>273</v>
      </c>
      <c r="B82" s="105" t="s">
        <v>2</v>
      </c>
      <c r="C82" s="160" t="s">
        <v>274</v>
      </c>
      <c r="D82" s="160"/>
      <c r="E82" s="105"/>
      <c r="F82" s="105"/>
      <c r="G82" s="105"/>
      <c r="I82" s="41" t="s">
        <v>276</v>
      </c>
      <c r="J82" s="133" t="s">
        <v>2</v>
      </c>
      <c r="K82" s="133">
        <f>((K51*K49*K39*K37)/K45)+(K50*K37)</f>
        <v>4.0125000000000002</v>
      </c>
      <c r="L82" s="140" t="s">
        <v>217</v>
      </c>
      <c r="M82" s="133"/>
      <c r="N82" s="46"/>
      <c r="O82" s="41" t="str">
        <f>IF(K82&gt;K21,"Calculated ΔP&gt; Allowable ΔP!","Calculated ΔP &lt; Allowable ΔP")</f>
        <v>Calculated ΔP &lt; Allowable ΔP</v>
      </c>
    </row>
    <row r="83" spans="1:15" x14ac:dyDescent="0.25">
      <c r="A83" s="156"/>
      <c r="B83" s="105"/>
      <c r="C83" s="105"/>
      <c r="D83" s="107"/>
      <c r="E83" s="105"/>
      <c r="F83" s="105"/>
      <c r="G83" s="105"/>
      <c r="I83" s="41"/>
      <c r="J83" s="1"/>
      <c r="K83" s="1"/>
      <c r="L83" s="1"/>
      <c r="M83" s="133"/>
      <c r="N83" s="46"/>
      <c r="O83" s="46"/>
    </row>
    <row r="84" spans="1:15" x14ac:dyDescent="0.25">
      <c r="A84" s="159" t="s">
        <v>275</v>
      </c>
      <c r="B84" s="159"/>
      <c r="C84" s="159"/>
      <c r="D84" s="107"/>
      <c r="E84" s="105"/>
      <c r="F84" s="105"/>
      <c r="G84" s="105"/>
      <c r="I84" s="129" t="s">
        <v>482</v>
      </c>
      <c r="J84" s="129"/>
      <c r="K84" s="149"/>
      <c r="L84" s="149"/>
      <c r="M84" s="133"/>
      <c r="N84" s="46"/>
      <c r="O84" s="46"/>
    </row>
    <row r="85" spans="1:15" ht="16.5" x14ac:dyDescent="0.3">
      <c r="A85" s="156"/>
      <c r="B85" s="105"/>
      <c r="C85" s="105"/>
      <c r="D85" s="107"/>
      <c r="E85" s="105"/>
      <c r="F85" s="161"/>
      <c r="G85" s="105"/>
      <c r="I85" s="41" t="s">
        <v>317</v>
      </c>
      <c r="J85" s="1" t="s">
        <v>2</v>
      </c>
      <c r="K85" s="148">
        <f>('Example 10-2'!K52*'Example 10-2'!K46*'Example 10-2'!K45)/'Example 10-2'!K44</f>
        <v>251.58620689655172</v>
      </c>
      <c r="L85" s="150"/>
      <c r="M85" s="151"/>
      <c r="N85" s="46"/>
      <c r="O85" s="136"/>
    </row>
    <row r="86" spans="1:15" ht="16.5" x14ac:dyDescent="0.3">
      <c r="A86" s="156" t="s">
        <v>276</v>
      </c>
      <c r="B86" s="105" t="s">
        <v>2</v>
      </c>
      <c r="C86" s="160" t="s">
        <v>277</v>
      </c>
      <c r="D86" s="160"/>
      <c r="E86" s="105"/>
      <c r="F86" s="105"/>
      <c r="G86" s="105" t="s">
        <v>278</v>
      </c>
      <c r="I86" s="41" t="s">
        <v>321</v>
      </c>
      <c r="J86" s="1" t="s">
        <v>2</v>
      </c>
      <c r="K86" s="2">
        <f>'Example 10-2'!K16/(0.24*'Example 10-2'!K61)</f>
        <v>1201923.076923077</v>
      </c>
      <c r="L86" s="140" t="s">
        <v>128</v>
      </c>
      <c r="M86" s="135"/>
      <c r="N86" s="46"/>
      <c r="O86" s="1"/>
    </row>
    <row r="87" spans="1:15" ht="16.5" x14ac:dyDescent="0.3">
      <c r="A87" s="156"/>
      <c r="B87" s="105"/>
      <c r="C87" s="105"/>
      <c r="D87" s="107"/>
      <c r="E87" s="105"/>
      <c r="F87" s="105"/>
      <c r="G87" s="105"/>
      <c r="I87" s="41" t="s">
        <v>324</v>
      </c>
      <c r="J87" s="1" t="s">
        <v>2</v>
      </c>
      <c r="K87" s="2">
        <f>K86/K72</f>
        <v>2584.7808105872623</v>
      </c>
      <c r="L87" s="140" t="s">
        <v>407</v>
      </c>
      <c r="M87" s="151"/>
      <c r="N87" s="151"/>
      <c r="O87" s="136"/>
    </row>
    <row r="88" spans="1:15" ht="15" customHeight="1" x14ac:dyDescent="0.3">
      <c r="A88" s="162" t="s">
        <v>279</v>
      </c>
      <c r="B88" s="162"/>
      <c r="C88" s="162"/>
      <c r="D88" s="163"/>
      <c r="E88" s="164"/>
      <c r="F88" s="164"/>
      <c r="G88" s="105"/>
      <c r="I88" s="41" t="s">
        <v>327</v>
      </c>
      <c r="J88" s="1" t="s">
        <v>2</v>
      </c>
      <c r="K88" s="133">
        <f>(K47*K33)/K44</f>
        <v>24.597701149425287</v>
      </c>
      <c r="L88" s="140"/>
      <c r="M88" s="46"/>
      <c r="N88" s="46"/>
      <c r="O88" s="46"/>
    </row>
    <row r="89" spans="1:15" ht="16.5" x14ac:dyDescent="0.3">
      <c r="A89" s="165"/>
      <c r="B89" s="164"/>
      <c r="C89" s="164"/>
      <c r="D89" s="163"/>
      <c r="E89" s="164"/>
      <c r="F89" s="164"/>
      <c r="G89" s="164"/>
      <c r="I89" s="41" t="s">
        <v>330</v>
      </c>
      <c r="J89" s="1" t="s">
        <v>2</v>
      </c>
      <c r="K89" s="46">
        <f>((1/K85)*K88)+(K20*K88)+(1/K53)</f>
        <v>0.24001522780921203</v>
      </c>
      <c r="L89" s="5"/>
      <c r="M89" s="1"/>
      <c r="N89" s="46"/>
      <c r="O89" s="46"/>
    </row>
    <row r="90" spans="1:15" ht="15" customHeight="1" x14ac:dyDescent="0.3">
      <c r="A90" s="166" t="s">
        <v>280</v>
      </c>
      <c r="B90" s="166"/>
      <c r="C90" s="166"/>
      <c r="D90" s="166"/>
      <c r="E90" s="164"/>
      <c r="F90" s="167"/>
      <c r="G90" s="167"/>
      <c r="I90" s="41" t="s">
        <v>483</v>
      </c>
      <c r="J90" s="1" t="s">
        <v>2</v>
      </c>
      <c r="K90" s="9">
        <f>1/K89</f>
        <v>4.1664023117520674</v>
      </c>
      <c r="L90" s="140" t="s">
        <v>419</v>
      </c>
      <c r="M90" s="135"/>
      <c r="N90" s="136"/>
      <c r="O90" s="136"/>
    </row>
    <row r="91" spans="1:15" ht="18.75" x14ac:dyDescent="0.3">
      <c r="A91" s="165" t="s">
        <v>281</v>
      </c>
      <c r="B91" s="164"/>
      <c r="C91" s="164"/>
      <c r="D91" s="163"/>
      <c r="E91" s="164" t="s">
        <v>2</v>
      </c>
      <c r="F91" s="168">
        <v>4.2</v>
      </c>
      <c r="G91" s="167" t="s">
        <v>397</v>
      </c>
      <c r="I91" s="152"/>
      <c r="J91" s="135"/>
      <c r="K91" s="135"/>
      <c r="L91" s="150"/>
      <c r="M91" s="151"/>
      <c r="N91" s="136"/>
      <c r="O91" s="136"/>
    </row>
    <row r="92" spans="1:15" x14ac:dyDescent="0.25">
      <c r="A92" s="165"/>
      <c r="B92" s="164"/>
      <c r="C92" s="164"/>
      <c r="D92" s="163"/>
      <c r="E92" s="164"/>
      <c r="F92" s="168"/>
      <c r="G92" s="167"/>
      <c r="I92" s="56" t="s">
        <v>484</v>
      </c>
      <c r="J92" s="56"/>
      <c r="K92" s="56"/>
      <c r="L92" s="56"/>
      <c r="M92" s="56"/>
      <c r="N92" s="56"/>
      <c r="O92" s="56"/>
    </row>
    <row r="93" spans="1:15" x14ac:dyDescent="0.25">
      <c r="A93" s="166" t="s">
        <v>282</v>
      </c>
      <c r="B93" s="166"/>
      <c r="C93" s="166"/>
      <c r="D93" s="163"/>
      <c r="E93" s="164"/>
      <c r="F93" s="164"/>
      <c r="G93" s="167"/>
      <c r="I93" s="56" t="s">
        <v>486</v>
      </c>
      <c r="J93" s="56"/>
      <c r="K93" s="56"/>
      <c r="L93" s="56"/>
      <c r="M93" s="56"/>
      <c r="N93" s="56"/>
      <c r="O93" s="56"/>
    </row>
    <row r="94" spans="1:15" ht="16.5" x14ac:dyDescent="0.3">
      <c r="A94" s="165" t="s">
        <v>283</v>
      </c>
      <c r="B94" s="164" t="s">
        <v>2</v>
      </c>
      <c r="C94" s="169" t="s">
        <v>284</v>
      </c>
      <c r="D94" s="169"/>
      <c r="E94" s="170" t="s">
        <v>2</v>
      </c>
      <c r="F94" s="164">
        <f>((F91+1)/10)*(((C17+C18)/2)-C22)</f>
        <v>52</v>
      </c>
      <c r="G94" s="167" t="s">
        <v>140</v>
      </c>
      <c r="I94" s="152"/>
      <c r="J94" s="135"/>
      <c r="K94" s="135"/>
      <c r="L94" s="150"/>
      <c r="M94" s="151"/>
      <c r="N94" s="136"/>
      <c r="O94" s="136"/>
    </row>
    <row r="95" spans="1:15" x14ac:dyDescent="0.25">
      <c r="A95" s="165"/>
      <c r="B95" s="164"/>
      <c r="C95" s="164"/>
      <c r="D95" s="163"/>
      <c r="E95" s="164"/>
      <c r="F95" s="164"/>
      <c r="G95" s="167"/>
      <c r="I95" s="129" t="s">
        <v>487</v>
      </c>
      <c r="J95" s="129"/>
      <c r="K95" s="135"/>
      <c r="L95" s="150"/>
      <c r="M95" s="151"/>
      <c r="N95" s="136"/>
      <c r="O95" s="136"/>
    </row>
    <row r="96" spans="1:15" ht="18.75" x14ac:dyDescent="0.3">
      <c r="A96" s="165" t="s">
        <v>285</v>
      </c>
      <c r="B96" s="164" t="s">
        <v>2</v>
      </c>
      <c r="C96" s="169" t="s">
        <v>286</v>
      </c>
      <c r="D96" s="169"/>
      <c r="E96" s="164" t="s">
        <v>2</v>
      </c>
      <c r="F96" s="164">
        <f>C22+F94</f>
        <v>152</v>
      </c>
      <c r="G96" s="167" t="s">
        <v>140</v>
      </c>
      <c r="I96" s="41" t="s">
        <v>26</v>
      </c>
      <c r="J96" s="1" t="s">
        <v>2</v>
      </c>
      <c r="K96" s="133">
        <f>(0.4*K72)/K29</f>
        <v>93</v>
      </c>
      <c r="L96" s="140" t="s">
        <v>314</v>
      </c>
      <c r="M96" s="151"/>
      <c r="N96" s="136"/>
      <c r="O96" s="136"/>
    </row>
    <row r="97" spans="1:15" x14ac:dyDescent="0.25">
      <c r="A97" s="165"/>
      <c r="B97" s="164"/>
      <c r="C97" s="164"/>
      <c r="D97" s="164"/>
      <c r="E97" s="164"/>
      <c r="F97" s="164"/>
      <c r="G97" s="167"/>
      <c r="I97" s="41" t="s">
        <v>6</v>
      </c>
      <c r="J97" s="133" t="s">
        <v>2</v>
      </c>
      <c r="K97" s="148">
        <f>ROUNDUP(SQRT((4*K96)/PI()),0)</f>
        <v>11</v>
      </c>
      <c r="L97" s="140" t="s">
        <v>124</v>
      </c>
      <c r="M97" s="151"/>
      <c r="N97" s="136"/>
      <c r="O97" s="136"/>
    </row>
    <row r="98" spans="1:15" ht="16.5" x14ac:dyDescent="0.3">
      <c r="A98" s="163" t="s">
        <v>287</v>
      </c>
      <c r="B98" s="164"/>
      <c r="C98" s="164" t="s">
        <v>288</v>
      </c>
      <c r="D98" s="164" t="s">
        <v>289</v>
      </c>
      <c r="E98" s="170"/>
      <c r="F98" s="167"/>
      <c r="G98" s="167"/>
      <c r="I98" s="41" t="s">
        <v>488</v>
      </c>
      <c r="J98" s="133" t="s">
        <v>2</v>
      </c>
      <c r="K98" s="13">
        <f>(K23+K62)/2</f>
        <v>126</v>
      </c>
      <c r="L98" s="140" t="s">
        <v>140</v>
      </c>
      <c r="M98" s="151"/>
      <c r="N98" s="136"/>
      <c r="O98" s="136"/>
    </row>
    <row r="99" spans="1:15" ht="16.5" x14ac:dyDescent="0.3">
      <c r="A99" s="165" t="s">
        <v>290</v>
      </c>
      <c r="B99" s="164"/>
      <c r="C99" s="164">
        <f>C17</f>
        <v>250</v>
      </c>
      <c r="D99" s="164">
        <f>C18</f>
        <v>150</v>
      </c>
      <c r="E99" s="170"/>
      <c r="F99" s="171"/>
      <c r="G99" s="167"/>
      <c r="I99" s="41" t="s">
        <v>420</v>
      </c>
      <c r="J99" s="1" t="s">
        <v>2</v>
      </c>
      <c r="K99" s="9">
        <f>(K54*K38)/K55</f>
        <v>0.42553191489361708</v>
      </c>
      <c r="L99" s="140" t="s">
        <v>495</v>
      </c>
      <c r="M99" s="151"/>
      <c r="N99" s="136"/>
      <c r="O99" s="136"/>
    </row>
    <row r="100" spans="1:15" x14ac:dyDescent="0.25">
      <c r="A100" s="165" t="s">
        <v>291</v>
      </c>
      <c r="B100" s="164"/>
      <c r="C100" s="172">
        <f>F96</f>
        <v>152</v>
      </c>
      <c r="D100" s="172">
        <f>C22</f>
        <v>100</v>
      </c>
      <c r="E100" s="170"/>
      <c r="F100" s="167"/>
      <c r="G100" s="167"/>
      <c r="I100" s="41" t="s">
        <v>499</v>
      </c>
      <c r="J100" s="133" t="s">
        <v>2</v>
      </c>
      <c r="K100" s="2">
        <f>K86/(K55*60*0.0749)</f>
        <v>284521.93395522091</v>
      </c>
      <c r="L100" s="140" t="s">
        <v>497</v>
      </c>
      <c r="M100" s="151"/>
      <c r="N100" s="136"/>
      <c r="O100" s="136"/>
    </row>
    <row r="101" spans="1:15" x14ac:dyDescent="0.25">
      <c r="A101" s="165"/>
      <c r="B101" s="164"/>
      <c r="C101" s="164">
        <f>C99-C100</f>
        <v>98</v>
      </c>
      <c r="D101" s="164">
        <f>D99-D100</f>
        <v>50</v>
      </c>
      <c r="E101" s="170"/>
      <c r="F101" s="171"/>
      <c r="G101" s="167"/>
      <c r="I101" s="41"/>
      <c r="J101" s="133" t="s">
        <v>2</v>
      </c>
      <c r="K101" s="2">
        <f>K100/2</f>
        <v>142260.96697761046</v>
      </c>
      <c r="L101" s="140" t="s">
        <v>498</v>
      </c>
      <c r="M101" s="151"/>
      <c r="N101" s="136"/>
      <c r="O101" s="136"/>
    </row>
    <row r="102" spans="1:15" ht="16.5" x14ac:dyDescent="0.3">
      <c r="A102" s="165"/>
      <c r="B102" s="164"/>
      <c r="C102" s="164"/>
      <c r="D102" s="163"/>
      <c r="E102" s="170"/>
      <c r="F102" s="167"/>
      <c r="G102" s="167"/>
      <c r="I102" s="41" t="s">
        <v>74</v>
      </c>
      <c r="J102" s="133" t="s">
        <v>2</v>
      </c>
      <c r="K102" s="9">
        <f>K99+(K101/(4005*((PI()*K97^2)/4)))^2*K55</f>
        <v>0.55685583012825401</v>
      </c>
      <c r="L102" s="140" t="s">
        <v>495</v>
      </c>
      <c r="M102" s="151"/>
      <c r="N102" s="136"/>
      <c r="O102" s="136"/>
    </row>
    <row r="103" spans="1:15" x14ac:dyDescent="0.25">
      <c r="A103" s="165" t="s">
        <v>292</v>
      </c>
      <c r="B103" s="164"/>
      <c r="C103" s="169"/>
      <c r="D103" s="169"/>
      <c r="E103" s="170" t="s">
        <v>2</v>
      </c>
      <c r="F103" s="168">
        <f>MAX(C101:D101)</f>
        <v>98</v>
      </c>
      <c r="G103" s="167" t="s">
        <v>140</v>
      </c>
      <c r="I103" s="41" t="s">
        <v>443</v>
      </c>
      <c r="J103" s="133" t="s">
        <v>2</v>
      </c>
      <c r="K103" s="9">
        <f>(K101*K102)/(6356*K30)</f>
        <v>17.805189441060282</v>
      </c>
      <c r="L103" s="5" t="s">
        <v>385</v>
      </c>
      <c r="M103" s="151"/>
      <c r="N103" s="153"/>
      <c r="O103" s="136"/>
    </row>
    <row r="104" spans="1:15" x14ac:dyDescent="0.25">
      <c r="A104" s="165" t="s">
        <v>293</v>
      </c>
      <c r="B104" s="164"/>
      <c r="C104" s="164"/>
      <c r="D104" s="163"/>
      <c r="E104" s="170" t="s">
        <v>2</v>
      </c>
      <c r="F104" s="168">
        <f>MIN(C101:D101)</f>
        <v>50</v>
      </c>
      <c r="G104" s="167" t="s">
        <v>140</v>
      </c>
      <c r="I104" s="41" t="s">
        <v>501</v>
      </c>
      <c r="J104" s="1" t="s">
        <v>2</v>
      </c>
      <c r="K104" s="133">
        <f>K103/K31</f>
        <v>19.353466783761174</v>
      </c>
      <c r="L104" s="140" t="s">
        <v>385</v>
      </c>
      <c r="M104" s="151"/>
      <c r="N104" s="153"/>
      <c r="O104" s="136"/>
    </row>
    <row r="105" spans="1:15" x14ac:dyDescent="0.25">
      <c r="A105" s="165"/>
      <c r="B105" s="164"/>
      <c r="C105" s="169"/>
      <c r="D105" s="169"/>
      <c r="E105" s="170"/>
      <c r="F105" s="171"/>
      <c r="G105" s="167"/>
      <c r="I105" s="154"/>
      <c r="J105" s="133" t="s">
        <v>2</v>
      </c>
      <c r="K105" s="13">
        <f>CEILING(K104,1)</f>
        <v>20</v>
      </c>
      <c r="L105" s="140" t="s">
        <v>385</v>
      </c>
      <c r="M105" s="151"/>
      <c r="N105" s="153"/>
      <c r="O105" s="136"/>
    </row>
    <row r="106" spans="1:15" x14ac:dyDescent="0.25">
      <c r="A106" s="165" t="s">
        <v>31</v>
      </c>
      <c r="B106" s="164" t="s">
        <v>2</v>
      </c>
      <c r="C106" s="169" t="s">
        <v>294</v>
      </c>
      <c r="D106" s="169"/>
      <c r="E106" s="173" t="s">
        <v>2</v>
      </c>
      <c r="F106" s="173">
        <f>(F103-F104)/LN(F103/F104)</f>
        <v>71.328321887723078</v>
      </c>
      <c r="G106" s="167" t="s">
        <v>140</v>
      </c>
    </row>
    <row r="107" spans="1:15" x14ac:dyDescent="0.25">
      <c r="A107" s="165"/>
      <c r="B107" s="164"/>
      <c r="C107" s="169" t="s">
        <v>398</v>
      </c>
      <c r="D107" s="169"/>
      <c r="E107" s="173"/>
      <c r="F107" s="171"/>
      <c r="G107" s="167"/>
    </row>
    <row r="108" spans="1:15" ht="16.5" x14ac:dyDescent="0.3">
      <c r="A108" s="163" t="s">
        <v>295</v>
      </c>
      <c r="B108" s="164"/>
      <c r="C108" s="164"/>
      <c r="D108" s="164"/>
      <c r="E108" s="173"/>
      <c r="F108" s="171"/>
      <c r="G108" s="167"/>
    </row>
    <row r="109" spans="1:15" ht="16.5" x14ac:dyDescent="0.3">
      <c r="A109" s="165" t="s">
        <v>296</v>
      </c>
      <c r="B109" s="164"/>
      <c r="C109" s="164"/>
      <c r="D109" s="164"/>
      <c r="E109" s="173" t="s">
        <v>2</v>
      </c>
      <c r="F109" s="170">
        <v>1</v>
      </c>
      <c r="G109" s="167"/>
    </row>
    <row r="110" spans="1:15" x14ac:dyDescent="0.25">
      <c r="A110" s="165"/>
      <c r="B110" s="164"/>
      <c r="C110" s="164"/>
      <c r="D110" s="164"/>
      <c r="E110" s="173"/>
      <c r="F110" s="170"/>
      <c r="G110" s="167"/>
    </row>
    <row r="111" spans="1:15" x14ac:dyDescent="0.25">
      <c r="A111" s="165" t="s">
        <v>23</v>
      </c>
      <c r="B111" s="164" t="s">
        <v>2</v>
      </c>
      <c r="C111" s="169" t="s">
        <v>399</v>
      </c>
      <c r="D111" s="169"/>
      <c r="E111" s="173" t="s">
        <v>2</v>
      </c>
      <c r="F111" s="173">
        <f>F106*F109</f>
        <v>71.328321887723078</v>
      </c>
      <c r="G111" s="167" t="s">
        <v>140</v>
      </c>
    </row>
    <row r="112" spans="1:15" x14ac:dyDescent="0.25">
      <c r="A112" s="165"/>
      <c r="B112" s="164"/>
      <c r="C112" s="164"/>
      <c r="D112" s="164"/>
      <c r="E112" s="173"/>
      <c r="F112" s="174"/>
      <c r="G112" s="167"/>
    </row>
    <row r="113" spans="1:7" ht="16.5" x14ac:dyDescent="0.3">
      <c r="A113" s="166" t="s">
        <v>516</v>
      </c>
      <c r="B113" s="166"/>
      <c r="C113" s="169"/>
      <c r="D113" s="169"/>
      <c r="E113" s="173"/>
      <c r="F113" s="171"/>
      <c r="G113" s="167"/>
    </row>
    <row r="114" spans="1:7" ht="18.75" x14ac:dyDescent="0.3">
      <c r="A114" s="165" t="s">
        <v>297</v>
      </c>
      <c r="B114" s="164" t="s">
        <v>2</v>
      </c>
      <c r="C114" s="169" t="s">
        <v>298</v>
      </c>
      <c r="D114" s="169"/>
      <c r="E114" s="173" t="s">
        <v>2</v>
      </c>
      <c r="F114" s="175">
        <f>C15/(F91*F111)</f>
        <v>50070.273306728108</v>
      </c>
      <c r="G114" s="167" t="s">
        <v>408</v>
      </c>
    </row>
    <row r="115" spans="1:7" x14ac:dyDescent="0.25">
      <c r="A115" s="165"/>
      <c r="B115" s="164"/>
      <c r="C115" s="164"/>
      <c r="D115" s="164"/>
      <c r="E115" s="173"/>
      <c r="F115" s="171"/>
      <c r="G115" s="167"/>
    </row>
    <row r="116" spans="1:7" x14ac:dyDescent="0.25">
      <c r="A116" s="166" t="s">
        <v>299</v>
      </c>
      <c r="B116" s="166"/>
      <c r="C116" s="166"/>
      <c r="D116" s="163"/>
      <c r="E116" s="173"/>
      <c r="F116" s="167"/>
      <c r="G116" s="167"/>
    </row>
    <row r="117" spans="1:7" ht="18.75" x14ac:dyDescent="0.3">
      <c r="A117" s="165" t="s">
        <v>300</v>
      </c>
      <c r="B117" s="164" t="s">
        <v>2</v>
      </c>
      <c r="C117" s="169" t="s">
        <v>400</v>
      </c>
      <c r="D117" s="169"/>
      <c r="E117" s="173" t="s">
        <v>2</v>
      </c>
      <c r="F117" s="168">
        <f>MROUND(F114/C36,5)</f>
        <v>465</v>
      </c>
      <c r="G117" s="167" t="s">
        <v>408</v>
      </c>
    </row>
    <row r="118" spans="1:7" x14ac:dyDescent="0.25">
      <c r="A118" s="165"/>
      <c r="B118" s="164"/>
      <c r="C118" s="164"/>
      <c r="D118" s="164"/>
      <c r="E118" s="173"/>
      <c r="F118" s="168"/>
      <c r="G118" s="167"/>
    </row>
    <row r="119" spans="1:7" x14ac:dyDescent="0.25">
      <c r="A119" s="166" t="s">
        <v>301</v>
      </c>
      <c r="B119" s="166"/>
      <c r="C119" s="166"/>
      <c r="D119" s="163"/>
      <c r="E119" s="173"/>
      <c r="F119" s="167"/>
      <c r="G119" s="167"/>
    </row>
    <row r="120" spans="1:7" x14ac:dyDescent="0.25">
      <c r="A120" s="165" t="s">
        <v>264</v>
      </c>
      <c r="B120" s="164" t="s">
        <v>2</v>
      </c>
      <c r="C120" s="169" t="s">
        <v>401</v>
      </c>
      <c r="D120" s="169"/>
      <c r="E120" s="173" t="s">
        <v>2</v>
      </c>
      <c r="F120" s="170">
        <f>F117/C34</f>
        <v>15.5</v>
      </c>
      <c r="G120" s="167" t="s">
        <v>124</v>
      </c>
    </row>
    <row r="121" spans="1:7" x14ac:dyDescent="0.25">
      <c r="A121" s="176"/>
      <c r="B121" s="164"/>
      <c r="C121" s="164"/>
      <c r="D121" s="163"/>
      <c r="E121" s="173"/>
      <c r="F121" s="168"/>
      <c r="G121" s="167"/>
    </row>
    <row r="122" spans="1:7" x14ac:dyDescent="0.25">
      <c r="A122" s="166" t="s">
        <v>302</v>
      </c>
      <c r="B122" s="166"/>
      <c r="C122" s="166"/>
      <c r="D122" s="166"/>
      <c r="E122" s="173"/>
      <c r="F122" s="171"/>
      <c r="G122" s="167"/>
    </row>
    <row r="123" spans="1:7" ht="16.5" x14ac:dyDescent="0.3">
      <c r="A123" s="165" t="s">
        <v>303</v>
      </c>
      <c r="B123" s="164" t="s">
        <v>2</v>
      </c>
      <c r="C123" s="169" t="s">
        <v>402</v>
      </c>
      <c r="D123" s="169"/>
      <c r="E123" s="173" t="s">
        <v>2</v>
      </c>
      <c r="F123" s="171">
        <f>F114/(C37*C34)</f>
        <v>299.105575309009</v>
      </c>
      <c r="G123" s="167"/>
    </row>
    <row r="124" spans="1:7" x14ac:dyDescent="0.25">
      <c r="A124" s="166"/>
      <c r="B124" s="166"/>
      <c r="C124" s="164"/>
      <c r="D124" s="163"/>
      <c r="E124" s="173"/>
      <c r="F124" s="167"/>
      <c r="G124" s="167"/>
    </row>
    <row r="125" spans="1:7" ht="16.5" x14ac:dyDescent="0.3">
      <c r="A125" s="166" t="s">
        <v>304</v>
      </c>
      <c r="B125" s="166"/>
      <c r="C125" s="166"/>
      <c r="D125" s="166"/>
      <c r="E125" s="166"/>
      <c r="F125" s="166"/>
      <c r="G125" s="166"/>
    </row>
    <row r="126" spans="1:7" ht="18.75" x14ac:dyDescent="0.3">
      <c r="A126" s="165" t="s">
        <v>305</v>
      </c>
      <c r="B126" s="164" t="s">
        <v>2</v>
      </c>
      <c r="C126" s="169" t="s">
        <v>403</v>
      </c>
      <c r="D126" s="169"/>
      <c r="E126" s="173" t="s">
        <v>2</v>
      </c>
      <c r="F126" s="171">
        <f>(144*C16*C32)/(3600*F123*C38)</f>
        <v>184.23304314778744</v>
      </c>
      <c r="G126" s="167" t="s">
        <v>415</v>
      </c>
    </row>
    <row r="127" spans="1:7" x14ac:dyDescent="0.25">
      <c r="A127" s="165"/>
      <c r="B127" s="164"/>
      <c r="C127" s="164"/>
      <c r="D127" s="163"/>
      <c r="E127" s="173"/>
      <c r="F127" s="168"/>
      <c r="G127" s="167"/>
    </row>
    <row r="128" spans="1:7" x14ac:dyDescent="0.25">
      <c r="A128" s="166" t="s">
        <v>306</v>
      </c>
      <c r="B128" s="166"/>
      <c r="C128" s="166"/>
      <c r="D128" s="163"/>
      <c r="E128" s="173"/>
      <c r="F128" s="168"/>
      <c r="G128" s="167"/>
    </row>
    <row r="129" spans="1:7" ht="16.5" x14ac:dyDescent="0.3">
      <c r="A129" s="165" t="s">
        <v>307</v>
      </c>
      <c r="B129" s="164" t="s">
        <v>2</v>
      </c>
      <c r="C129" s="169" t="s">
        <v>404</v>
      </c>
      <c r="D129" s="169"/>
      <c r="E129" s="173" t="s">
        <v>2</v>
      </c>
      <c r="F129" s="171">
        <f>(C39*F126)/C13</f>
        <v>314.27989713446095</v>
      </c>
      <c r="G129" s="167"/>
    </row>
    <row r="130" spans="1:7" x14ac:dyDescent="0.25">
      <c r="A130" s="165"/>
      <c r="B130" s="164"/>
      <c r="C130" s="164"/>
      <c r="D130" s="164"/>
      <c r="E130" s="173"/>
      <c r="F130" s="171"/>
      <c r="G130" s="167"/>
    </row>
    <row r="131" spans="1:7" x14ac:dyDescent="0.25">
      <c r="A131" s="166" t="s">
        <v>308</v>
      </c>
      <c r="B131" s="166"/>
      <c r="C131" s="166"/>
      <c r="D131" s="166"/>
      <c r="E131" s="173"/>
      <c r="F131" s="168"/>
      <c r="G131" s="167"/>
    </row>
    <row r="132" spans="1:7" x14ac:dyDescent="0.25">
      <c r="A132" s="166" t="s">
        <v>309</v>
      </c>
      <c r="B132" s="166"/>
      <c r="C132" s="164"/>
      <c r="D132" s="163"/>
      <c r="E132" s="173"/>
      <c r="F132" s="167"/>
      <c r="G132" s="167"/>
    </row>
    <row r="133" spans="1:7" x14ac:dyDescent="0.25">
      <c r="A133" s="165" t="s">
        <v>83</v>
      </c>
      <c r="B133" s="164"/>
      <c r="C133" s="169"/>
      <c r="D133" s="169"/>
      <c r="E133" s="173" t="s">
        <v>2</v>
      </c>
      <c r="F133" s="168">
        <v>14.5</v>
      </c>
      <c r="G133" s="167" t="s">
        <v>310</v>
      </c>
    </row>
    <row r="134" spans="1:7" x14ac:dyDescent="0.25">
      <c r="A134" s="165" t="s">
        <v>22</v>
      </c>
      <c r="B134" s="164"/>
      <c r="C134" s="164"/>
      <c r="D134" s="163"/>
      <c r="E134" s="173" t="s">
        <v>2</v>
      </c>
      <c r="F134" s="168">
        <v>0.25</v>
      </c>
      <c r="G134" s="167" t="s">
        <v>311</v>
      </c>
    </row>
    <row r="135" spans="1:7" x14ac:dyDescent="0.25">
      <c r="A135" s="165"/>
      <c r="B135" s="164"/>
      <c r="C135" s="169"/>
      <c r="D135" s="169"/>
      <c r="E135" s="173"/>
      <c r="F135" s="168"/>
      <c r="G135" s="167"/>
    </row>
    <row r="136" spans="1:7" ht="16.5" x14ac:dyDescent="0.3">
      <c r="A136" s="166" t="s">
        <v>312</v>
      </c>
      <c r="B136" s="166"/>
      <c r="C136" s="164"/>
      <c r="D136" s="163"/>
      <c r="E136" s="173"/>
      <c r="F136" s="167"/>
      <c r="G136" s="167"/>
    </row>
    <row r="137" spans="1:7" x14ac:dyDescent="0.25">
      <c r="A137" s="165" t="s">
        <v>11</v>
      </c>
      <c r="B137" s="164"/>
      <c r="C137" s="164"/>
      <c r="D137" s="163"/>
      <c r="E137" s="173" t="s">
        <v>2</v>
      </c>
      <c r="F137" s="168">
        <v>2.3999999999999998E-3</v>
      </c>
      <c r="G137" s="167"/>
    </row>
    <row r="138" spans="1:7" x14ac:dyDescent="0.25">
      <c r="A138" s="165"/>
      <c r="B138" s="164"/>
      <c r="C138" s="164"/>
      <c r="D138" s="163"/>
      <c r="E138" s="173"/>
      <c r="F138" s="168"/>
      <c r="G138" s="167"/>
    </row>
    <row r="139" spans="1:7" ht="16.5" x14ac:dyDescent="0.3">
      <c r="A139" s="165" t="s">
        <v>418</v>
      </c>
      <c r="B139" s="164" t="s">
        <v>2</v>
      </c>
      <c r="C139" s="169" t="s">
        <v>313</v>
      </c>
      <c r="D139" s="169"/>
      <c r="E139" s="173" t="s">
        <v>2</v>
      </c>
      <c r="F139" s="173">
        <f>((F137*F133*C34*C32)/C40)+(F134*C32)</f>
        <v>4.0125000000000002</v>
      </c>
      <c r="G139" s="167" t="s">
        <v>217</v>
      </c>
    </row>
    <row r="140" spans="1:7" x14ac:dyDescent="0.25">
      <c r="A140" s="163"/>
      <c r="B140" s="164"/>
      <c r="C140" s="164"/>
      <c r="D140" s="164"/>
      <c r="E140" s="173"/>
      <c r="F140" s="173"/>
      <c r="G140" s="167"/>
    </row>
    <row r="141" spans="1:7" x14ac:dyDescent="0.25">
      <c r="A141" s="177"/>
      <c r="B141" s="12"/>
      <c r="C141" s="12"/>
      <c r="D141" s="178"/>
      <c r="E141" s="12"/>
      <c r="F141" s="12"/>
      <c r="G141" s="12"/>
    </row>
    <row r="142" spans="1:7" x14ac:dyDescent="0.25">
      <c r="A142" s="155" t="s">
        <v>504</v>
      </c>
      <c r="B142" s="155"/>
      <c r="C142" s="155"/>
      <c r="D142" s="155"/>
      <c r="E142" s="155"/>
      <c r="F142" s="155"/>
      <c r="G142" s="105"/>
    </row>
    <row r="143" spans="1:7" x14ac:dyDescent="0.25">
      <c r="A143" s="179"/>
      <c r="B143" s="179"/>
      <c r="C143" s="179"/>
      <c r="D143" s="179"/>
      <c r="E143" s="179"/>
      <c r="F143" s="179"/>
      <c r="G143" s="105"/>
    </row>
    <row r="144" spans="1:7" x14ac:dyDescent="0.25">
      <c r="A144" s="159" t="s">
        <v>316</v>
      </c>
      <c r="B144" s="159"/>
      <c r="C144" s="159"/>
      <c r="D144" s="107"/>
      <c r="E144" s="105"/>
      <c r="F144" s="105"/>
      <c r="G144" s="105"/>
    </row>
    <row r="145" spans="1:7" x14ac:dyDescent="0.25">
      <c r="A145" s="156"/>
      <c r="B145" s="105"/>
      <c r="C145" s="105"/>
      <c r="D145" s="107"/>
      <c r="E145" s="105"/>
      <c r="F145" s="105"/>
      <c r="G145" s="105"/>
    </row>
    <row r="146" spans="1:7" ht="18.75" x14ac:dyDescent="0.3">
      <c r="A146" s="156" t="s">
        <v>317</v>
      </c>
      <c r="B146" s="105" t="s">
        <v>2</v>
      </c>
      <c r="C146" s="160" t="s">
        <v>318</v>
      </c>
      <c r="D146" s="160"/>
      <c r="E146" s="105"/>
      <c r="F146" s="105"/>
      <c r="G146" s="105" t="s">
        <v>319</v>
      </c>
    </row>
    <row r="147" spans="1:7" x14ac:dyDescent="0.25">
      <c r="A147" s="156"/>
      <c r="B147" s="105"/>
      <c r="C147" s="107" t="s">
        <v>396</v>
      </c>
      <c r="D147" s="107"/>
      <c r="E147" s="105"/>
      <c r="F147" s="105"/>
      <c r="G147" s="105"/>
    </row>
    <row r="148" spans="1:7" x14ac:dyDescent="0.25">
      <c r="A148" s="107" t="s">
        <v>320</v>
      </c>
      <c r="B148" s="105"/>
      <c r="C148" s="105"/>
      <c r="D148" s="107"/>
      <c r="E148" s="105"/>
      <c r="F148" s="105"/>
      <c r="G148" s="105"/>
    </row>
    <row r="149" spans="1:7" x14ac:dyDescent="0.25">
      <c r="A149" s="156"/>
      <c r="B149" s="105"/>
      <c r="C149" s="161"/>
      <c r="D149" s="107"/>
      <c r="E149" s="105"/>
      <c r="F149" s="105"/>
      <c r="G149" s="105"/>
    </row>
    <row r="150" spans="1:7" ht="16.5" x14ac:dyDescent="0.3">
      <c r="A150" s="156" t="s">
        <v>321</v>
      </c>
      <c r="B150" s="105" t="s">
        <v>2</v>
      </c>
      <c r="C150" s="160" t="s">
        <v>322</v>
      </c>
      <c r="D150" s="160"/>
      <c r="E150" s="105"/>
      <c r="F150" s="105"/>
      <c r="G150" s="105"/>
    </row>
    <row r="151" spans="1:7" x14ac:dyDescent="0.25">
      <c r="A151" s="156"/>
      <c r="B151" s="105"/>
      <c r="C151" s="161"/>
      <c r="D151" s="107"/>
      <c r="E151" s="105"/>
      <c r="F151" s="105"/>
      <c r="G151" s="105"/>
    </row>
    <row r="152" spans="1:7" x14ac:dyDescent="0.25">
      <c r="A152" s="159" t="s">
        <v>323</v>
      </c>
      <c r="B152" s="159"/>
      <c r="C152" s="159"/>
      <c r="D152" s="107"/>
      <c r="E152" s="105"/>
      <c r="F152" s="105"/>
      <c r="G152" s="105"/>
    </row>
    <row r="153" spans="1:7" x14ac:dyDescent="0.25">
      <c r="A153" s="156"/>
      <c r="B153" s="105"/>
      <c r="C153" s="161"/>
      <c r="D153" s="107"/>
      <c r="E153" s="105"/>
      <c r="F153" s="105"/>
      <c r="G153" s="105"/>
    </row>
    <row r="154" spans="1:7" ht="16.5" x14ac:dyDescent="0.3">
      <c r="A154" s="156" t="s">
        <v>324</v>
      </c>
      <c r="B154" s="105" t="s">
        <v>2</v>
      </c>
      <c r="C154" s="160" t="s">
        <v>325</v>
      </c>
      <c r="D154" s="160"/>
      <c r="E154" s="105"/>
      <c r="F154" s="105"/>
      <c r="G154" s="105"/>
    </row>
    <row r="155" spans="1:7" x14ac:dyDescent="0.25">
      <c r="A155" s="156"/>
      <c r="B155" s="105"/>
      <c r="C155" s="161"/>
      <c r="D155" s="107"/>
      <c r="E155" s="105"/>
      <c r="F155" s="105"/>
      <c r="G155" s="105"/>
    </row>
    <row r="156" spans="1:7" ht="16.5" x14ac:dyDescent="0.3">
      <c r="A156" s="107" t="s">
        <v>326</v>
      </c>
      <c r="B156" s="105"/>
      <c r="C156" s="161"/>
      <c r="D156" s="107"/>
      <c r="E156" s="105"/>
      <c r="F156" s="105"/>
      <c r="G156" s="105"/>
    </row>
    <row r="157" spans="1:7" x14ac:dyDescent="0.25">
      <c r="A157" s="156"/>
      <c r="B157" s="105"/>
      <c r="C157" s="161"/>
      <c r="D157" s="107"/>
      <c r="E157" s="105"/>
      <c r="F157" s="105"/>
      <c r="G157" s="105"/>
    </row>
    <row r="158" spans="1:7" ht="16.5" x14ac:dyDescent="0.3">
      <c r="A158" s="156" t="s">
        <v>327</v>
      </c>
      <c r="B158" s="105" t="s">
        <v>2</v>
      </c>
      <c r="C158" s="160" t="s">
        <v>328</v>
      </c>
      <c r="D158" s="160"/>
      <c r="E158" s="105"/>
      <c r="F158" s="105"/>
      <c r="G158" s="105"/>
    </row>
    <row r="159" spans="1:7" x14ac:dyDescent="0.25">
      <c r="A159" s="156"/>
      <c r="B159" s="105"/>
      <c r="C159" s="161"/>
      <c r="D159" s="107"/>
      <c r="E159" s="105"/>
      <c r="F159" s="105"/>
      <c r="G159" s="105"/>
    </row>
    <row r="160" spans="1:7" x14ac:dyDescent="0.25">
      <c r="A160" s="159" t="s">
        <v>329</v>
      </c>
      <c r="B160" s="159"/>
      <c r="C160" s="159"/>
      <c r="D160" s="107"/>
      <c r="E160" s="105"/>
      <c r="F160" s="105"/>
      <c r="G160" s="105"/>
    </row>
    <row r="161" spans="1:7" x14ac:dyDescent="0.25">
      <c r="A161" s="156"/>
      <c r="B161" s="105"/>
      <c r="C161" s="161"/>
      <c r="D161" s="107"/>
      <c r="E161" s="105"/>
      <c r="F161" s="105"/>
      <c r="G161" s="105"/>
    </row>
    <row r="162" spans="1:7" ht="16.5" x14ac:dyDescent="0.3">
      <c r="A162" s="156" t="s">
        <v>330</v>
      </c>
      <c r="B162" s="105" t="s">
        <v>2</v>
      </c>
      <c r="C162" s="160" t="s">
        <v>331</v>
      </c>
      <c r="D162" s="160"/>
      <c r="E162" s="105"/>
      <c r="F162" s="105"/>
      <c r="G162" s="105" t="s">
        <v>332</v>
      </c>
    </row>
    <row r="163" spans="1:7" x14ac:dyDescent="0.25">
      <c r="A163" s="156"/>
      <c r="B163" s="105"/>
      <c r="C163" s="105"/>
      <c r="D163" s="107"/>
      <c r="E163" s="105"/>
      <c r="F163" s="105"/>
      <c r="G163" s="105"/>
    </row>
    <row r="164" spans="1:7" x14ac:dyDescent="0.25">
      <c r="A164" s="159" t="s">
        <v>333</v>
      </c>
      <c r="B164" s="159"/>
      <c r="C164" s="159"/>
      <c r="D164" s="107"/>
      <c r="E164" s="105"/>
      <c r="F164" s="105"/>
      <c r="G164" s="105"/>
    </row>
    <row r="165" spans="1:7" x14ac:dyDescent="0.25">
      <c r="A165" s="156"/>
      <c r="B165" s="105"/>
      <c r="C165" s="105"/>
      <c r="D165" s="107"/>
      <c r="E165" s="105"/>
      <c r="F165" s="105"/>
      <c r="G165" s="105"/>
    </row>
    <row r="166" spans="1:7" ht="16.5" x14ac:dyDescent="0.3">
      <c r="A166" s="156" t="s">
        <v>26</v>
      </c>
      <c r="B166" s="105" t="s">
        <v>2</v>
      </c>
      <c r="C166" s="160" t="s">
        <v>334</v>
      </c>
      <c r="D166" s="160"/>
      <c r="E166" s="105"/>
      <c r="F166" s="105"/>
      <c r="G166" s="105"/>
    </row>
    <row r="167" spans="1:7" x14ac:dyDescent="0.25">
      <c r="A167" s="156"/>
      <c r="B167" s="105"/>
      <c r="C167" s="105"/>
      <c r="D167" s="107"/>
      <c r="E167" s="105"/>
      <c r="F167" s="105"/>
      <c r="G167" s="105"/>
    </row>
    <row r="168" spans="1:7" x14ac:dyDescent="0.25">
      <c r="A168" s="159" t="s">
        <v>335</v>
      </c>
      <c r="B168" s="159"/>
      <c r="C168" s="105"/>
      <c r="D168" s="107"/>
      <c r="E168" s="105"/>
      <c r="F168" s="105"/>
      <c r="G168" s="105"/>
    </row>
    <row r="169" spans="1:7" x14ac:dyDescent="0.25">
      <c r="A169" s="156"/>
      <c r="B169" s="105"/>
      <c r="C169" s="105"/>
      <c r="D169" s="107"/>
      <c r="E169" s="105"/>
      <c r="F169" s="105"/>
      <c r="G169" s="105"/>
    </row>
    <row r="170" spans="1:7" ht="18" x14ac:dyDescent="0.25">
      <c r="A170" s="156" t="s">
        <v>6</v>
      </c>
      <c r="B170" s="105" t="s">
        <v>2</v>
      </c>
      <c r="C170" s="160" t="s">
        <v>336</v>
      </c>
      <c r="D170" s="160"/>
      <c r="E170" s="105"/>
      <c r="F170" s="105"/>
      <c r="G170" s="105"/>
    </row>
    <row r="171" spans="1:7" x14ac:dyDescent="0.25">
      <c r="A171" s="156"/>
      <c r="B171" s="105"/>
      <c r="C171" s="105"/>
      <c r="D171" s="107"/>
      <c r="E171" s="105"/>
      <c r="F171" s="105"/>
      <c r="G171" s="105"/>
    </row>
    <row r="172" spans="1:7" x14ac:dyDescent="0.25">
      <c r="A172" s="159" t="s">
        <v>337</v>
      </c>
      <c r="B172" s="159"/>
      <c r="C172" s="159"/>
      <c r="D172" s="107"/>
      <c r="E172" s="105"/>
      <c r="F172" s="105"/>
      <c r="G172" s="105"/>
    </row>
    <row r="173" spans="1:7" x14ac:dyDescent="0.25">
      <c r="A173" s="156"/>
      <c r="B173" s="105"/>
      <c r="C173" s="105"/>
      <c r="D173" s="107"/>
      <c r="E173" s="105"/>
      <c r="F173" s="105"/>
      <c r="G173" s="105"/>
    </row>
    <row r="174" spans="1:7" ht="16.5" x14ac:dyDescent="0.3">
      <c r="A174" s="156" t="s">
        <v>420</v>
      </c>
      <c r="B174" s="105" t="s">
        <v>2</v>
      </c>
      <c r="C174" s="160" t="s">
        <v>338</v>
      </c>
      <c r="D174" s="160"/>
      <c r="E174" s="105"/>
      <c r="F174" s="105"/>
      <c r="G174" s="105"/>
    </row>
    <row r="175" spans="1:7" x14ac:dyDescent="0.25">
      <c r="A175" s="156"/>
      <c r="B175" s="105"/>
      <c r="C175" s="105"/>
      <c r="D175" s="107"/>
      <c r="E175" s="105"/>
      <c r="F175" s="105"/>
      <c r="G175" s="105"/>
    </row>
    <row r="176" spans="1:7" x14ac:dyDescent="0.25">
      <c r="A176" s="159" t="s">
        <v>339</v>
      </c>
      <c r="B176" s="159"/>
      <c r="C176" s="159"/>
      <c r="D176" s="107"/>
      <c r="E176" s="105"/>
      <c r="F176" s="105"/>
      <c r="G176" s="105"/>
    </row>
    <row r="177" spans="1:7" x14ac:dyDescent="0.25">
      <c r="A177" s="156"/>
      <c r="B177" s="105"/>
      <c r="C177" s="105"/>
      <c r="D177" s="107"/>
      <c r="E177" s="105"/>
      <c r="F177" s="105"/>
      <c r="G177" s="105"/>
    </row>
    <row r="178" spans="1:7" ht="16.5" x14ac:dyDescent="0.3">
      <c r="A178" s="156" t="s">
        <v>18</v>
      </c>
      <c r="B178" s="105" t="s">
        <v>2</v>
      </c>
      <c r="C178" s="160" t="s">
        <v>340</v>
      </c>
      <c r="D178" s="160"/>
      <c r="E178" s="105"/>
      <c r="F178" s="105"/>
      <c r="G178" s="105"/>
    </row>
    <row r="179" spans="1:7" x14ac:dyDescent="0.25">
      <c r="A179" s="156"/>
      <c r="B179" s="105"/>
      <c r="C179" s="105"/>
      <c r="D179" s="107"/>
      <c r="E179" s="105"/>
      <c r="F179" s="105"/>
      <c r="G179" s="105"/>
    </row>
    <row r="180" spans="1:7" x14ac:dyDescent="0.25">
      <c r="A180" s="159" t="s">
        <v>341</v>
      </c>
      <c r="B180" s="159"/>
      <c r="C180" s="159"/>
      <c r="D180" s="107"/>
      <c r="E180" s="105"/>
      <c r="F180" s="105"/>
      <c r="G180" s="105"/>
    </row>
    <row r="181" spans="1:7" x14ac:dyDescent="0.25">
      <c r="A181" s="156"/>
      <c r="B181" s="105"/>
      <c r="C181" s="105"/>
      <c r="D181" s="107"/>
      <c r="E181" s="105"/>
      <c r="F181" s="105"/>
      <c r="G181" s="105"/>
    </row>
    <row r="182" spans="1:7" ht="18.75" x14ac:dyDescent="0.3">
      <c r="A182" s="156" t="s">
        <v>74</v>
      </c>
      <c r="B182" s="105" t="s">
        <v>2</v>
      </c>
      <c r="C182" s="160" t="s">
        <v>421</v>
      </c>
      <c r="D182" s="160"/>
      <c r="E182" s="105"/>
      <c r="F182" s="105"/>
      <c r="G182" s="105"/>
    </row>
    <row r="183" spans="1:7" x14ac:dyDescent="0.25">
      <c r="A183" s="156"/>
      <c r="B183" s="105"/>
      <c r="C183" s="105"/>
      <c r="D183" s="107"/>
      <c r="E183" s="105"/>
      <c r="F183" s="105"/>
      <c r="G183" s="105"/>
    </row>
    <row r="184" spans="1:7" x14ac:dyDescent="0.25">
      <c r="A184" s="159" t="s">
        <v>342</v>
      </c>
      <c r="B184" s="159"/>
      <c r="C184" s="159"/>
      <c r="D184" s="107"/>
      <c r="E184" s="105"/>
      <c r="F184" s="105"/>
      <c r="G184" s="105"/>
    </row>
    <row r="185" spans="1:7" x14ac:dyDescent="0.25">
      <c r="A185" s="156"/>
      <c r="B185" s="105"/>
      <c r="C185" s="105"/>
      <c r="D185" s="107"/>
      <c r="E185" s="105"/>
      <c r="F185" s="105"/>
      <c r="G185" s="105"/>
    </row>
    <row r="186" spans="1:7" x14ac:dyDescent="0.25">
      <c r="A186" s="156" t="s">
        <v>343</v>
      </c>
      <c r="B186" s="105" t="s">
        <v>2</v>
      </c>
      <c r="C186" s="160" t="s">
        <v>344</v>
      </c>
      <c r="D186" s="160"/>
      <c r="E186" s="105"/>
      <c r="F186" s="105"/>
      <c r="G186" s="105"/>
    </row>
    <row r="187" spans="1:7" x14ac:dyDescent="0.25">
      <c r="A187" s="156"/>
      <c r="B187" s="105"/>
      <c r="C187" s="105"/>
      <c r="D187" s="107"/>
      <c r="E187" s="105"/>
      <c r="F187" s="105"/>
      <c r="G187" s="105"/>
    </row>
    <row r="188" spans="1:7" x14ac:dyDescent="0.25">
      <c r="A188" s="156"/>
      <c r="B188" s="105"/>
      <c r="C188" s="105"/>
      <c r="D188" s="107"/>
      <c r="E188" s="105"/>
      <c r="F188" s="105"/>
      <c r="G188" s="105"/>
    </row>
    <row r="189" spans="1:7" x14ac:dyDescent="0.25">
      <c r="A189" s="162" t="s">
        <v>279</v>
      </c>
      <c r="B189" s="162"/>
      <c r="C189" s="162"/>
      <c r="D189" s="163"/>
      <c r="E189" s="164"/>
      <c r="F189" s="164"/>
      <c r="G189" s="105"/>
    </row>
    <row r="190" spans="1:7" x14ac:dyDescent="0.25">
      <c r="A190" s="165"/>
      <c r="B190" s="164"/>
      <c r="C190" s="164"/>
      <c r="D190" s="164"/>
      <c r="E190" s="173"/>
      <c r="F190" s="173"/>
      <c r="G190" s="167"/>
    </row>
    <row r="191" spans="1:7" x14ac:dyDescent="0.25">
      <c r="A191" s="166" t="s">
        <v>345</v>
      </c>
      <c r="B191" s="166"/>
      <c r="C191" s="166"/>
      <c r="D191" s="166"/>
      <c r="E191" s="173"/>
      <c r="F191" s="171"/>
      <c r="G191" s="167"/>
    </row>
    <row r="192" spans="1:7" ht="16.5" x14ac:dyDescent="0.3">
      <c r="A192" s="166" t="s">
        <v>406</v>
      </c>
      <c r="B192" s="166"/>
      <c r="C192" s="166"/>
      <c r="D192" s="163"/>
      <c r="E192" s="173"/>
      <c r="F192" s="167"/>
      <c r="G192" s="167"/>
    </row>
    <row r="193" spans="1:7" x14ac:dyDescent="0.25">
      <c r="A193" s="165" t="s">
        <v>30</v>
      </c>
      <c r="B193" s="164"/>
      <c r="C193" s="169"/>
      <c r="D193" s="169"/>
      <c r="E193" s="173" t="s">
        <v>2</v>
      </c>
      <c r="F193" s="175">
        <v>1900</v>
      </c>
      <c r="G193" s="167"/>
    </row>
    <row r="194" spans="1:7" x14ac:dyDescent="0.25">
      <c r="A194" s="165"/>
      <c r="B194" s="164"/>
      <c r="C194" s="164"/>
      <c r="D194" s="163"/>
      <c r="E194" s="173"/>
      <c r="F194" s="167"/>
      <c r="G194" s="167"/>
    </row>
    <row r="195" spans="1:7" ht="16.5" x14ac:dyDescent="0.3">
      <c r="A195" s="165" t="s">
        <v>346</v>
      </c>
      <c r="B195" s="164" t="s">
        <v>2</v>
      </c>
      <c r="C195" s="169" t="s">
        <v>347</v>
      </c>
      <c r="D195" s="169"/>
      <c r="E195" s="173" t="s">
        <v>2</v>
      </c>
      <c r="F195" s="171">
        <f>(F193*C41*C40)/C39</f>
        <v>251.58620689655172</v>
      </c>
      <c r="G195" s="167"/>
    </row>
    <row r="196" spans="1:7" x14ac:dyDescent="0.25">
      <c r="A196" s="165"/>
      <c r="B196" s="164"/>
      <c r="C196" s="164"/>
      <c r="D196" s="163"/>
      <c r="E196" s="173"/>
      <c r="F196" s="173"/>
      <c r="G196" s="167"/>
    </row>
    <row r="197" spans="1:7" x14ac:dyDescent="0.25">
      <c r="A197" s="166" t="s">
        <v>348</v>
      </c>
      <c r="B197" s="166"/>
      <c r="C197" s="164"/>
      <c r="D197" s="163"/>
      <c r="E197" s="173"/>
      <c r="F197" s="173"/>
      <c r="G197" s="167"/>
    </row>
    <row r="198" spans="1:7" ht="16.5" x14ac:dyDescent="0.3">
      <c r="A198" s="165" t="s">
        <v>349</v>
      </c>
      <c r="B198" s="164" t="s">
        <v>2</v>
      </c>
      <c r="C198" s="169" t="s">
        <v>350</v>
      </c>
      <c r="D198" s="169"/>
      <c r="E198" s="173" t="s">
        <v>2</v>
      </c>
      <c r="F198" s="175">
        <f>C15/(0.24*F94)</f>
        <v>1201923.076923077</v>
      </c>
      <c r="G198" s="167" t="s">
        <v>128</v>
      </c>
    </row>
    <row r="199" spans="1:7" x14ac:dyDescent="0.25">
      <c r="A199" s="165"/>
      <c r="B199" s="164"/>
      <c r="C199" s="164"/>
      <c r="D199" s="163"/>
      <c r="E199" s="173"/>
      <c r="F199" s="173"/>
      <c r="G199" s="167"/>
    </row>
    <row r="200" spans="1:7" x14ac:dyDescent="0.25">
      <c r="A200" s="166" t="s">
        <v>351</v>
      </c>
      <c r="B200" s="166"/>
      <c r="C200" s="166"/>
      <c r="D200" s="163"/>
      <c r="E200" s="173"/>
      <c r="F200" s="173"/>
      <c r="G200" s="167"/>
    </row>
    <row r="201" spans="1:7" ht="16.5" x14ac:dyDescent="0.3">
      <c r="A201" s="165" t="s">
        <v>352</v>
      </c>
      <c r="B201" s="164" t="s">
        <v>2</v>
      </c>
      <c r="C201" s="169" t="s">
        <v>353</v>
      </c>
      <c r="D201" s="169"/>
      <c r="E201" s="164" t="s">
        <v>2</v>
      </c>
      <c r="F201" s="175">
        <f>F198/F117</f>
        <v>2584.7808105872623</v>
      </c>
      <c r="G201" s="167" t="s">
        <v>407</v>
      </c>
    </row>
    <row r="202" spans="1:7" x14ac:dyDescent="0.25">
      <c r="A202" s="165"/>
      <c r="B202" s="164"/>
      <c r="C202" s="169"/>
      <c r="D202" s="169"/>
      <c r="E202" s="164"/>
      <c r="F202" s="173"/>
      <c r="G202" s="167"/>
    </row>
    <row r="203" spans="1:7" x14ac:dyDescent="0.25">
      <c r="A203" s="166" t="s">
        <v>354</v>
      </c>
      <c r="B203" s="166"/>
      <c r="C203" s="166"/>
      <c r="D203" s="163"/>
      <c r="E203" s="164"/>
      <c r="F203" s="167"/>
      <c r="G203" s="167"/>
    </row>
    <row r="204" spans="1:7" ht="16.5" x14ac:dyDescent="0.3">
      <c r="A204" s="165" t="s">
        <v>355</v>
      </c>
      <c r="B204" s="164"/>
      <c r="C204" s="169"/>
      <c r="D204" s="169"/>
      <c r="E204" s="164" t="s">
        <v>2</v>
      </c>
      <c r="F204" s="168">
        <v>8.5</v>
      </c>
      <c r="G204" s="167" t="s">
        <v>411</v>
      </c>
    </row>
    <row r="205" spans="1:7" x14ac:dyDescent="0.25">
      <c r="A205" s="165"/>
      <c r="B205" s="164"/>
      <c r="C205" s="164"/>
      <c r="D205" s="163"/>
      <c r="E205" s="164"/>
      <c r="F205" s="167"/>
      <c r="G205" s="167"/>
    </row>
    <row r="206" spans="1:7" x14ac:dyDescent="0.25">
      <c r="A206" s="166" t="s">
        <v>356</v>
      </c>
      <c r="B206" s="166"/>
      <c r="C206" s="166"/>
      <c r="D206" s="163"/>
      <c r="E206" s="164"/>
      <c r="F206" s="167"/>
      <c r="G206" s="167"/>
    </row>
    <row r="207" spans="1:7" ht="16.5" x14ac:dyDescent="0.3">
      <c r="A207" s="165" t="s">
        <v>357</v>
      </c>
      <c r="B207" s="164" t="s">
        <v>2</v>
      </c>
      <c r="C207" s="169" t="s">
        <v>358</v>
      </c>
      <c r="D207" s="169"/>
      <c r="E207" s="173" t="s">
        <v>2</v>
      </c>
      <c r="F207" s="173">
        <f>(C42*C29)/C39</f>
        <v>24.597701149425287</v>
      </c>
      <c r="G207" s="167"/>
    </row>
    <row r="208" spans="1:7" x14ac:dyDescent="0.25">
      <c r="A208" s="165"/>
      <c r="B208" s="164"/>
      <c r="C208" s="164"/>
      <c r="D208" s="163"/>
      <c r="E208" s="173"/>
      <c r="F208" s="167"/>
      <c r="G208" s="167"/>
    </row>
    <row r="209" spans="1:7" ht="16.5" x14ac:dyDescent="0.3">
      <c r="A209" s="165" t="s">
        <v>359</v>
      </c>
      <c r="B209" s="164" t="s">
        <v>2</v>
      </c>
      <c r="C209" s="169" t="s">
        <v>360</v>
      </c>
      <c r="D209" s="169"/>
      <c r="E209" s="173" t="s">
        <v>2</v>
      </c>
      <c r="F209" s="167">
        <f>((1/F195)*F207)+(C19*F207)+(1/F204)</f>
        <v>0.24001522780921203</v>
      </c>
      <c r="G209" s="167"/>
    </row>
    <row r="210" spans="1:7" x14ac:dyDescent="0.25">
      <c r="A210" s="165"/>
      <c r="B210" s="164"/>
      <c r="C210" s="180" t="s">
        <v>361</v>
      </c>
      <c r="D210" s="180"/>
      <c r="E210" s="173"/>
      <c r="F210" s="167"/>
      <c r="G210" s="167"/>
    </row>
    <row r="211" spans="1:7" ht="18.75" x14ac:dyDescent="0.3">
      <c r="A211" s="165" t="s">
        <v>281</v>
      </c>
      <c r="B211" s="164" t="s">
        <v>2</v>
      </c>
      <c r="C211" s="169" t="s">
        <v>362</v>
      </c>
      <c r="D211" s="169"/>
      <c r="E211" s="173" t="s">
        <v>2</v>
      </c>
      <c r="F211" s="170">
        <f>1/F209</f>
        <v>4.1664023117520674</v>
      </c>
      <c r="G211" s="167" t="s">
        <v>397</v>
      </c>
    </row>
    <row r="212" spans="1:7" x14ac:dyDescent="0.25">
      <c r="A212" s="165"/>
      <c r="B212" s="164"/>
      <c r="C212" s="181" t="s">
        <v>363</v>
      </c>
      <c r="D212" s="181"/>
      <c r="E212" s="173"/>
      <c r="F212" s="170"/>
      <c r="G212" s="167"/>
    </row>
    <row r="213" spans="1:7" x14ac:dyDescent="0.25">
      <c r="A213" s="165"/>
      <c r="B213" s="164"/>
      <c r="C213" s="164"/>
      <c r="D213" s="163"/>
      <c r="E213" s="173"/>
      <c r="F213" s="167"/>
      <c r="G213" s="167"/>
    </row>
    <row r="214" spans="1:7" x14ac:dyDescent="0.25">
      <c r="A214" s="166" t="s">
        <v>364</v>
      </c>
      <c r="B214" s="166"/>
      <c r="C214" s="166"/>
      <c r="D214" s="163"/>
      <c r="E214" s="173"/>
      <c r="F214" s="167"/>
      <c r="G214" s="167"/>
    </row>
    <row r="215" spans="1:7" ht="18" x14ac:dyDescent="0.25">
      <c r="A215" s="165" t="s">
        <v>26</v>
      </c>
      <c r="B215" s="164" t="s">
        <v>2</v>
      </c>
      <c r="C215" s="169" t="s">
        <v>365</v>
      </c>
      <c r="D215" s="169"/>
      <c r="E215" s="173" t="s">
        <v>2</v>
      </c>
      <c r="F215" s="173">
        <f>(0.4*F117)/C28</f>
        <v>93</v>
      </c>
      <c r="G215" s="167" t="s">
        <v>408</v>
      </c>
    </row>
    <row r="216" spans="1:7" x14ac:dyDescent="0.25">
      <c r="A216" s="165"/>
      <c r="B216" s="164"/>
      <c r="C216" s="164"/>
      <c r="D216" s="163"/>
      <c r="E216" s="173"/>
      <c r="F216" s="167"/>
      <c r="G216" s="167"/>
    </row>
    <row r="217" spans="1:7" x14ac:dyDescent="0.25">
      <c r="A217" s="166" t="s">
        <v>366</v>
      </c>
      <c r="B217" s="166"/>
      <c r="C217" s="164"/>
      <c r="D217" s="163"/>
      <c r="E217" s="173"/>
      <c r="F217" s="167"/>
      <c r="G217" s="167"/>
    </row>
    <row r="218" spans="1:7" ht="18" x14ac:dyDescent="0.25">
      <c r="A218" s="165" t="s">
        <v>6</v>
      </c>
      <c r="B218" s="164" t="s">
        <v>2</v>
      </c>
      <c r="C218" s="169" t="s">
        <v>422</v>
      </c>
      <c r="D218" s="169"/>
      <c r="E218" s="173" t="s">
        <v>2</v>
      </c>
      <c r="F218" s="171">
        <f>ROUNDUP(SQRT((4*F215)/PI()),0)</f>
        <v>11</v>
      </c>
      <c r="G218" s="167" t="s">
        <v>124</v>
      </c>
    </row>
    <row r="219" spans="1:7" x14ac:dyDescent="0.25">
      <c r="A219" s="165"/>
      <c r="B219" s="164"/>
      <c r="C219" s="164"/>
      <c r="D219" s="163"/>
      <c r="E219" s="173"/>
      <c r="F219" s="167"/>
      <c r="G219" s="167"/>
    </row>
    <row r="220" spans="1:7" x14ac:dyDescent="0.25">
      <c r="A220" s="166" t="s">
        <v>367</v>
      </c>
      <c r="B220" s="166"/>
      <c r="C220" s="166"/>
      <c r="D220" s="163"/>
      <c r="E220" s="173"/>
      <c r="F220" s="167"/>
      <c r="G220" s="167"/>
    </row>
    <row r="221" spans="1:7" ht="16.5" x14ac:dyDescent="0.3">
      <c r="A221" s="165" t="s">
        <v>368</v>
      </c>
      <c r="B221" s="164" t="s">
        <v>2</v>
      </c>
      <c r="C221" s="169" t="s">
        <v>369</v>
      </c>
      <c r="D221" s="169"/>
      <c r="E221" s="173" t="s">
        <v>2</v>
      </c>
      <c r="F221" s="168">
        <f>(C22+F96)/2</f>
        <v>126</v>
      </c>
      <c r="G221" s="167" t="s">
        <v>140</v>
      </c>
    </row>
    <row r="222" spans="1:7" x14ac:dyDescent="0.25">
      <c r="A222" s="165"/>
      <c r="B222" s="164"/>
      <c r="C222" s="164"/>
      <c r="D222" s="164"/>
      <c r="E222" s="173"/>
      <c r="F222" s="168"/>
      <c r="G222" s="167"/>
    </row>
    <row r="223" spans="1:7" ht="16.5" x14ac:dyDescent="0.3">
      <c r="A223" s="166" t="s">
        <v>370</v>
      </c>
      <c r="B223" s="166"/>
      <c r="C223" s="166"/>
      <c r="D223" s="164"/>
      <c r="E223" s="173"/>
      <c r="F223" s="168"/>
      <c r="G223" s="167"/>
    </row>
    <row r="224" spans="1:7" ht="31.5" x14ac:dyDescent="0.25">
      <c r="A224" s="182" t="s">
        <v>371</v>
      </c>
      <c r="B224" s="183"/>
      <c r="C224" s="183"/>
      <c r="D224" s="183"/>
      <c r="E224" s="184" t="s">
        <v>2</v>
      </c>
      <c r="F224" s="185">
        <v>0.1</v>
      </c>
      <c r="G224" s="186" t="s">
        <v>409</v>
      </c>
    </row>
    <row r="225" spans="1:7" x14ac:dyDescent="0.25">
      <c r="A225" s="165"/>
      <c r="B225" s="164"/>
      <c r="C225" s="164"/>
      <c r="D225" s="164"/>
      <c r="E225" s="173"/>
      <c r="F225" s="168"/>
      <c r="G225" s="167"/>
    </row>
    <row r="226" spans="1:7" ht="16.5" x14ac:dyDescent="0.3">
      <c r="A226" s="166" t="s">
        <v>372</v>
      </c>
      <c r="B226" s="166"/>
      <c r="C226" s="166"/>
      <c r="D226" s="164"/>
      <c r="E226" s="173"/>
      <c r="F226" s="168"/>
      <c r="G226" s="167"/>
    </row>
    <row r="227" spans="1:7" ht="16.5" x14ac:dyDescent="0.3">
      <c r="A227" s="165" t="s">
        <v>373</v>
      </c>
      <c r="B227" s="164"/>
      <c r="C227" s="164"/>
      <c r="D227" s="164"/>
      <c r="E227" s="173" t="s">
        <v>2</v>
      </c>
      <c r="F227" s="168">
        <v>0.94</v>
      </c>
      <c r="G227" s="167"/>
    </row>
    <row r="228" spans="1:7" x14ac:dyDescent="0.25">
      <c r="A228" s="165"/>
      <c r="B228" s="164"/>
      <c r="C228" s="164"/>
      <c r="D228" s="164"/>
      <c r="E228" s="173"/>
      <c r="F228" s="168"/>
      <c r="G228" s="167"/>
    </row>
    <row r="229" spans="1:7" ht="16.5" x14ac:dyDescent="0.3">
      <c r="A229" s="165" t="s">
        <v>423</v>
      </c>
      <c r="B229" s="164" t="s">
        <v>2</v>
      </c>
      <c r="C229" s="169" t="s">
        <v>374</v>
      </c>
      <c r="D229" s="169"/>
      <c r="E229" s="173" t="s">
        <v>2</v>
      </c>
      <c r="F229" s="170">
        <f>(F224*C33)/F227</f>
        <v>0.42553191489361708</v>
      </c>
      <c r="G229" s="167" t="s">
        <v>410</v>
      </c>
    </row>
    <row r="230" spans="1:7" x14ac:dyDescent="0.25">
      <c r="A230" s="165"/>
      <c r="B230" s="164"/>
      <c r="C230" s="164"/>
      <c r="D230" s="164"/>
      <c r="E230" s="173"/>
      <c r="F230" s="168"/>
      <c r="G230" s="167"/>
    </row>
    <row r="231" spans="1:7" ht="16.5" x14ac:dyDescent="0.3">
      <c r="A231" s="166" t="s">
        <v>375</v>
      </c>
      <c r="B231" s="166"/>
      <c r="C231" s="166"/>
      <c r="D231" s="164"/>
      <c r="E231" s="173"/>
      <c r="F231" s="168"/>
      <c r="G231" s="167"/>
    </row>
    <row r="232" spans="1:7" x14ac:dyDescent="0.25">
      <c r="A232" s="165" t="s">
        <v>18</v>
      </c>
      <c r="B232" s="164" t="s">
        <v>2</v>
      </c>
      <c r="C232" s="169" t="s">
        <v>376</v>
      </c>
      <c r="D232" s="169"/>
      <c r="E232" s="173" t="s">
        <v>2</v>
      </c>
      <c r="F232" s="175">
        <f>F198/(F227*60*0.0749)</f>
        <v>284521.93395522091</v>
      </c>
      <c r="G232" s="167" t="s">
        <v>377</v>
      </c>
    </row>
    <row r="233" spans="1:7" x14ac:dyDescent="0.25">
      <c r="A233" s="165"/>
      <c r="B233" s="164"/>
      <c r="C233" s="164"/>
      <c r="D233" s="164"/>
      <c r="E233" s="173" t="s">
        <v>2</v>
      </c>
      <c r="F233" s="175">
        <f>F232/2</f>
        <v>142260.96697761046</v>
      </c>
      <c r="G233" s="167" t="s">
        <v>378</v>
      </c>
    </row>
    <row r="234" spans="1:7" ht="16.5" x14ac:dyDescent="0.3">
      <c r="A234" s="166" t="s">
        <v>379</v>
      </c>
      <c r="B234" s="166"/>
      <c r="C234" s="166"/>
      <c r="D234" s="166"/>
      <c r="E234" s="173"/>
      <c r="F234" s="171"/>
      <c r="G234" s="167"/>
    </row>
    <row r="235" spans="1:7" ht="18.75" x14ac:dyDescent="0.3">
      <c r="A235" s="165" t="s">
        <v>74</v>
      </c>
      <c r="B235" s="164" t="s">
        <v>2</v>
      </c>
      <c r="C235" s="169" t="s">
        <v>424</v>
      </c>
      <c r="D235" s="169"/>
      <c r="E235" s="173" t="s">
        <v>2</v>
      </c>
      <c r="F235" s="170">
        <f>F229+(F233/(4005*((PI()*F218^2)/4)))^2*F227</f>
        <v>0.55685583012825401</v>
      </c>
      <c r="G235" s="167" t="s">
        <v>410</v>
      </c>
    </row>
    <row r="236" spans="1:7" x14ac:dyDescent="0.25">
      <c r="A236" s="165"/>
      <c r="B236" s="164"/>
      <c r="C236" s="164"/>
      <c r="D236" s="164"/>
      <c r="E236" s="173"/>
      <c r="F236" s="170"/>
      <c r="G236" s="167"/>
    </row>
    <row r="237" spans="1:7" x14ac:dyDescent="0.25">
      <c r="A237" s="166" t="s">
        <v>380</v>
      </c>
      <c r="B237" s="166"/>
      <c r="C237" s="166"/>
      <c r="D237" s="166"/>
      <c r="E237" s="173"/>
      <c r="F237" s="170"/>
      <c r="G237" s="167"/>
    </row>
    <row r="238" spans="1:7" x14ac:dyDescent="0.25">
      <c r="A238" s="165" t="s">
        <v>381</v>
      </c>
      <c r="B238" s="164"/>
      <c r="C238" s="164"/>
      <c r="D238" s="164"/>
      <c r="E238" s="173" t="s">
        <v>2</v>
      </c>
      <c r="F238" s="168">
        <v>0.7</v>
      </c>
      <c r="G238" s="167"/>
    </row>
    <row r="239" spans="1:7" x14ac:dyDescent="0.25">
      <c r="A239" s="165" t="s">
        <v>343</v>
      </c>
      <c r="B239" s="164" t="s">
        <v>2</v>
      </c>
      <c r="C239" s="169" t="s">
        <v>382</v>
      </c>
      <c r="D239" s="169"/>
      <c r="E239" s="173" t="s">
        <v>2</v>
      </c>
      <c r="F239" s="170">
        <f>(F233*F235)/(6356*F238)</f>
        <v>17.805189441060282</v>
      </c>
      <c r="G239" s="167"/>
    </row>
    <row r="240" spans="1:7" x14ac:dyDescent="0.25">
      <c r="A240" s="165"/>
      <c r="B240" s="164"/>
      <c r="C240" s="164"/>
      <c r="D240" s="164"/>
      <c r="E240" s="173"/>
      <c r="F240" s="168"/>
      <c r="G240" s="167"/>
    </row>
    <row r="241" spans="1:7" x14ac:dyDescent="0.25">
      <c r="A241" s="166" t="s">
        <v>383</v>
      </c>
      <c r="B241" s="166"/>
      <c r="C241" s="166"/>
      <c r="D241" s="164"/>
      <c r="E241" s="173"/>
      <c r="F241" s="168"/>
      <c r="G241" s="167"/>
    </row>
    <row r="242" spans="1:7" x14ac:dyDescent="0.25">
      <c r="A242" s="165"/>
      <c r="B242" s="164"/>
      <c r="C242" s="164"/>
      <c r="D242" s="163"/>
      <c r="E242" s="173" t="s">
        <v>2</v>
      </c>
      <c r="F242" s="168">
        <v>0.92</v>
      </c>
      <c r="G242" s="167"/>
    </row>
    <row r="243" spans="1:7" x14ac:dyDescent="0.25">
      <c r="A243" s="165" t="s">
        <v>343</v>
      </c>
      <c r="B243" s="164" t="s">
        <v>2</v>
      </c>
      <c r="C243" s="169" t="s">
        <v>384</v>
      </c>
      <c r="D243" s="169"/>
      <c r="E243" s="173" t="s">
        <v>2</v>
      </c>
      <c r="F243" s="173">
        <f>F239/F242</f>
        <v>19.353466783761174</v>
      </c>
      <c r="G243" s="167" t="s">
        <v>385</v>
      </c>
    </row>
    <row r="244" spans="1:7" x14ac:dyDescent="0.25">
      <c r="A244" s="165"/>
      <c r="B244" s="164"/>
      <c r="C244" s="164"/>
      <c r="D244" s="163"/>
      <c r="E244" s="173" t="s">
        <v>2</v>
      </c>
      <c r="F244" s="168">
        <f>CEILING(F243,1)</f>
        <v>20</v>
      </c>
      <c r="G244" s="167" t="s">
        <v>385</v>
      </c>
    </row>
    <row r="245" spans="1:7" x14ac:dyDescent="0.25">
      <c r="A245" s="166" t="s">
        <v>386</v>
      </c>
      <c r="B245" s="166"/>
      <c r="C245" s="166"/>
      <c r="D245" s="163"/>
      <c r="E245" s="173"/>
      <c r="F245" s="167"/>
      <c r="G245" s="167"/>
    </row>
    <row r="246" spans="1:7" x14ac:dyDescent="0.25">
      <c r="A246" s="165"/>
      <c r="B246" s="164"/>
      <c r="C246" s="164"/>
      <c r="D246" s="163"/>
      <c r="E246" s="173"/>
      <c r="F246" s="167"/>
      <c r="G246" s="167"/>
    </row>
    <row r="247" spans="1:7" ht="18" x14ac:dyDescent="0.25">
      <c r="A247" s="165" t="s">
        <v>1</v>
      </c>
      <c r="B247" s="164" t="s">
        <v>2</v>
      </c>
      <c r="C247" s="169" t="s">
        <v>387</v>
      </c>
      <c r="D247" s="169"/>
      <c r="E247" s="173" t="s">
        <v>2</v>
      </c>
      <c r="F247" s="168">
        <f>F120*C34</f>
        <v>465</v>
      </c>
      <c r="G247" s="167" t="s">
        <v>408</v>
      </c>
    </row>
    <row r="248" spans="1:7" x14ac:dyDescent="0.25">
      <c r="A248" s="165"/>
      <c r="B248" s="164"/>
      <c r="C248" s="164"/>
      <c r="D248" s="163"/>
      <c r="E248" s="173"/>
      <c r="F248" s="167"/>
      <c r="G248" s="167"/>
    </row>
    <row r="249" spans="1:7" ht="18" x14ac:dyDescent="0.25">
      <c r="A249" s="165" t="s">
        <v>1</v>
      </c>
      <c r="B249" s="164" t="s">
        <v>2</v>
      </c>
      <c r="C249" s="169" t="s">
        <v>388</v>
      </c>
      <c r="D249" s="169"/>
      <c r="E249" s="173" t="s">
        <v>2</v>
      </c>
      <c r="F249" s="175">
        <f>F247*C36</f>
        <v>49848</v>
      </c>
      <c r="G249" s="167" t="s">
        <v>408</v>
      </c>
    </row>
    <row r="250" spans="1:7" x14ac:dyDescent="0.25">
      <c r="A250" s="187"/>
      <c r="B250" s="188"/>
      <c r="C250" s="189"/>
      <c r="D250" s="189"/>
      <c r="E250" s="188"/>
      <c r="F250" s="190"/>
      <c r="G250" s="191"/>
    </row>
    <row r="251" spans="1:7" x14ac:dyDescent="0.25">
      <c r="A251" s="156" t="s">
        <v>389</v>
      </c>
      <c r="B251" s="105"/>
      <c r="C251" s="109"/>
      <c r="D251" s="189"/>
      <c r="E251" s="188"/>
      <c r="F251" s="190"/>
      <c r="G251" s="191"/>
    </row>
    <row r="252" spans="1:7" ht="18" x14ac:dyDescent="0.25">
      <c r="A252" s="156"/>
      <c r="B252" s="109">
        <f>F249</f>
        <v>49848</v>
      </c>
      <c r="C252" s="192" t="s">
        <v>413</v>
      </c>
      <c r="D252" s="193"/>
      <c r="E252" s="188"/>
      <c r="F252" s="190"/>
      <c r="G252" s="191"/>
    </row>
    <row r="253" spans="1:7" x14ac:dyDescent="0.25">
      <c r="A253" s="156"/>
      <c r="B253" s="194">
        <f>F218</f>
        <v>11</v>
      </c>
      <c r="C253" s="192" t="s">
        <v>390</v>
      </c>
      <c r="D253" s="193"/>
      <c r="E253" s="188"/>
      <c r="F253" s="190"/>
      <c r="G253" s="191"/>
    </row>
    <row r="254" spans="1:7" x14ac:dyDescent="0.25">
      <c r="A254" s="156"/>
      <c r="B254" s="105">
        <f>F244</f>
        <v>20</v>
      </c>
      <c r="C254" s="192" t="s">
        <v>391</v>
      </c>
      <c r="D254" s="193"/>
      <c r="E254" s="188"/>
      <c r="F254" s="190"/>
      <c r="G254" s="191"/>
    </row>
    <row r="255" spans="1:7" x14ac:dyDescent="0.25">
      <c r="A255" s="156"/>
      <c r="B255" s="105"/>
      <c r="C255" s="192"/>
      <c r="D255" s="193"/>
      <c r="E255" s="188"/>
      <c r="F255" s="190"/>
      <c r="G255" s="191"/>
    </row>
    <row r="256" spans="1:7" x14ac:dyDescent="0.25">
      <c r="A256" s="188"/>
      <c r="B256" s="188"/>
      <c r="C256" s="188"/>
      <c r="D256" s="195"/>
      <c r="E256" s="188"/>
      <c r="F256" s="188"/>
      <c r="G256" s="188"/>
    </row>
    <row r="257" spans="1:1" x14ac:dyDescent="0.25">
      <c r="A257" s="93"/>
    </row>
    <row r="258" spans="1:1" x14ac:dyDescent="0.25">
      <c r="A258" s="70" t="s">
        <v>425</v>
      </c>
    </row>
    <row r="259" spans="1:1" x14ac:dyDescent="0.25">
      <c r="A259" s="70" t="s">
        <v>524</v>
      </c>
    </row>
    <row r="260" spans="1:1" x14ac:dyDescent="0.25">
      <c r="A260" s="70" t="s">
        <v>525</v>
      </c>
    </row>
    <row r="261" spans="1:1" x14ac:dyDescent="0.25">
      <c r="A261" s="70" t="s">
        <v>526</v>
      </c>
    </row>
    <row r="262" spans="1:1" x14ac:dyDescent="0.25">
      <c r="A262" s="73" t="s">
        <v>527</v>
      </c>
    </row>
  </sheetData>
  <sheetProtection password="E156" sheet="1" objects="1" scenarios="1"/>
  <mergeCells count="127">
    <mergeCell ref="C50:D50"/>
    <mergeCell ref="C54:D54"/>
    <mergeCell ref="C58:D58"/>
    <mergeCell ref="A35:C35"/>
    <mergeCell ref="I40:K40"/>
    <mergeCell ref="A44:C44"/>
    <mergeCell ref="C46:D46"/>
    <mergeCell ref="A5:F5"/>
    <mergeCell ref="I5:N5"/>
    <mergeCell ref="A9:B9"/>
    <mergeCell ref="I9:J9"/>
    <mergeCell ref="D23:F23"/>
    <mergeCell ref="L24:N24"/>
    <mergeCell ref="A93:C93"/>
    <mergeCell ref="C94:D94"/>
    <mergeCell ref="A84:C84"/>
    <mergeCell ref="C86:D86"/>
    <mergeCell ref="A88:C88"/>
    <mergeCell ref="I60:K60"/>
    <mergeCell ref="C78:D78"/>
    <mergeCell ref="A80:C80"/>
    <mergeCell ref="C82:D82"/>
    <mergeCell ref="A72:B72"/>
    <mergeCell ref="C74:D74"/>
    <mergeCell ref="A76:C76"/>
    <mergeCell ref="C66:D66"/>
    <mergeCell ref="A68:B68"/>
    <mergeCell ref="C70:D70"/>
    <mergeCell ref="A60:C60"/>
    <mergeCell ref="C62:D62"/>
    <mergeCell ref="A64:C64"/>
    <mergeCell ref="I84:J84"/>
    <mergeCell ref="K84:L84"/>
    <mergeCell ref="I92:O92"/>
    <mergeCell ref="C139:D139"/>
    <mergeCell ref="A132:B132"/>
    <mergeCell ref="C133:D133"/>
    <mergeCell ref="C135:D135"/>
    <mergeCell ref="A128:C128"/>
    <mergeCell ref="C129:D129"/>
    <mergeCell ref="A131:D131"/>
    <mergeCell ref="A124:B124"/>
    <mergeCell ref="A125:G125"/>
    <mergeCell ref="C126:D126"/>
    <mergeCell ref="I93:O93"/>
    <mergeCell ref="I95:J95"/>
    <mergeCell ref="I57:K57"/>
    <mergeCell ref="I77:J77"/>
    <mergeCell ref="K77:L77"/>
    <mergeCell ref="A136:B136"/>
    <mergeCell ref="C120:D120"/>
    <mergeCell ref="A122:D122"/>
    <mergeCell ref="C123:D123"/>
    <mergeCell ref="A116:C116"/>
    <mergeCell ref="C117:D117"/>
    <mergeCell ref="A119:C119"/>
    <mergeCell ref="A113:B113"/>
    <mergeCell ref="C113:D113"/>
    <mergeCell ref="I70:J70"/>
    <mergeCell ref="K70:L70"/>
    <mergeCell ref="C114:D114"/>
    <mergeCell ref="C106:D106"/>
    <mergeCell ref="C107:D107"/>
    <mergeCell ref="C111:D111"/>
    <mergeCell ref="C96:D96"/>
    <mergeCell ref="C103:D103"/>
    <mergeCell ref="C105:D105"/>
    <mergeCell ref="A90:D90"/>
    <mergeCell ref="A245:C245"/>
    <mergeCell ref="C247:D247"/>
    <mergeCell ref="C249:D249"/>
    <mergeCell ref="C239:D239"/>
    <mergeCell ref="A241:C241"/>
    <mergeCell ref="C243:D243"/>
    <mergeCell ref="A234:D234"/>
    <mergeCell ref="C235:D235"/>
    <mergeCell ref="A237:D237"/>
    <mergeCell ref="C229:D229"/>
    <mergeCell ref="A231:C231"/>
    <mergeCell ref="C232:D232"/>
    <mergeCell ref="C221:D221"/>
    <mergeCell ref="A223:C223"/>
    <mergeCell ref="A226:C226"/>
    <mergeCell ref="A217:B217"/>
    <mergeCell ref="C218:D218"/>
    <mergeCell ref="A220:C220"/>
    <mergeCell ref="C212:D212"/>
    <mergeCell ref="A214:C214"/>
    <mergeCell ref="C215:D215"/>
    <mergeCell ref="C209:D209"/>
    <mergeCell ref="C210:D210"/>
    <mergeCell ref="C211:D211"/>
    <mergeCell ref="C204:D204"/>
    <mergeCell ref="A206:C206"/>
    <mergeCell ref="C207:D207"/>
    <mergeCell ref="C201:D201"/>
    <mergeCell ref="C202:D202"/>
    <mergeCell ref="A203:C203"/>
    <mergeCell ref="A197:B197"/>
    <mergeCell ref="C198:D198"/>
    <mergeCell ref="A200:C200"/>
    <mergeCell ref="A192:C192"/>
    <mergeCell ref="C193:D193"/>
    <mergeCell ref="C195:D195"/>
    <mergeCell ref="C186:D186"/>
    <mergeCell ref="A189:C189"/>
    <mergeCell ref="A191:D191"/>
    <mergeCell ref="A180:C180"/>
    <mergeCell ref="C182:D182"/>
    <mergeCell ref="A184:C184"/>
    <mergeCell ref="C174:D174"/>
    <mergeCell ref="A176:C176"/>
    <mergeCell ref="C178:D178"/>
    <mergeCell ref="A144:C144"/>
    <mergeCell ref="C162:D162"/>
    <mergeCell ref="A142:F142"/>
    <mergeCell ref="C146:D146"/>
    <mergeCell ref="C150:D150"/>
    <mergeCell ref="A168:B168"/>
    <mergeCell ref="C170:D170"/>
    <mergeCell ref="A172:C172"/>
    <mergeCell ref="A164:C164"/>
    <mergeCell ref="C166:D166"/>
    <mergeCell ref="C154:D154"/>
    <mergeCell ref="C158:D158"/>
    <mergeCell ref="A160:C160"/>
    <mergeCell ref="A152:C152"/>
  </mergeCells>
  <pageMargins left="0.7" right="0.7" top="0.75" bottom="0.75" header="0.3" footer="0.3"/>
  <pageSetup scale="49" fitToHeight="3" orientation="landscape" horizontalDpi="4294967293" verticalDpi="4294967293" r:id="rId1"/>
  <headerFooter>
    <oddHeader>&amp;CCALCULATION SPREADSHEET FOR GPSA DATA BOOK, 13th EDITION
EXAMPLE 10-2</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34"/>
  <sheetViews>
    <sheetView workbookViewId="0">
      <selection activeCell="L6" sqref="L6"/>
    </sheetView>
  </sheetViews>
  <sheetFormatPr defaultRowHeight="15" x14ac:dyDescent="0.25"/>
  <cols>
    <col min="1" max="16384" width="9.140625" style="196"/>
  </cols>
  <sheetData>
    <row r="1" spans="1:1" x14ac:dyDescent="0.25">
      <c r="A1" s="17" t="s">
        <v>519</v>
      </c>
    </row>
    <row r="5" spans="1:1" s="197" customFormat="1" ht="14.25" x14ac:dyDescent="0.2">
      <c r="A5" s="197" t="s">
        <v>141</v>
      </c>
    </row>
    <row r="6" spans="1:1" s="198" customFormat="1" ht="21.75" customHeight="1" x14ac:dyDescent="0.25">
      <c r="A6" s="198" t="s">
        <v>142</v>
      </c>
    </row>
    <row r="7" spans="1:1" s="198" customFormat="1" ht="21.75" customHeight="1" x14ac:dyDescent="0.25">
      <c r="A7" s="198" t="s">
        <v>143</v>
      </c>
    </row>
    <row r="8" spans="1:1" s="198" customFormat="1" ht="21.75" customHeight="1" x14ac:dyDescent="0.25">
      <c r="A8" s="198" t="s">
        <v>144</v>
      </c>
    </row>
    <row r="9" spans="1:1" s="198" customFormat="1" ht="21.75" customHeight="1" x14ac:dyDescent="0.25">
      <c r="A9" s="198" t="s">
        <v>145</v>
      </c>
    </row>
    <row r="10" spans="1:1" s="198" customFormat="1" ht="21.75" customHeight="1" x14ac:dyDescent="0.25">
      <c r="A10" s="198" t="s">
        <v>146</v>
      </c>
    </row>
    <row r="11" spans="1:1" s="198" customFormat="1" ht="21.75" customHeight="1" x14ac:dyDescent="0.25">
      <c r="A11" s="198" t="s">
        <v>147</v>
      </c>
    </row>
    <row r="12" spans="1:1" s="198" customFormat="1" ht="21.75" customHeight="1" x14ac:dyDescent="0.25">
      <c r="A12" s="198" t="s">
        <v>148</v>
      </c>
    </row>
    <row r="13" spans="1:1" s="198" customFormat="1" ht="21.75" customHeight="1" x14ac:dyDescent="0.25">
      <c r="A13" s="198" t="s">
        <v>414</v>
      </c>
    </row>
    <row r="14" spans="1:1" s="198" customFormat="1" ht="21.75" customHeight="1" x14ac:dyDescent="0.25">
      <c r="A14" s="198" t="s">
        <v>416</v>
      </c>
    </row>
    <row r="15" spans="1:1" s="198" customFormat="1" ht="21.75" customHeight="1" x14ac:dyDescent="0.25">
      <c r="A15" s="198" t="s">
        <v>149</v>
      </c>
    </row>
    <row r="16" spans="1:1" s="198" customFormat="1" ht="21.75" customHeight="1" x14ac:dyDescent="0.25">
      <c r="A16" s="198" t="s">
        <v>417</v>
      </c>
    </row>
    <row r="17" spans="1:1" s="198" customFormat="1" ht="21.75" customHeight="1" x14ac:dyDescent="0.25">
      <c r="A17" s="198" t="s">
        <v>412</v>
      </c>
    </row>
    <row r="18" spans="1:1" s="198" customFormat="1" ht="21.75" customHeight="1" x14ac:dyDescent="0.25">
      <c r="A18" s="198" t="s">
        <v>150</v>
      </c>
    </row>
    <row r="30" spans="1:1" x14ac:dyDescent="0.25">
      <c r="A30" s="199" t="s">
        <v>425</v>
      </c>
    </row>
    <row r="31" spans="1:1" x14ac:dyDescent="0.25">
      <c r="A31" s="199" t="s">
        <v>524</v>
      </c>
    </row>
    <row r="32" spans="1:1" x14ac:dyDescent="0.25">
      <c r="A32" s="199" t="s">
        <v>525</v>
      </c>
    </row>
    <row r="33" spans="1:1" x14ac:dyDescent="0.25">
      <c r="A33" s="199" t="s">
        <v>526</v>
      </c>
    </row>
    <row r="34" spans="1:1" x14ac:dyDescent="0.25">
      <c r="A34" s="200" t="s">
        <v>527</v>
      </c>
    </row>
  </sheetData>
  <sheetProtection password="E156" sheet="1" objects="1" scenarios="1"/>
  <pageMargins left="0.7" right="0.7" top="0.75" bottom="0.75" header="0.3" footer="0.3"/>
  <pageSetup scale="98" orientation="portrait" horizontalDpi="4294967293" verticalDpi="4294967293" r:id="rId1"/>
  <headerFooter>
    <oddHeader>&amp;CCALCULATION SPREADSHEET FOR GPSA DATA BOOK, 13th EDITION
LIMITS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Revisions</vt:lpstr>
      <vt:lpstr>Nomenclature</vt:lpstr>
      <vt:lpstr>Example 10-1</vt:lpstr>
      <vt:lpstr>Example 10-2</vt:lpstr>
      <vt:lpstr>Limits</vt:lpstr>
      <vt:lpstr>HeatReleaseCurve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dc:creator>
  <cp:lastModifiedBy>Hamilton, Stuart</cp:lastModifiedBy>
  <cp:lastPrinted>2013-09-27T23:08:46Z</cp:lastPrinted>
  <dcterms:created xsi:type="dcterms:W3CDTF">2008-11-14T14:46:11Z</dcterms:created>
  <dcterms:modified xsi:type="dcterms:W3CDTF">2017-04-08T23:46:52Z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