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7230" yWindow="960" windowWidth="18975" windowHeight="11955" activeTab="1"/>
  </bookViews>
  <sheets>
    <sheet name="Revisions" sheetId="8" r:id="rId1"/>
    <sheet name="Nomenclature" sheetId="1" r:id="rId2"/>
    <sheet name="Example 12-1" sheetId="2" r:id="rId3"/>
    <sheet name="Example 12-2" sheetId="3" r:id="rId4"/>
    <sheet name="Example 12-3" sheetId="4" r:id="rId5"/>
    <sheet name="Example 12-4" sheetId="5" r:id="rId6"/>
    <sheet name="Example 12-5" sheetId="6" r:id="rId7"/>
    <sheet name="Figures" sheetId="7" r:id="rId8"/>
  </sheets>
  <calcPr calcId="145621"/>
</workbook>
</file>

<file path=xl/calcChain.xml><?xml version="1.0" encoding="utf-8"?>
<calcChain xmlns="http://schemas.openxmlformats.org/spreadsheetml/2006/main">
  <c r="O9" i="2" l="1"/>
  <c r="K19" i="5" l="1"/>
  <c r="E24" i="4"/>
  <c r="L29" i="2"/>
  <c r="L23" i="2"/>
  <c r="L31" i="6" l="1"/>
  <c r="L32" i="6" s="1"/>
  <c r="L28" i="6"/>
  <c r="L29" i="6" s="1"/>
  <c r="L27" i="6"/>
  <c r="K24" i="5" l="1"/>
  <c r="K23" i="5"/>
  <c r="K21" i="5"/>
  <c r="K18" i="4"/>
  <c r="K17" i="4"/>
  <c r="K15" i="3"/>
  <c r="L21" i="2"/>
  <c r="L30" i="2"/>
  <c r="L37" i="2" s="1"/>
  <c r="L38" i="2" s="1"/>
  <c r="O29" i="2"/>
  <c r="O23" i="2"/>
  <c r="O8" i="2"/>
  <c r="L24" i="2"/>
  <c r="L27" i="2" s="1"/>
  <c r="L28" i="2" s="1"/>
  <c r="K19" i="4" l="1"/>
  <c r="K27" i="5"/>
  <c r="K28" i="5"/>
  <c r="L44" i="2"/>
  <c r="L45" i="2" s="1"/>
  <c r="L39" i="2"/>
  <c r="L40" i="2" s="1"/>
  <c r="L41" i="2" s="1"/>
  <c r="L42" i="2" s="1"/>
  <c r="L47" i="2" s="1"/>
  <c r="L48" i="2" s="1"/>
  <c r="K29" i="5" l="1"/>
  <c r="E25" i="5"/>
  <c r="E23" i="5"/>
  <c r="O18" i="6"/>
  <c r="O17" i="6"/>
  <c r="O16" i="6"/>
  <c r="O15" i="6"/>
  <c r="F30" i="6"/>
  <c r="F32" i="6" s="1"/>
  <c r="F27" i="6"/>
  <c r="F29" i="6" s="1"/>
  <c r="F16" i="6"/>
  <c r="F17" i="6"/>
  <c r="F18" i="6"/>
  <c r="F15" i="6"/>
  <c r="F26" i="6" s="1"/>
  <c r="E48" i="2"/>
  <c r="E47" i="2"/>
  <c r="E34" i="2"/>
  <c r="F9" i="2"/>
  <c r="E33" i="2" s="1"/>
  <c r="F8" i="2"/>
  <c r="E27" i="2" s="1"/>
  <c r="E28" i="2"/>
  <c r="E23" i="4"/>
  <c r="E18" i="3"/>
  <c r="E25" i="4" l="1"/>
  <c r="E27" i="5"/>
  <c r="E52" i="2"/>
  <c r="F53" i="2" s="1"/>
  <c r="E41" i="2"/>
  <c r="E31" i="2"/>
  <c r="F43" i="2" l="1"/>
  <c r="F44" i="2" s="1"/>
  <c r="F45" i="2" s="1"/>
  <c r="F57" i="2" s="1"/>
  <c r="F58" i="2" s="1"/>
</calcChain>
</file>

<file path=xl/sharedStrings.xml><?xml version="1.0" encoding="utf-8"?>
<sst xmlns="http://schemas.openxmlformats.org/spreadsheetml/2006/main" count="1039" uniqueCount="462">
  <si>
    <t>Nomenclature</t>
  </si>
  <si>
    <t>C</t>
  </si>
  <si>
    <t>=</t>
  </si>
  <si>
    <t>d</t>
  </si>
  <si>
    <t>H</t>
  </si>
  <si>
    <t>D</t>
  </si>
  <si>
    <t>k</t>
  </si>
  <si>
    <t>ρ</t>
  </si>
  <si>
    <t>e</t>
  </si>
  <si>
    <t>L</t>
  </si>
  <si>
    <t>P</t>
  </si>
  <si>
    <t>Q</t>
  </si>
  <si>
    <t>S</t>
  </si>
  <si>
    <t>A</t>
  </si>
  <si>
    <t>a</t>
  </si>
  <si>
    <t>AC</t>
  </si>
  <si>
    <t>bbl</t>
  </si>
  <si>
    <t>bhp</t>
  </si>
  <si>
    <r>
      <t>C</t>
    </r>
    <r>
      <rPr>
        <vertAlign val="subscript"/>
        <sz val="10"/>
        <rFont val="Times New Roman"/>
        <family val="1"/>
      </rPr>
      <t>p</t>
    </r>
  </si>
  <si>
    <t>cfs</t>
  </si>
  <si>
    <t>DC</t>
  </si>
  <si>
    <t>g</t>
  </si>
  <si>
    <t>gpm</t>
  </si>
  <si>
    <t>h</t>
  </si>
  <si>
    <t>hyd hp</t>
  </si>
  <si>
    <r>
      <t>L</t>
    </r>
    <r>
      <rPr>
        <vertAlign val="subscript"/>
        <sz val="10"/>
        <rFont val="Times New Roman"/>
        <family val="1"/>
      </rPr>
      <t>s</t>
    </r>
  </si>
  <si>
    <t>m</t>
  </si>
  <si>
    <t>NPSH</t>
  </si>
  <si>
    <t>NPSHA</t>
  </si>
  <si>
    <t>NPSHR</t>
  </si>
  <si>
    <t>n</t>
  </si>
  <si>
    <r>
      <t>n</t>
    </r>
    <r>
      <rPr>
        <vertAlign val="subscript"/>
        <sz val="10"/>
        <rFont val="Times New Roman"/>
        <family val="1"/>
      </rPr>
      <t>s</t>
    </r>
  </si>
  <si>
    <r>
      <rPr>
        <sz val="10"/>
        <rFont val="Calibri"/>
        <family val="2"/>
      </rPr>
      <t>Δ</t>
    </r>
    <r>
      <rPr>
        <sz val="10"/>
        <rFont val="Times New Roman"/>
        <family val="1"/>
      </rPr>
      <t>P</t>
    </r>
  </si>
  <si>
    <r>
      <t>P</t>
    </r>
    <r>
      <rPr>
        <vertAlign val="subscript"/>
        <sz val="10"/>
        <rFont val="Times New Roman"/>
        <family val="1"/>
      </rPr>
      <t>vp</t>
    </r>
  </si>
  <si>
    <t>psi</t>
  </si>
  <si>
    <t>psia</t>
  </si>
  <si>
    <t>psig</t>
  </si>
  <si>
    <t>r</t>
  </si>
  <si>
    <t>RD</t>
  </si>
  <si>
    <t>s</t>
  </si>
  <si>
    <t>sp gr</t>
  </si>
  <si>
    <t>T</t>
  </si>
  <si>
    <r>
      <t>t</t>
    </r>
    <r>
      <rPr>
        <vertAlign val="subscript"/>
        <sz val="10"/>
        <rFont val="Times New Roman"/>
        <family val="1"/>
      </rPr>
      <t>r</t>
    </r>
  </si>
  <si>
    <t>u</t>
  </si>
  <si>
    <t>VE</t>
  </si>
  <si>
    <r>
      <t>Ve</t>
    </r>
    <r>
      <rPr>
        <vertAlign val="subscript"/>
        <sz val="10"/>
        <rFont val="Times New Roman"/>
        <family val="1"/>
      </rPr>
      <t>o</t>
    </r>
  </si>
  <si>
    <r>
      <t>Ve</t>
    </r>
    <r>
      <rPr>
        <vertAlign val="subscript"/>
        <sz val="10"/>
        <rFont val="Times New Roman"/>
        <family val="1"/>
      </rPr>
      <t>ρ</t>
    </r>
  </si>
  <si>
    <r>
      <t>VE</t>
    </r>
    <r>
      <rPr>
        <vertAlign val="subscript"/>
        <sz val="10"/>
        <rFont val="Times New Roman"/>
        <family val="1"/>
      </rPr>
      <t>l</t>
    </r>
  </si>
  <si>
    <t>v</t>
  </si>
  <si>
    <t>z</t>
  </si>
  <si>
    <r>
      <rPr>
        <sz val="10"/>
        <rFont val="Calibri"/>
        <family val="2"/>
      </rPr>
      <t>ρ</t>
    </r>
    <r>
      <rPr>
        <vertAlign val="subscript"/>
        <sz val="10"/>
        <rFont val="Times New Roman"/>
        <family val="1"/>
      </rPr>
      <t>i</t>
    </r>
  </si>
  <si>
    <r>
      <rPr>
        <sz val="10"/>
        <rFont val="Calibri"/>
        <family val="2"/>
      </rPr>
      <t>ρ</t>
    </r>
    <r>
      <rPr>
        <vertAlign val="subscript"/>
        <sz val="10"/>
        <rFont val="Times New Roman"/>
        <family val="1"/>
      </rPr>
      <t>o</t>
    </r>
  </si>
  <si>
    <t>bep</t>
  </si>
  <si>
    <t>c</t>
  </si>
  <si>
    <t>dv</t>
  </si>
  <si>
    <t>f</t>
  </si>
  <si>
    <t>i</t>
  </si>
  <si>
    <t>l</t>
  </si>
  <si>
    <t>o</t>
  </si>
  <si>
    <t>ov</t>
  </si>
  <si>
    <t>p</t>
  </si>
  <si>
    <t>sv</t>
  </si>
  <si>
    <t>vp</t>
  </si>
  <si>
    <t>w</t>
  </si>
  <si>
    <t>x</t>
  </si>
  <si>
    <t>y</t>
  </si>
  <si>
    <t>Subscripts</t>
  </si>
  <si>
    <t>cross-sectional area of plunger, piston, or pipe, sq in.</t>
  </si>
  <si>
    <t>cross-sectional area of piston rod, sq in.</t>
  </si>
  <si>
    <t>alternating current</t>
  </si>
  <si>
    <t>barrel (42 U.S. gallons)</t>
  </si>
  <si>
    <t>brake horsepower</t>
  </si>
  <si>
    <r>
      <t xml:space="preserve">specific heat at average temperature, BTU/(lb• </t>
    </r>
    <r>
      <rPr>
        <sz val="10"/>
        <rFont val="Calibri"/>
        <family val="2"/>
      </rPr>
      <t>°</t>
    </r>
    <r>
      <rPr>
        <sz val="10"/>
        <rFont val="Times New Roman"/>
        <family val="1"/>
      </rPr>
      <t>F)</t>
    </r>
  </si>
  <si>
    <t>cu ft/sec</t>
  </si>
  <si>
    <t>displacement of reciprocating pump, gpm</t>
  </si>
  <si>
    <t>direct current</t>
  </si>
  <si>
    <t>impeller diameter, in.</t>
  </si>
  <si>
    <t>pump efficiency, fraction</t>
  </si>
  <si>
    <r>
      <t>32.2 ft/sec</t>
    </r>
    <r>
      <rPr>
        <vertAlign val="superscript"/>
        <sz val="10"/>
        <rFont val="Times New Roman"/>
        <family val="1"/>
      </rPr>
      <t xml:space="preserve">2 </t>
    </r>
    <r>
      <rPr>
        <sz val="10"/>
        <rFont val="Times New Roman"/>
        <family val="1"/>
      </rPr>
      <t>(acceleration of gravity)</t>
    </r>
  </si>
  <si>
    <t>U.S. gallons/minute</t>
  </si>
  <si>
    <t>total equipment head, ft of fluid</t>
  </si>
  <si>
    <t>head, ft of fluid pumped</t>
  </si>
  <si>
    <t>hydraulic horsepower</t>
  </si>
  <si>
    <t>length of suction pipe, ft</t>
  </si>
  <si>
    <t>stroke length, in.</t>
  </si>
  <si>
    <t>number of plungers or pistons</t>
  </si>
  <si>
    <t>net positive suction head of fluid pumped, ft</t>
  </si>
  <si>
    <t>NPSH available, ft</t>
  </si>
  <si>
    <t>NPSH required, ft</t>
  </si>
  <si>
    <t>speed of rotation, revolutions/minute (rpm)</t>
  </si>
  <si>
    <t>differential pressure, psi</t>
  </si>
  <si>
    <t>pressure, psia or psig</t>
  </si>
  <si>
    <t>liquid vapor pressure at pumping temperature, psia</t>
  </si>
  <si>
    <t>lb/sq in.</t>
  </si>
  <si>
    <t>lb/sq in. absolute</t>
  </si>
  <si>
    <t>lb/sq in. gauge</t>
  </si>
  <si>
    <t>rate of liquid flow, gpm</t>
  </si>
  <si>
    <t>ratio of internal volume of fluid between valves, when the piston or plunger is at the end of the suction stroke, to the piston or plunger displacement.</t>
  </si>
  <si>
    <t>suction specific speed (units per Eq 12-7)</t>
  </si>
  <si>
    <r>
      <t xml:space="preserve">temperature rise, </t>
    </r>
    <r>
      <rPr>
        <sz val="10"/>
        <rFont val="Calibri"/>
        <family val="2"/>
      </rPr>
      <t>°</t>
    </r>
    <r>
      <rPr>
        <sz val="10"/>
        <rFont val="Times New Roman"/>
        <family val="1"/>
      </rPr>
      <t>F</t>
    </r>
  </si>
  <si>
    <t>impeller peripheral velocity, ft/sec</t>
  </si>
  <si>
    <t>volumetric efficiency, fraction</t>
  </si>
  <si>
    <t>overall volumetric efficiency</t>
  </si>
  <si>
    <t>volumetric efficiency due to density change</t>
  </si>
  <si>
    <t>volumetric efficiency due to leakage</t>
  </si>
  <si>
    <t>liquid mean velocity at a system point, ft/sec</t>
  </si>
  <si>
    <r>
      <t>density at average flowing conditions, lb/ft</t>
    </r>
    <r>
      <rPr>
        <vertAlign val="superscript"/>
        <sz val="10"/>
        <rFont val="Times New Roman"/>
        <family val="1"/>
      </rPr>
      <t>3</t>
    </r>
  </si>
  <si>
    <r>
      <t>inlet density, lb/ft</t>
    </r>
    <r>
      <rPr>
        <vertAlign val="superscript"/>
        <sz val="10"/>
        <rFont val="Times New Roman"/>
        <family val="1"/>
      </rPr>
      <t>3</t>
    </r>
  </si>
  <si>
    <r>
      <t>outlet density, lb/ft</t>
    </r>
    <r>
      <rPr>
        <vertAlign val="superscript"/>
        <sz val="10"/>
        <rFont val="Times New Roman"/>
        <family val="1"/>
      </rPr>
      <t>3</t>
    </r>
  </si>
  <si>
    <t>acceleration</t>
  </si>
  <si>
    <t>best efficiency point, for maximum impeller diameter</t>
  </si>
  <si>
    <t>compression</t>
  </si>
  <si>
    <t>discharge of pump</t>
  </si>
  <si>
    <t>discharge vessel</t>
  </si>
  <si>
    <t>displacement</t>
  </si>
  <si>
    <t>friction</t>
  </si>
  <si>
    <t>inlet of equipment</t>
  </si>
  <si>
    <t>leakage</t>
  </si>
  <si>
    <t>outlet of equipment</t>
  </si>
  <si>
    <t>overall</t>
  </si>
  <si>
    <t>pressure</t>
  </si>
  <si>
    <t>rise</t>
  </si>
  <si>
    <t>static, suction of pump, specific, or stroke</t>
  </si>
  <si>
    <t>suction vessel</t>
  </si>
  <si>
    <t>velocity</t>
  </si>
  <si>
    <t>vapor pressure</t>
  </si>
  <si>
    <t xml:space="preserve"> water</t>
  </si>
  <si>
    <t>impeller diameter or speed 1</t>
  </si>
  <si>
    <t>impeller diameter or speed 2</t>
  </si>
  <si>
    <t>torque, ft lb</t>
  </si>
  <si>
    <t>slip or leakage factor for reciprocating and rotary pumps</t>
  </si>
  <si>
    <t>specific gravity at average flowing conditions..  Equal to RD</t>
  </si>
  <si>
    <t>Given Data:</t>
  </si>
  <si>
    <t>in</t>
  </si>
  <si>
    <t>°F</t>
  </si>
  <si>
    <t>Intermediate Calculations (not shown)</t>
  </si>
  <si>
    <t>Reflux Drum Pressure</t>
  </si>
  <si>
    <t>Depropanizer Pressure</t>
  </si>
  <si>
    <t>Pumping Temperature</t>
  </si>
  <si>
    <r>
      <rPr>
        <sz val="11"/>
        <rFont val="Calibri"/>
        <family val="2"/>
      </rPr>
      <t>°</t>
    </r>
    <r>
      <rPr>
        <sz val="11"/>
        <rFont val="Times New Roman"/>
        <family val="1"/>
      </rPr>
      <t>F</t>
    </r>
  </si>
  <si>
    <t>Max Flow Rate</t>
  </si>
  <si>
    <r>
      <t>Specific Gravity of C</t>
    </r>
    <r>
      <rPr>
        <vertAlign val="subscript"/>
        <sz val="11"/>
        <rFont val="Times New Roman"/>
        <family val="1"/>
      </rPr>
      <t>3</t>
    </r>
  </si>
  <si>
    <t>To determine the required differential head</t>
  </si>
  <si>
    <t>Differential Pressure</t>
  </si>
  <si>
    <t>To determine Power</t>
  </si>
  <si>
    <r>
      <t>(Q•</t>
    </r>
    <r>
      <rPr>
        <sz val="11"/>
        <rFont val="Calibri"/>
        <family val="2"/>
      </rPr>
      <t>Δ</t>
    </r>
    <r>
      <rPr>
        <sz val="11"/>
        <rFont val="Times New Roman"/>
        <family val="1"/>
      </rPr>
      <t>P)/(1714•e)</t>
    </r>
  </si>
  <si>
    <t>Fig 12-2</t>
  </si>
  <si>
    <t>(10•3000)/(1714•0.9)</t>
  </si>
  <si>
    <t>hp</t>
  </si>
  <si>
    <r>
      <t>lb/ft</t>
    </r>
    <r>
      <rPr>
        <vertAlign val="superscript"/>
        <sz val="11"/>
        <rFont val="Times New Roman"/>
        <family val="1"/>
      </rPr>
      <t>3</t>
    </r>
  </si>
  <si>
    <t>To determine Overall Discharge Volumetric Efficiency</t>
  </si>
  <si>
    <r>
      <t>VE</t>
    </r>
    <r>
      <rPr>
        <vertAlign val="subscript"/>
        <sz val="11"/>
        <rFont val="Times New Roman"/>
        <family val="1"/>
      </rPr>
      <t>dov</t>
    </r>
  </si>
  <si>
    <r>
      <t>VE</t>
    </r>
    <r>
      <rPr>
        <vertAlign val="subscript"/>
        <sz val="11"/>
        <rFont val="Arial"/>
        <family val="2"/>
      </rPr>
      <t>l</t>
    </r>
    <r>
      <rPr>
        <sz val="11"/>
        <rFont val="Arial"/>
        <family val="2"/>
      </rPr>
      <t>•VE</t>
    </r>
    <r>
      <rPr>
        <vertAlign val="subscript"/>
        <sz val="11"/>
        <rFont val="Cambria"/>
        <family val="1"/>
      </rPr>
      <t>dρ</t>
    </r>
  </si>
  <si>
    <t>Eq 12-13</t>
  </si>
  <si>
    <t>To determine Volumetric Efficiency due to leakage</t>
  </si>
  <si>
    <r>
      <t>VE</t>
    </r>
    <r>
      <rPr>
        <vertAlign val="subscript"/>
        <sz val="11"/>
        <rFont val="Times New Roman"/>
        <family val="1"/>
      </rPr>
      <t>l</t>
    </r>
  </si>
  <si>
    <t>1-s</t>
  </si>
  <si>
    <t>Eq 12-14</t>
  </si>
  <si>
    <t>To determine Discharge Volumetric Efficiency due to Density</t>
  </si>
  <si>
    <r>
      <t>1-r(1-</t>
    </r>
    <r>
      <rPr>
        <sz val="11"/>
        <rFont val="Calibri"/>
        <family val="2"/>
      </rPr>
      <t>ρ</t>
    </r>
    <r>
      <rPr>
        <vertAlign val="subscript"/>
        <sz val="11"/>
        <rFont val="Times New Roman"/>
        <family val="1"/>
      </rPr>
      <t>i</t>
    </r>
    <r>
      <rPr>
        <sz val="11"/>
        <rFont val="Times New Roman"/>
        <family val="1"/>
      </rPr>
      <t>/</t>
    </r>
    <r>
      <rPr>
        <sz val="11"/>
        <rFont val="Calibri"/>
        <family val="2"/>
      </rPr>
      <t>ρ</t>
    </r>
    <r>
      <rPr>
        <vertAlign val="subscript"/>
        <sz val="11"/>
        <rFont val="Times New Roman"/>
        <family val="1"/>
      </rPr>
      <t>o</t>
    </r>
    <r>
      <rPr>
        <sz val="11"/>
        <rFont val="Times New Roman"/>
        <family val="1"/>
      </rPr>
      <t>)</t>
    </r>
  </si>
  <si>
    <t>Eq 12-15</t>
  </si>
  <si>
    <r>
      <t>VE</t>
    </r>
    <r>
      <rPr>
        <vertAlign val="subscript"/>
        <sz val="11"/>
        <color indexed="16"/>
        <rFont val="Times New Roman"/>
        <family val="1"/>
      </rPr>
      <t>l</t>
    </r>
  </si>
  <si>
    <t>1-0.03</t>
  </si>
  <si>
    <r>
      <t>VE</t>
    </r>
    <r>
      <rPr>
        <vertAlign val="subscript"/>
        <sz val="11"/>
        <rFont val="Times New Roman"/>
        <family val="1"/>
      </rPr>
      <t>dρ</t>
    </r>
  </si>
  <si>
    <r>
      <t>VE</t>
    </r>
    <r>
      <rPr>
        <vertAlign val="subscript"/>
        <sz val="11"/>
        <color indexed="16"/>
        <rFont val="Cambria"/>
        <family val="1"/>
      </rPr>
      <t>dρ</t>
    </r>
  </si>
  <si>
    <t>1-4.6(1-31.4/32.65)</t>
  </si>
  <si>
    <r>
      <t>VE</t>
    </r>
    <r>
      <rPr>
        <vertAlign val="subscript"/>
        <sz val="11"/>
        <color indexed="18"/>
        <rFont val="Times New Roman"/>
        <family val="1"/>
      </rPr>
      <t>dov</t>
    </r>
  </si>
  <si>
    <t>(0.970)•(0.824)</t>
  </si>
  <si>
    <t>rpm</t>
  </si>
  <si>
    <r>
      <t>h</t>
    </r>
    <r>
      <rPr>
        <vertAlign val="subscript"/>
        <sz val="11"/>
        <color indexed="16"/>
        <rFont val="Times New Roman"/>
        <family val="1"/>
      </rPr>
      <t>a4</t>
    </r>
  </si>
  <si>
    <t>ft</t>
  </si>
  <si>
    <t>lean DEA specific gravity</t>
  </si>
  <si>
    <r>
      <t xml:space="preserve">lean DEA vapor pressure at 120 </t>
    </r>
    <r>
      <rPr>
        <sz val="11"/>
        <rFont val="Calibri"/>
        <family val="2"/>
      </rPr>
      <t>°</t>
    </r>
    <r>
      <rPr>
        <sz val="11"/>
        <rFont val="Times New Roman"/>
        <family val="1"/>
      </rPr>
      <t>f</t>
    </r>
  </si>
  <si>
    <t>pump suction total pressure</t>
  </si>
  <si>
    <t>pump discharge total pressure</t>
  </si>
  <si>
    <t>HPRT inlet total pressure</t>
  </si>
  <si>
    <t>HPRT outlet total pressure</t>
  </si>
  <si>
    <t>To determine NPSHA</t>
  </si>
  <si>
    <r>
      <t>[2.31 • (P</t>
    </r>
    <r>
      <rPr>
        <vertAlign val="subscript"/>
        <sz val="11"/>
        <rFont val="Times New Roman"/>
        <family val="1"/>
      </rPr>
      <t>i</t>
    </r>
    <r>
      <rPr>
        <sz val="11"/>
        <rFont val="Times New Roman"/>
        <family val="1"/>
      </rPr>
      <t>-P</t>
    </r>
    <r>
      <rPr>
        <vertAlign val="subscript"/>
        <sz val="11"/>
        <rFont val="Times New Roman"/>
        <family val="1"/>
      </rPr>
      <t>vp</t>
    </r>
    <r>
      <rPr>
        <sz val="11"/>
        <rFont val="Times New Roman"/>
        <family val="1"/>
      </rPr>
      <t>)]/sp gr</t>
    </r>
  </si>
  <si>
    <t>Eq 12-6</t>
  </si>
  <si>
    <r>
      <t>[2.31 • (P</t>
    </r>
    <r>
      <rPr>
        <vertAlign val="subscript"/>
        <sz val="11"/>
        <rFont val="Times New Roman"/>
        <family val="1"/>
      </rPr>
      <t>d</t>
    </r>
    <r>
      <rPr>
        <sz val="11"/>
        <rFont val="Times New Roman"/>
        <family val="1"/>
      </rPr>
      <t>-P</t>
    </r>
    <r>
      <rPr>
        <vertAlign val="subscript"/>
        <sz val="11"/>
        <rFont val="Times New Roman"/>
        <family val="1"/>
      </rPr>
      <t>s</t>
    </r>
    <r>
      <rPr>
        <sz val="11"/>
        <rFont val="Times New Roman"/>
        <family val="1"/>
      </rPr>
      <t>)]/sp gr</t>
    </r>
  </si>
  <si>
    <t>Required H</t>
  </si>
  <si>
    <r>
      <t>(</t>
    </r>
    <r>
      <rPr>
        <sz val="11"/>
        <rFont val="Calibri"/>
        <family val="2"/>
      </rPr>
      <t>Δ</t>
    </r>
    <r>
      <rPr>
        <sz val="11"/>
        <rFont val="Times New Roman"/>
        <family val="1"/>
      </rPr>
      <t>P•2.31)/sp gr</t>
    </r>
  </si>
  <si>
    <t>Eq 12-3</t>
  </si>
  <si>
    <t>Required H with 10% safety factor</t>
  </si>
  <si>
    <t>To determine Hydraulic Power</t>
  </si>
  <si>
    <t>(Q•H•sp gr)/3960</t>
  </si>
  <si>
    <t>To determine Actual Horsepower</t>
  </si>
  <si>
    <t>hyd hp/e</t>
  </si>
  <si>
    <r>
      <t>[2.31•(P</t>
    </r>
    <r>
      <rPr>
        <vertAlign val="subscript"/>
        <sz val="11"/>
        <rFont val="Times New Roman"/>
        <family val="1"/>
      </rPr>
      <t>sv</t>
    </r>
    <r>
      <rPr>
        <sz val="11"/>
        <rFont val="Times New Roman"/>
        <family val="1"/>
      </rPr>
      <t>-P</t>
    </r>
    <r>
      <rPr>
        <vertAlign val="subscript"/>
        <sz val="11"/>
        <rFont val="Times New Roman"/>
        <family val="1"/>
      </rPr>
      <t>vp</t>
    </r>
    <r>
      <rPr>
        <sz val="11"/>
        <rFont val="Times New Roman"/>
        <family val="1"/>
      </rPr>
      <t>)]/sp gr</t>
    </r>
  </si>
  <si>
    <t>Reflux Drum</t>
  </si>
  <si>
    <t>Elevation</t>
  </si>
  <si>
    <t>Elevation at Suction</t>
  </si>
  <si>
    <t>Elevation at Discharge</t>
  </si>
  <si>
    <t>20•(0.485/2.31)</t>
  </si>
  <si>
    <t>Friction</t>
  </si>
  <si>
    <t>piping</t>
  </si>
  <si>
    <t>valves</t>
  </si>
  <si>
    <t>+</t>
  </si>
  <si>
    <t>-</t>
  </si>
  <si>
    <t>Tower</t>
  </si>
  <si>
    <t>orifice</t>
  </si>
  <si>
    <t>filter</t>
  </si>
  <si>
    <t>check valve</t>
  </si>
  <si>
    <t>control valve</t>
  </si>
  <si>
    <t>74•(0.485/2.31)</t>
  </si>
  <si>
    <r>
      <rPr>
        <sz val="11"/>
        <color indexed="16"/>
        <rFont val="Calibri"/>
        <family val="2"/>
      </rPr>
      <t>Δ</t>
    </r>
    <r>
      <rPr>
        <sz val="11"/>
        <color indexed="16"/>
        <rFont val="Times New Roman"/>
        <family val="1"/>
      </rPr>
      <t>P</t>
    </r>
  </si>
  <si>
    <r>
      <t>ATP</t>
    </r>
    <r>
      <rPr>
        <vertAlign val="subscript"/>
        <sz val="11"/>
        <color indexed="16"/>
        <rFont val="Times New Roman"/>
        <family val="1"/>
      </rPr>
      <t>D</t>
    </r>
    <r>
      <rPr>
        <sz val="11"/>
        <color indexed="16"/>
        <rFont val="Times New Roman"/>
        <family val="1"/>
      </rPr>
      <t>-ATP</t>
    </r>
    <r>
      <rPr>
        <vertAlign val="subscript"/>
        <sz val="11"/>
        <color indexed="16"/>
        <rFont val="Times New Roman"/>
        <family val="1"/>
      </rPr>
      <t>S</t>
    </r>
  </si>
  <si>
    <t>(61.2•2.31)/0.485</t>
  </si>
  <si>
    <t>0.1•H+H</t>
  </si>
  <si>
    <t>Calculation of NPSHA</t>
  </si>
  <si>
    <t>Reflux drum pressure</t>
  </si>
  <si>
    <t>Fluid vapor pressure</t>
  </si>
  <si>
    <t>(3.5•2.31)/0.485</t>
  </si>
  <si>
    <t>Calculation of Hydraulic Power</t>
  </si>
  <si>
    <t>[360•320.8•0.485]/3960</t>
  </si>
  <si>
    <t>14.1/0.62</t>
  </si>
  <si>
    <r>
      <t>h</t>
    </r>
    <r>
      <rPr>
        <vertAlign val="subscript"/>
        <sz val="11"/>
        <color indexed="16"/>
        <rFont val="Times New Roman"/>
        <family val="1"/>
      </rPr>
      <t>a6</t>
    </r>
  </si>
  <si>
    <r>
      <t>h</t>
    </r>
    <r>
      <rPr>
        <vertAlign val="subscript"/>
        <sz val="11"/>
        <color indexed="18"/>
        <rFont val="Times New Roman"/>
        <family val="1"/>
      </rPr>
      <t>a</t>
    </r>
  </si>
  <si>
    <r>
      <t>h</t>
    </r>
    <r>
      <rPr>
        <vertAlign val="subscript"/>
        <sz val="11"/>
        <color indexed="18"/>
        <rFont val="Times New Roman"/>
        <family val="1"/>
      </rPr>
      <t>a4</t>
    </r>
    <r>
      <rPr>
        <sz val="11"/>
        <color indexed="18"/>
        <rFont val="Times New Roman"/>
        <family val="1"/>
      </rPr>
      <t>+h</t>
    </r>
    <r>
      <rPr>
        <vertAlign val="subscript"/>
        <sz val="11"/>
        <color indexed="18"/>
        <rFont val="Times New Roman"/>
        <family val="1"/>
      </rPr>
      <t>a6</t>
    </r>
  </si>
  <si>
    <t>Pump Selected</t>
  </si>
  <si>
    <t>stage</t>
  </si>
  <si>
    <t>HPRT Selected</t>
  </si>
  <si>
    <t>(Q• H• sp gr)/(3960• e)</t>
  </si>
  <si>
    <t>NPSHA for pump</t>
  </si>
  <si>
    <t>H for pump</t>
  </si>
  <si>
    <t>bhp for pump</t>
  </si>
  <si>
    <t>(1000• 2102• 1.0)/(3960• 0.785)</t>
  </si>
  <si>
    <t>H for HPRT</t>
  </si>
  <si>
    <t>[2.31 • (960-85)]/1.01</t>
  </si>
  <si>
    <t>rich DEA specific gravity</t>
  </si>
  <si>
    <t>bhp from HPRT</t>
  </si>
  <si>
    <t>(1000• 2001• 1.01• 0.76)/3960</t>
  </si>
  <si>
    <r>
      <t>ft/sec</t>
    </r>
    <r>
      <rPr>
        <vertAlign val="superscript"/>
        <sz val="11"/>
        <rFont val="Times New Roman"/>
        <family val="1"/>
      </rPr>
      <t>2</t>
    </r>
  </si>
  <si>
    <t>Flow Rate                    Q</t>
  </si>
  <si>
    <t>Pump Efficiency           e</t>
  </si>
  <si>
    <t>Differential Pressure  ΔP</t>
  </si>
  <si>
    <r>
      <t>Stroke Length             L</t>
    </r>
    <r>
      <rPr>
        <vertAlign val="subscript"/>
        <sz val="11"/>
        <rFont val="Times New Roman"/>
        <family val="1"/>
      </rPr>
      <t>s</t>
    </r>
  </si>
  <si>
    <r>
      <t xml:space="preserve">Suction Density           </t>
    </r>
    <r>
      <rPr>
        <sz val="11"/>
        <rFont val="Calibri"/>
        <family val="2"/>
      </rPr>
      <t>ρ</t>
    </r>
    <r>
      <rPr>
        <vertAlign val="subscript"/>
        <sz val="11"/>
        <rFont val="Times New Roman"/>
        <family val="1"/>
      </rPr>
      <t>i</t>
    </r>
  </si>
  <si>
    <r>
      <t xml:space="preserve">Discharge Density       </t>
    </r>
    <r>
      <rPr>
        <sz val="11"/>
        <rFont val="Calibri"/>
        <family val="2"/>
      </rPr>
      <t>ρ</t>
    </r>
    <r>
      <rPr>
        <vertAlign val="subscript"/>
        <sz val="11"/>
        <rFont val="Times New Roman"/>
        <family val="1"/>
      </rPr>
      <t>o</t>
    </r>
  </si>
  <si>
    <t>Speed of Rotation         n</t>
  </si>
  <si>
    <t>Flow Rate                   Q</t>
  </si>
  <si>
    <r>
      <t>Length of 4" pipe        L</t>
    </r>
    <r>
      <rPr>
        <vertAlign val="subscript"/>
        <sz val="11"/>
        <rFont val="Times New Roman"/>
        <family val="1"/>
      </rPr>
      <t>4</t>
    </r>
  </si>
  <si>
    <r>
      <t>Length of 6" pipe        L</t>
    </r>
    <r>
      <rPr>
        <vertAlign val="subscript"/>
        <sz val="11"/>
        <rFont val="Times New Roman"/>
        <family val="1"/>
      </rPr>
      <t>6</t>
    </r>
  </si>
  <si>
    <t>Gravity Constant         g</t>
  </si>
  <si>
    <t>Diameter                    d</t>
  </si>
  <si>
    <r>
      <t>lean DEA flow            Q</t>
    </r>
    <r>
      <rPr>
        <vertAlign val="subscript"/>
        <sz val="11"/>
        <rFont val="Times New Roman"/>
        <family val="1"/>
      </rPr>
      <t>l</t>
    </r>
  </si>
  <si>
    <r>
      <t>lean DEA temperature T</t>
    </r>
    <r>
      <rPr>
        <vertAlign val="subscript"/>
        <sz val="11"/>
        <rFont val="Times New Roman"/>
        <family val="1"/>
      </rPr>
      <t>l</t>
    </r>
  </si>
  <si>
    <r>
      <t>rich DEA flow            Q</t>
    </r>
    <r>
      <rPr>
        <vertAlign val="subscript"/>
        <sz val="11"/>
        <rFont val="Times New Roman"/>
        <family val="1"/>
      </rPr>
      <t>r</t>
    </r>
  </si>
  <si>
    <r>
      <t>rich DEA temperature  T</t>
    </r>
    <r>
      <rPr>
        <vertAlign val="subscript"/>
        <sz val="11"/>
        <rFont val="Times New Roman"/>
        <family val="1"/>
      </rPr>
      <t>r</t>
    </r>
  </si>
  <si>
    <t>Diameter                     d</t>
  </si>
  <si>
    <r>
      <t>Stroke Length              L</t>
    </r>
    <r>
      <rPr>
        <vertAlign val="subscript"/>
        <sz val="11"/>
        <rFont val="Times New Roman"/>
        <family val="1"/>
      </rPr>
      <t>s</t>
    </r>
  </si>
  <si>
    <t>Fig 12-6</t>
  </si>
  <si>
    <t>Fig 12-20</t>
  </si>
  <si>
    <t>Fig 12-19</t>
  </si>
  <si>
    <t>Eq 12-6a</t>
  </si>
  <si>
    <t>constant (Fig 12-18)</t>
  </si>
  <si>
    <t>factor related to fluid compressibility (Fig 12-18)</t>
  </si>
  <si>
    <t>K</t>
  </si>
  <si>
    <t>type of pump factor (Equation 12-17)</t>
  </si>
  <si>
    <t>NPPP</t>
  </si>
  <si>
    <r>
      <t>net positive pipe pressure, psia (NPPP = P</t>
    </r>
    <r>
      <rPr>
        <vertAlign val="subscript"/>
        <sz val="10"/>
        <rFont val="Times New Roman"/>
        <family val="1"/>
      </rPr>
      <t>x</t>
    </r>
    <r>
      <rPr>
        <sz val="10"/>
        <rFont val="Times New Roman"/>
        <family val="1"/>
      </rPr>
      <t xml:space="preserve"> - P</t>
    </r>
    <r>
      <rPr>
        <vertAlign val="subscript"/>
        <sz val="10"/>
        <rFont val="Times New Roman"/>
        <family val="1"/>
      </rPr>
      <t>vp</t>
    </r>
    <r>
      <rPr>
        <sz val="10"/>
        <rFont val="Times New Roman"/>
        <family val="1"/>
      </rPr>
      <t xml:space="preserve"> &gt;  0</t>
    </r>
  </si>
  <si>
    <t>specific speed (See Fig. 12-2 for units)</t>
  </si>
  <si>
    <t>N</t>
  </si>
  <si>
    <t>Polytropic exponent of charge gas. (For nitrogen, N= 1.4)</t>
  </si>
  <si>
    <t>relative density of pumped fluid at average flowing conditions to water density at standard conditions</t>
  </si>
  <si>
    <r>
      <t>pulsation dampener volume, in</t>
    </r>
    <r>
      <rPr>
        <vertAlign val="superscript"/>
        <sz val="10"/>
        <rFont val="Times New Roman"/>
        <family val="1"/>
      </rPr>
      <t>3</t>
    </r>
  </si>
  <si>
    <r>
      <t>V</t>
    </r>
    <r>
      <rPr>
        <vertAlign val="subscript"/>
        <sz val="10"/>
        <rFont val="Times New Roman"/>
        <family val="1"/>
      </rPr>
      <t>pd</t>
    </r>
  </si>
  <si>
    <t>elevation of a point of the system above (+) or below (-) datum of the pump.  For piping, the elevation is from the datum to the piping centerline; for vessels and tanks, the elevation is from the datum to the liquid level, ft.</t>
  </si>
  <si>
    <t>Greek:</t>
  </si>
  <si>
    <t>Δ</t>
  </si>
  <si>
    <t>allowable pressure fluctuations as a percentage of mean pressure</t>
  </si>
  <si>
    <t>ave</t>
  </si>
  <si>
    <t>with P, average pressure in pulsating flow</t>
  </si>
  <si>
    <t>max</t>
  </si>
  <si>
    <t>with P, maximum acceptable peak pressure in pulsating flow</t>
  </si>
  <si>
    <t>min</t>
  </si>
  <si>
    <t>with P, minimum acceptable valley pressure in pulsating flow</t>
  </si>
  <si>
    <t>point x in the inlet subsystem</t>
  </si>
  <si>
    <t>point y in the outlet subsystem</t>
  </si>
  <si>
    <t>Efficiency is found by looking at Fig 12-7</t>
  </si>
  <si>
    <t>Average Velocity in 4" pipe</t>
  </si>
  <si>
    <t>Average Velocity in 6" pipe</t>
  </si>
  <si>
    <t>fps</t>
  </si>
  <si>
    <t>[2.31• (75 + 14.7 - 1.7)]/1.0</t>
  </si>
  <si>
    <t>[2.31• (985 - 75)]/1.0</t>
  </si>
  <si>
    <t>Fig 12-18</t>
  </si>
  <si>
    <t>(4• 1.84• 360• 0.066)/(1.5• 32.2)</t>
  </si>
  <si>
    <t>(20•0.81•360•0.066)/(1.5•32.2)</t>
  </si>
  <si>
    <t>The sample calculations, equations and spreadsheets presented herein were developed using examples published in the Engineering Data Book as published by the Gas Processor Suppliers Association as a service to the gas processing industry.  All information and calculation formulae has been compiled and edited in cooperation with Gas Processors Association (GPA).</t>
  </si>
  <si>
    <t>While every effort has been made to present accurate and reliable technical information and calculation spreadsheets based on the GPSA Engineering Data Book sample calculations, the use of such information is voluntary and the GPA and GPSA do not guarantee the accuracy, completeness, efficacy or timeliness of such information.  Reference herein to any specific commercial product, calculation method, process, or service by trade-name, trademark, and service mark manufacturer or otherwise does not constitute or imply endorsement, recommendation or favoring by the GPA and/or GPSA.</t>
  </si>
  <si>
    <t>The Calculation Spreadsheets are provided without warranty of any kind including warranties of accuracy or reasonableness of factual or scientific assumptions, studies or conclusions, or merchantability, fitness for a particular purpose or non-infringement of intellectual property.</t>
  </si>
  <si>
    <t>In no event will the GPA or GPSA and their members be liable for any damages whatsoever (including without limitation, those resulting from lost profits, lost data or business interruption) arising from the use, inability to , reference to or reliance on the information in thes Publication, whether based on warranty, contract, tort or any other legal theory and whether or not advised of the possibility of such damages.</t>
  </si>
  <si>
    <t>These calculation spreadsheets are provided to provide an “Operational level” of accuracy calculation based on rather broad assumptions (including but not limited to; temperatures, pressures, compositions, imperial curves, site conditions etc) and do not replace detailed and accurate Design Engineering taking into account actual process conditions, fluid properties, equipment condition or fowling and actual control set-point dead-band limitations.</t>
  </si>
  <si>
    <t>H+SF</t>
  </si>
  <si>
    <t>SG</t>
  </si>
  <si>
    <r>
      <t>P</t>
    </r>
    <r>
      <rPr>
        <vertAlign val="subscript"/>
        <sz val="11"/>
        <rFont val="Times New Roman"/>
        <family val="1"/>
      </rPr>
      <t>reflux</t>
    </r>
  </si>
  <si>
    <r>
      <t>P</t>
    </r>
    <r>
      <rPr>
        <vertAlign val="subscript"/>
        <sz val="11"/>
        <rFont val="Times New Roman"/>
        <family val="1"/>
      </rPr>
      <t>tower</t>
    </r>
  </si>
  <si>
    <r>
      <t>h</t>
    </r>
    <r>
      <rPr>
        <vertAlign val="subscript"/>
        <sz val="11"/>
        <rFont val="Times New Roman"/>
        <family val="1"/>
      </rPr>
      <t>s</t>
    </r>
  </si>
  <si>
    <r>
      <t>h</t>
    </r>
    <r>
      <rPr>
        <vertAlign val="subscript"/>
        <sz val="11"/>
        <rFont val="Times New Roman"/>
        <family val="1"/>
      </rPr>
      <t>d</t>
    </r>
  </si>
  <si>
    <t>Operating Conditions and Design</t>
  </si>
  <si>
    <t>Physical Properties</t>
  </si>
  <si>
    <t>Inlet Vessel</t>
  </si>
  <si>
    <r>
      <t>P</t>
    </r>
    <r>
      <rPr>
        <vertAlign val="subscript"/>
        <sz val="11"/>
        <rFont val="Times New Roman"/>
        <family val="1"/>
      </rPr>
      <t>hs</t>
    </r>
  </si>
  <si>
    <t>Friction valves</t>
  </si>
  <si>
    <t>Friction piping</t>
  </si>
  <si>
    <r>
      <t>P</t>
    </r>
    <r>
      <rPr>
        <vertAlign val="subscript"/>
        <sz val="11"/>
        <rFont val="Times New Roman"/>
        <family val="1"/>
      </rPr>
      <t>fv</t>
    </r>
  </si>
  <si>
    <r>
      <t>P</t>
    </r>
    <r>
      <rPr>
        <vertAlign val="subscript"/>
        <sz val="11"/>
        <rFont val="Times New Roman"/>
        <family val="1"/>
      </rPr>
      <t>fp</t>
    </r>
  </si>
  <si>
    <r>
      <t>P</t>
    </r>
    <r>
      <rPr>
        <vertAlign val="subscript"/>
        <sz val="11"/>
        <rFont val="Times New Roman"/>
        <family val="1"/>
      </rPr>
      <t>s</t>
    </r>
  </si>
  <si>
    <t>Absolute Total Pressure at Pump Suction</t>
  </si>
  <si>
    <t>Gauge Pressure at Pump Suction</t>
  </si>
  <si>
    <t>Atmospheric Pressure</t>
  </si>
  <si>
    <r>
      <t>P</t>
    </r>
    <r>
      <rPr>
        <vertAlign val="subscript"/>
        <sz val="11"/>
        <rFont val="Times New Roman"/>
        <family val="1"/>
      </rPr>
      <t>atm</t>
    </r>
  </si>
  <si>
    <t>Outlet Vessel</t>
  </si>
  <si>
    <t>Friction orifice</t>
  </si>
  <si>
    <t>Friction filter</t>
  </si>
  <si>
    <t>Friction check valve</t>
  </si>
  <si>
    <t>Friction control valve</t>
  </si>
  <si>
    <r>
      <t>P</t>
    </r>
    <r>
      <rPr>
        <vertAlign val="subscript"/>
        <sz val="11"/>
        <rFont val="Times New Roman"/>
        <family val="1"/>
      </rPr>
      <t>fo</t>
    </r>
  </si>
  <si>
    <r>
      <t>P</t>
    </r>
    <r>
      <rPr>
        <vertAlign val="subscript"/>
        <sz val="11"/>
        <rFont val="Times New Roman"/>
        <family val="1"/>
      </rPr>
      <t>ff</t>
    </r>
  </si>
  <si>
    <r>
      <t>P</t>
    </r>
    <r>
      <rPr>
        <vertAlign val="subscript"/>
        <sz val="11"/>
        <rFont val="Times New Roman"/>
        <family val="1"/>
      </rPr>
      <t>fchkv</t>
    </r>
  </si>
  <si>
    <r>
      <t>P</t>
    </r>
    <r>
      <rPr>
        <vertAlign val="subscript"/>
        <sz val="11"/>
        <rFont val="Times New Roman"/>
        <family val="1"/>
      </rPr>
      <t>fcntrlv</t>
    </r>
  </si>
  <si>
    <t>Absolute Total Pressure at Pump Discharge</t>
  </si>
  <si>
    <t>Gauge Pressure at Pump Discharge</t>
  </si>
  <si>
    <t>Pump Differential Pressure</t>
  </si>
  <si>
    <t>ΔP</t>
  </si>
  <si>
    <t>Differential Head</t>
  </si>
  <si>
    <r>
      <t>P</t>
    </r>
    <r>
      <rPr>
        <vertAlign val="subscript"/>
        <sz val="11"/>
        <rFont val="Times New Roman"/>
        <family val="1"/>
      </rPr>
      <t>d</t>
    </r>
  </si>
  <si>
    <r>
      <t>P</t>
    </r>
    <r>
      <rPr>
        <vertAlign val="subscript"/>
        <sz val="11"/>
        <rFont val="Times New Roman"/>
        <family val="1"/>
      </rPr>
      <t>hd</t>
    </r>
  </si>
  <si>
    <r>
      <t>H</t>
    </r>
    <r>
      <rPr>
        <vertAlign val="subscript"/>
        <sz val="11"/>
        <rFont val="Times New Roman"/>
        <family val="1"/>
      </rPr>
      <t>sf</t>
    </r>
  </si>
  <si>
    <t>Safety Factor (10%)</t>
  </si>
  <si>
    <t>Required Differential Head</t>
  </si>
  <si>
    <t>Available Head</t>
  </si>
  <si>
    <r>
      <t>P</t>
    </r>
    <r>
      <rPr>
        <vertAlign val="subscript"/>
        <sz val="11"/>
        <rFont val="Times New Roman"/>
        <family val="1"/>
      </rPr>
      <t>vp</t>
    </r>
  </si>
  <si>
    <t>Fluid Vapor Pressure at Suction</t>
  </si>
  <si>
    <r>
      <t>NPSH</t>
    </r>
    <r>
      <rPr>
        <vertAlign val="subscript"/>
        <sz val="11"/>
        <rFont val="Times New Roman"/>
        <family val="1"/>
      </rPr>
      <t>a</t>
    </r>
  </si>
  <si>
    <t>Net Positive Suction Head Available</t>
  </si>
  <si>
    <t>Pump Head</t>
  </si>
  <si>
    <t>Required Net Positive Suction Head</t>
  </si>
  <si>
    <r>
      <t>NPSH</t>
    </r>
    <r>
      <rPr>
        <vertAlign val="subscript"/>
        <sz val="11"/>
        <rFont val="Times New Roman"/>
        <family val="1"/>
      </rPr>
      <t>r</t>
    </r>
  </si>
  <si>
    <r>
      <t>NPSH</t>
    </r>
    <r>
      <rPr>
        <vertAlign val="subscript"/>
        <sz val="11"/>
        <rFont val="Times New Roman"/>
        <family val="1"/>
      </rPr>
      <t>a</t>
    </r>
    <r>
      <rPr>
        <sz val="11"/>
        <rFont val="Times New Roman"/>
        <family val="1"/>
      </rPr>
      <t xml:space="preserve"> adequate?</t>
    </r>
  </si>
  <si>
    <t>Power</t>
  </si>
  <si>
    <t>Pump Efficiency</t>
  </si>
  <si>
    <t>(Equation 12-6a)</t>
  </si>
  <si>
    <t>(Equation 12-3)</t>
  </si>
  <si>
    <t>(Figure 12-2)</t>
  </si>
  <si>
    <t>Flow Rate</t>
  </si>
  <si>
    <t xml:space="preserve">Pump Efficiency </t>
  </si>
  <si>
    <t>Power Required</t>
  </si>
  <si>
    <t>Diameter</t>
  </si>
  <si>
    <t>Stroke Length</t>
  </si>
  <si>
    <t>Suction Density</t>
  </si>
  <si>
    <t>Discharge Density</t>
  </si>
  <si>
    <t>Ratio of volume between valves</t>
  </si>
  <si>
    <r>
      <t>L</t>
    </r>
    <r>
      <rPr>
        <vertAlign val="subscript"/>
        <sz val="11"/>
        <rFont val="Times New Roman"/>
        <family val="1"/>
      </rPr>
      <t>s</t>
    </r>
  </si>
  <si>
    <r>
      <rPr>
        <sz val="11"/>
        <rFont val="Calibri"/>
        <family val="2"/>
      </rPr>
      <t>ρ</t>
    </r>
    <r>
      <rPr>
        <vertAlign val="subscript"/>
        <sz val="11"/>
        <rFont val="Times New Roman"/>
        <family val="1"/>
      </rPr>
      <t>i</t>
    </r>
  </si>
  <si>
    <r>
      <rPr>
        <sz val="11"/>
        <rFont val="Calibri"/>
        <family val="2"/>
      </rPr>
      <t>ρ</t>
    </r>
    <r>
      <rPr>
        <vertAlign val="subscript"/>
        <sz val="11"/>
        <rFont val="Times New Roman"/>
        <family val="1"/>
      </rPr>
      <t>o</t>
    </r>
  </si>
  <si>
    <t>Slip</t>
  </si>
  <si>
    <t>Volumetric Efficiency</t>
  </si>
  <si>
    <t>Discharge Volumetric Efficiency due to Density</t>
  </si>
  <si>
    <r>
      <t>VE</t>
    </r>
    <r>
      <rPr>
        <vertAlign val="subscript"/>
        <sz val="11"/>
        <rFont val="Cambria"/>
        <family val="1"/>
      </rPr>
      <t>dρ</t>
    </r>
  </si>
  <si>
    <t>(Equation 12-15)</t>
  </si>
  <si>
    <t>(Equation 12-14)</t>
  </si>
  <si>
    <t>Volumetric Efficiency due to Leakage</t>
  </si>
  <si>
    <r>
      <t>VE</t>
    </r>
    <r>
      <rPr>
        <vertAlign val="subscript"/>
        <sz val="11"/>
        <rFont val="Cambria"/>
        <family val="1"/>
      </rPr>
      <t>l</t>
    </r>
  </si>
  <si>
    <t>Overall discharge volumetric efficiency</t>
  </si>
  <si>
    <t>(Equation 12-13)</t>
  </si>
  <si>
    <t>Speed of Rotation</t>
  </si>
  <si>
    <t>Constant</t>
  </si>
  <si>
    <t>Compressibility</t>
  </si>
  <si>
    <t>Gravity Constant</t>
  </si>
  <si>
    <t>Acceleration Head</t>
  </si>
  <si>
    <r>
      <t>h</t>
    </r>
    <r>
      <rPr>
        <vertAlign val="subscript"/>
        <sz val="11"/>
        <rFont val="Times New Roman"/>
        <family val="1"/>
      </rPr>
      <t>a</t>
    </r>
  </si>
  <si>
    <t>First Pipe Acceleration Head</t>
  </si>
  <si>
    <t>Second Pipe Acceleration Head</t>
  </si>
  <si>
    <t>Simplex Double Acting</t>
  </si>
  <si>
    <t>Duplex Single Acting</t>
  </si>
  <si>
    <t>Duplex Double Acting</t>
  </si>
  <si>
    <t>Triplex Single or Double Acting</t>
  </si>
  <si>
    <t>Quintuplex Single or Double Acting</t>
  </si>
  <si>
    <t>Septuplex Single or Double Acting</t>
  </si>
  <si>
    <t>Nonuplex Single or Double Acting</t>
  </si>
  <si>
    <t>Pump Type</t>
  </si>
  <si>
    <t>Plunger Diameter</t>
  </si>
  <si>
    <t>First Pipe ID</t>
  </si>
  <si>
    <t>D1</t>
  </si>
  <si>
    <t>Second Pipe ID</t>
  </si>
  <si>
    <t>D2</t>
  </si>
  <si>
    <t>First Pipe Length</t>
  </si>
  <si>
    <t>Second Pipe Length</t>
  </si>
  <si>
    <t>L2</t>
  </si>
  <si>
    <t>L1</t>
  </si>
  <si>
    <t>Acceleration Head Constants</t>
  </si>
  <si>
    <t>Select Pump Type</t>
  </si>
  <si>
    <t>Select Service</t>
  </si>
  <si>
    <t>Pipe Velocities</t>
  </si>
  <si>
    <t>Pump Service</t>
  </si>
  <si>
    <t>Hot Oil</t>
  </si>
  <si>
    <t>Most Hydrocarbons</t>
  </si>
  <si>
    <t>Amine, Glycol, Water</t>
  </si>
  <si>
    <t>Deareated Water</t>
  </si>
  <si>
    <t>Liquid with Small Amounts of Entrained Gas</t>
  </si>
  <si>
    <t>Average Velocity in First Pipe</t>
  </si>
  <si>
    <t>Average Velocity in Second Pipe</t>
  </si>
  <si>
    <t>v1</t>
  </si>
  <si>
    <t>v2</t>
  </si>
  <si>
    <t>ha1</t>
  </si>
  <si>
    <t>ha2</t>
  </si>
  <si>
    <t>Total Acceleration Head</t>
  </si>
  <si>
    <t>Equation 12-17</t>
  </si>
  <si>
    <t>Figure 12-18</t>
  </si>
  <si>
    <t>lean DEA flow</t>
  </si>
  <si>
    <t>lean DEA temperature</t>
  </si>
  <si>
    <t>rich DEA flow</t>
  </si>
  <si>
    <t>rich DEA temperature</t>
  </si>
  <si>
    <r>
      <t>Q</t>
    </r>
    <r>
      <rPr>
        <vertAlign val="subscript"/>
        <sz val="11"/>
        <rFont val="Times New Roman"/>
        <family val="1"/>
      </rPr>
      <t>l</t>
    </r>
  </si>
  <si>
    <r>
      <t>T</t>
    </r>
    <r>
      <rPr>
        <vertAlign val="subscript"/>
        <sz val="11"/>
        <rFont val="Times New Roman"/>
        <family val="1"/>
      </rPr>
      <t>l</t>
    </r>
  </si>
  <si>
    <r>
      <t>Q</t>
    </r>
    <r>
      <rPr>
        <vertAlign val="subscript"/>
        <sz val="11"/>
        <rFont val="Times New Roman"/>
        <family val="1"/>
      </rPr>
      <t>r</t>
    </r>
  </si>
  <si>
    <r>
      <t>T</t>
    </r>
    <r>
      <rPr>
        <vertAlign val="subscript"/>
        <sz val="11"/>
        <rFont val="Times New Roman"/>
        <family val="1"/>
      </rPr>
      <t>r</t>
    </r>
  </si>
  <si>
    <r>
      <rPr>
        <sz val="11"/>
        <rFont val="Calibri"/>
        <family val="2"/>
      </rPr>
      <t>ρ</t>
    </r>
    <r>
      <rPr>
        <vertAlign val="subscript"/>
        <sz val="11"/>
        <rFont val="Times New Roman"/>
        <family val="1"/>
      </rPr>
      <t>r</t>
    </r>
  </si>
  <si>
    <r>
      <rPr>
        <sz val="11"/>
        <rFont val="Calibri"/>
        <family val="2"/>
      </rPr>
      <t>ρ</t>
    </r>
    <r>
      <rPr>
        <vertAlign val="subscript"/>
        <sz val="11"/>
        <rFont val="Times New Roman"/>
        <family val="1"/>
      </rPr>
      <t>l</t>
    </r>
  </si>
  <si>
    <r>
      <t>P</t>
    </r>
    <r>
      <rPr>
        <vertAlign val="subscript"/>
        <sz val="11"/>
        <rFont val="Times New Roman"/>
        <family val="1"/>
      </rPr>
      <t>vp-l</t>
    </r>
  </si>
  <si>
    <r>
      <t>e</t>
    </r>
    <r>
      <rPr>
        <vertAlign val="subscript"/>
        <sz val="11"/>
        <rFont val="Times New Roman"/>
        <family val="1"/>
      </rPr>
      <t>PUMP</t>
    </r>
  </si>
  <si>
    <t>HPRT Efficiency</t>
  </si>
  <si>
    <r>
      <t>e</t>
    </r>
    <r>
      <rPr>
        <vertAlign val="subscript"/>
        <sz val="11"/>
        <rFont val="Times New Roman"/>
        <family val="1"/>
      </rPr>
      <t>HPRT</t>
    </r>
  </si>
  <si>
    <r>
      <t>bhp</t>
    </r>
    <r>
      <rPr>
        <vertAlign val="subscript"/>
        <sz val="11"/>
        <rFont val="Times New Roman"/>
        <family val="1"/>
      </rPr>
      <t>PUMP</t>
    </r>
  </si>
  <si>
    <r>
      <t>H</t>
    </r>
    <r>
      <rPr>
        <vertAlign val="subscript"/>
        <sz val="11"/>
        <rFont val="Times New Roman"/>
        <family val="1"/>
      </rPr>
      <t>PUMP</t>
    </r>
  </si>
  <si>
    <r>
      <t>NPSHA</t>
    </r>
    <r>
      <rPr>
        <vertAlign val="subscript"/>
        <sz val="11"/>
        <rFont val="Times New Roman"/>
        <family val="1"/>
      </rPr>
      <t>PUMP</t>
    </r>
  </si>
  <si>
    <t>Power Comparison</t>
  </si>
  <si>
    <t>Pump NPSHA</t>
  </si>
  <si>
    <t>Pump Required Head</t>
  </si>
  <si>
    <t>Available head for HPRT</t>
  </si>
  <si>
    <r>
      <t>H</t>
    </r>
    <r>
      <rPr>
        <vertAlign val="subscript"/>
        <sz val="11"/>
        <rFont val="Times New Roman"/>
        <family val="1"/>
      </rPr>
      <t>HPRT</t>
    </r>
  </si>
  <si>
    <t>Pump Power</t>
  </si>
  <si>
    <t>HPRT Power</t>
  </si>
  <si>
    <r>
      <t>bhp</t>
    </r>
    <r>
      <rPr>
        <vertAlign val="subscript"/>
        <sz val="11"/>
        <rFont val="Times New Roman"/>
        <family val="1"/>
      </rPr>
      <t>HPRT</t>
    </r>
  </si>
  <si>
    <t>Section 12</t>
  </si>
  <si>
    <t>Example 12-4 -- Calculate the acceleration head, given a 2" diameter x 5" stroke triplex pump running at 360 rpm and displacing 73 gpm of water with a suction pipe made up of 4' of 4" and 20' of 6" standard wall pipe.</t>
  </si>
  <si>
    <t>Application 12-4 -- Calculate the acceleration head, given a 2" diameter x 5" stroke triplex pump running at 360 rpm and displacing 73 gpm of water with a suction pipe made up of 4' of 4" and 20' of 6" standard wall pipe.</t>
  </si>
  <si>
    <r>
      <t xml:space="preserve">Example 12-1 -- Liquid propane, at its bubble point, is to be pumped from a reflux drum to a depropanizer.  The maximum flow rate is expected to be 360 gpm.  The pressures in the vessels are 200 and 220 psia respectively.  The specific gravity of propane at the pumping temperature (100 </t>
    </r>
    <r>
      <rPr>
        <b/>
        <sz val="11"/>
        <rFont val="Calibri"/>
        <family val="2"/>
      </rPr>
      <t>°</t>
    </r>
    <r>
      <rPr>
        <b/>
        <sz val="11"/>
        <rFont val="Times New Roman"/>
        <family val="1"/>
      </rPr>
      <t>F) is 0.485.  The elevations and estimated frictional pressure losses are shown on Fig 12-6.  the pump curves are shown in Fig 12-7.  The pump nozzles elevations are zero and the velocity head at nozzles is negligible.</t>
    </r>
  </si>
  <si>
    <r>
      <t xml:space="preserve">Application 12-1 -- Liquid propane, at its bubble point, is to be pumped from a reflux drum to a depropanizer.  The maximum flow rate is expected to be 360 gpm.  The pressures in the vessels are 200 and 220 psia respectively.  The specific gravity of propane at the pumping temperature (100 </t>
    </r>
    <r>
      <rPr>
        <b/>
        <sz val="11"/>
        <rFont val="Calibri"/>
        <family val="2"/>
      </rPr>
      <t>°</t>
    </r>
    <r>
      <rPr>
        <b/>
        <sz val="11"/>
        <rFont val="Times New Roman"/>
        <family val="1"/>
      </rPr>
      <t>F) is 0.485.  The elevations and estimated frictional pressure losses are shown on Fig 12-6.  The pump curves are shown in Fig 12-7.  The pump nozzles elevations are zero and the velocity head at nozzles is negligible.</t>
    </r>
  </si>
  <si>
    <r>
      <t>Absolute Total Pressure at Pump Discharge, ATP</t>
    </r>
    <r>
      <rPr>
        <b/>
        <vertAlign val="subscript"/>
        <sz val="11"/>
        <color theme="1"/>
        <rFont val="Times New Roman"/>
        <family val="1"/>
      </rPr>
      <t>D</t>
    </r>
  </si>
  <si>
    <r>
      <t>Absolute Total Pressure at Pump Suction, ATP</t>
    </r>
    <r>
      <rPr>
        <b/>
        <vertAlign val="subscript"/>
        <sz val="11"/>
        <color theme="1"/>
        <rFont val="Times New Roman"/>
        <family val="1"/>
      </rPr>
      <t>S</t>
    </r>
  </si>
  <si>
    <t>Example 12-2 -- Calculate the power required for a simplex plunger pump delivering 10 gpm of liquid of any specific gravity at 3000 psi differential pressure and mechanical efficiency of 90%.</t>
  </si>
  <si>
    <t>Application 12-2 -- Calculate the power required for a simplex plunger pump delivering 10 gpm of liquid of any specific gravity at 3000 psi differential pressure and mechanical efficiency of 90%.</t>
  </si>
  <si>
    <t>Example 12-3 -- For a 3" diameter and a 5 inch stroke triplex plunger pump pumping propane with a suction density 31.4 lb/cu ft and a discharge density 32.65 lb/cu ft and given that r=4.6 and s=0.03, find the overall discharge volumetric efficiency.</t>
  </si>
  <si>
    <t>Application 12-3 -- For a 3" diameter and a 5 inch stroke triplex plunger pump pumping propane with a suction density 31.4 lb/cu ft and a discharge density 32.65 lb/cu ft and given that r=4.6 and s=0.03, find the overall discharge volumetric efficiency.</t>
  </si>
  <si>
    <t>Ratio of volume between valves   r</t>
  </si>
  <si>
    <t>Slip  s</t>
  </si>
  <si>
    <t>Application 12-5 -- Specify an HPRT driven pump for a gas sweetening process using the following given data:</t>
  </si>
  <si>
    <t>Example 12-5 -- Specify an HPRT driven pump for a gas sweetening process using the following given data:</t>
  </si>
  <si>
    <t>Efficiency of 3 stage HPRT</t>
  </si>
  <si>
    <t>Efficiency of 5 stage pump</t>
  </si>
  <si>
    <t>GPSA Engineering Data Book 14th Edition</t>
  </si>
  <si>
    <t>REVISION</t>
  </si>
  <si>
    <t>DATE</t>
  </si>
  <si>
    <t>REASON(S) FOR REVISION</t>
  </si>
  <si>
    <t xml:space="preserve">Initial release </t>
  </si>
  <si>
    <t>While every effort has been made to present accurate and reliable technical information and calculation spreadsheets based on the GPSA Engineering Data Book sample calculations, the use of such information is voluntary and the GPA and GPSA do not guarantee the accuracy, completeness, efficacy, or timeliness of such information.  Reference herein to any specific commercial product, calculation method, process, or service by trade-name, trademark, and service mark manufacturer or otherwise does not constitute or imply endorsement, recommendation or favoring by the GPA and/or GPSA.</t>
  </si>
  <si>
    <t>The Calculation Spreadsheets are provided without warranty of any kind including warranties of accuracy or reasonableness of factual or scientific assumptions, studies or conclusions, or merchantability, fitness for a particular purpose, or non-infringement of intellectual property.</t>
  </si>
  <si>
    <t>In no event will the GPA or GPSA and their members be liable for any damages whatsoever (including without limitation, those resulting from lost profits, lost data or business interruption) arising from the use, inability to, reference to or reliance on the information in this Publication, whether based on warranty, contract, tort or any other legal theory and whether or not advised of the possibility of such damages.</t>
  </si>
  <si>
    <t>These calculation spreadsheets are provided to provide an “Operational level” of accuracy calculation based on rather broad assumptions (including but not limited to: temperatures, pressures, compositions, imperial curves, site conditions etc) and do not replace detailed and accurate Design Engineering taking into account actual process conditions, fluid properties, equipment condition or fowling and actual control set-point dead-band limitations.</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</si>
</sst>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
    <numFmt numFmtId="165" formatCode="0.0"/>
    <numFmt numFmtId="166" formatCode="#,##0.0"/>
  </numFmts>
  <fonts count="37" x14ac:knownFonts="1">
    <font>
      <sz val="11"/>
      <color theme="1"/>
      <name val="Calibri"/>
      <family val="2"/>
      <scheme val="minor"/>
    </font>
    <font>
      <sz val="10"/>
      <name val="Times New Roman"/>
      <family val="1"/>
    </font>
    <font>
      <vertAlign val="subscript"/>
      <sz val="10"/>
      <name val="Times New Roman"/>
      <family val="1"/>
    </font>
    <font>
      <vertAlign val="superscript"/>
      <sz val="10"/>
      <name val="Times New Roman"/>
      <family val="1"/>
    </font>
    <font>
      <sz val="10"/>
      <name val="Calibri"/>
      <family val="2"/>
    </font>
    <font>
      <b/>
      <sz val="10"/>
      <name val="Times New Roman"/>
      <family val="1"/>
    </font>
    <font>
      <b/>
      <sz val="11"/>
      <name val="Times New Roman"/>
      <family val="1"/>
    </font>
    <font>
      <sz val="11"/>
      <name val="Times New Roman"/>
      <family val="1"/>
    </font>
    <font>
      <sz val="11"/>
      <color indexed="18"/>
      <name val="Times New Roman"/>
      <family val="1"/>
    </font>
    <font>
      <sz val="11"/>
      <name val="Arial"/>
      <family val="2"/>
    </font>
    <font>
      <vertAlign val="subscript"/>
      <sz val="11"/>
      <name val="Times New Roman"/>
      <family val="1"/>
    </font>
    <font>
      <vertAlign val="superscript"/>
      <sz val="11"/>
      <name val="Times New Roman"/>
      <family val="1"/>
    </font>
    <font>
      <sz val="11"/>
      <color indexed="16"/>
      <name val="Times New Roman"/>
      <family val="1"/>
    </font>
    <font>
      <b/>
      <sz val="11"/>
      <color indexed="16"/>
      <name val="Times New Roman"/>
      <family val="1"/>
    </font>
    <font>
      <b/>
      <u/>
      <sz val="11"/>
      <color indexed="16"/>
      <name val="Times New Roman"/>
      <family val="1"/>
    </font>
    <font>
      <vertAlign val="subscript"/>
      <sz val="11"/>
      <color indexed="16"/>
      <name val="Times New Roman"/>
      <family val="1"/>
    </font>
    <font>
      <vertAlign val="subscript"/>
      <sz val="11"/>
      <color indexed="18"/>
      <name val="Times New Roman"/>
      <family val="1"/>
    </font>
    <font>
      <sz val="10"/>
      <color indexed="18"/>
      <name val="Arial"/>
      <family val="2"/>
    </font>
    <font>
      <b/>
      <sz val="11"/>
      <color indexed="18"/>
      <name val="Times New Roman"/>
      <family val="1"/>
    </font>
    <font>
      <sz val="11"/>
      <color indexed="17"/>
      <name val="Times New Roman"/>
      <family val="1"/>
    </font>
    <font>
      <sz val="10"/>
      <color indexed="17"/>
      <name val="Arial"/>
      <family val="2"/>
    </font>
    <font>
      <b/>
      <sz val="11"/>
      <color indexed="17"/>
      <name val="Times New Roman"/>
      <family val="1"/>
    </font>
    <font>
      <sz val="11"/>
      <name val="Calibri"/>
      <family val="2"/>
    </font>
    <font>
      <vertAlign val="subscript"/>
      <sz val="11"/>
      <name val="Arial"/>
      <family val="2"/>
    </font>
    <font>
      <vertAlign val="subscript"/>
      <sz val="11"/>
      <name val="Cambria"/>
      <family val="1"/>
    </font>
    <font>
      <sz val="11"/>
      <color indexed="16"/>
      <name val="Calibri"/>
      <family val="2"/>
    </font>
    <font>
      <vertAlign val="subscript"/>
      <sz val="11"/>
      <color indexed="16"/>
      <name val="Cambria"/>
      <family val="1"/>
    </font>
    <font>
      <b/>
      <sz val="11"/>
      <color theme="5" tint="-0.249977111117893"/>
      <name val="Times New Roman"/>
      <family val="1"/>
    </font>
    <font>
      <sz val="11"/>
      <color rgb="FFC00000"/>
      <name val="Times New Roman"/>
      <family val="1"/>
    </font>
    <font>
      <sz val="11"/>
      <color theme="1"/>
      <name val="Times New Roman"/>
      <family val="1"/>
    </font>
    <font>
      <b/>
      <sz val="11"/>
      <color theme="1"/>
      <name val="Times New Roman"/>
      <family val="1"/>
    </font>
    <font>
      <sz val="10"/>
      <color rgb="FFC00000"/>
      <name val="Times New Roman"/>
      <family val="1"/>
    </font>
    <font>
      <b/>
      <sz val="11"/>
      <name val="Calibri"/>
      <family val="2"/>
    </font>
    <font>
      <b/>
      <vertAlign val="subscript"/>
      <sz val="11"/>
      <color theme="1"/>
      <name val="Times New Roman"/>
      <family val="1"/>
    </font>
    <font>
      <b/>
      <u/>
      <sz val="11"/>
      <color theme="1"/>
      <name val="Times New Roman"/>
      <family val="1"/>
    </font>
    <font>
      <sz val="11"/>
      <color theme="5" tint="-0.249977111117893"/>
      <name val="Times New Roman"/>
      <family val="1"/>
    </font>
    <font>
      <sz val="10"/>
      <name val="Arial"/>
      <family val="2"/>
    </font>
  </fonts>
  <fills count="5">
    <fill>
      <patternFill patternType="none"/>
    </fill>
    <fill>
      <patternFill patternType="gray125"/>
    </fill>
    <fill>
      <patternFill patternType="solid">
        <fgColor theme="9" tint="0.59999389629810485"/>
        <bgColor indexed="64"/>
      </patternFill>
    </fill>
    <fill>
      <patternFill patternType="solid">
        <fgColor theme="6" tint="0.59999389629810485"/>
        <bgColor indexed="64"/>
      </patternFill>
    </fill>
    <fill>
      <patternFill patternType="solid">
        <fgColor theme="0" tint="-0.14999847407452621"/>
        <bgColor indexed="64"/>
      </patternFill>
    </fill>
  </fills>
  <borders count="4">
    <border>
      <left/>
      <right/>
      <top/>
      <bottom/>
      <diagonal/>
    </border>
    <border>
      <left/>
      <right/>
      <top/>
      <bottom style="thin">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36" fillId="0" borderId="0"/>
  </cellStyleXfs>
  <cellXfs count="216">
    <xf numFmtId="0" fontId="0" fillId="0" borderId="0" xfId="0"/>
    <xf numFmtId="0" fontId="7" fillId="0" borderId="0" xfId="0" applyFont="1" applyProtection="1"/>
    <xf numFmtId="0" fontId="7" fillId="2" borderId="0" xfId="0" applyFont="1" applyFill="1" applyBorder="1" applyProtection="1"/>
    <xf numFmtId="0" fontId="7" fillId="2" borderId="0" xfId="0" applyFont="1" applyFill="1" applyBorder="1" applyAlignment="1" applyProtection="1">
      <alignment horizontal="center"/>
    </xf>
    <xf numFmtId="0" fontId="8" fillId="3" borderId="0" xfId="0" applyFont="1" applyFill="1" applyBorder="1" applyProtection="1"/>
    <xf numFmtId="0" fontId="7" fillId="3" borderId="0" xfId="0" applyFont="1" applyFill="1" applyBorder="1" applyProtection="1"/>
    <xf numFmtId="0" fontId="7" fillId="3" borderId="0" xfId="0" applyFont="1" applyFill="1" applyBorder="1" applyAlignment="1" applyProtection="1">
      <alignment horizontal="center"/>
    </xf>
    <xf numFmtId="3" fontId="7" fillId="3" borderId="0" xfId="0" applyNumberFormat="1" applyFont="1" applyFill="1" applyBorder="1" applyAlignment="1" applyProtection="1">
      <alignment horizontal="center"/>
    </xf>
    <xf numFmtId="0" fontId="7" fillId="3" borderId="0" xfId="0" applyFont="1" applyFill="1" applyBorder="1" applyAlignment="1" applyProtection="1">
      <alignment vertical="top" wrapText="1"/>
    </xf>
    <xf numFmtId="0" fontId="7" fillId="3" borderId="0" xfId="0" applyFont="1" applyFill="1" applyBorder="1" applyAlignment="1" applyProtection="1">
      <alignment horizontal="center" vertical="center"/>
    </xf>
    <xf numFmtId="0" fontId="12" fillId="3" borderId="0" xfId="0" applyFont="1" applyFill="1" applyBorder="1" applyAlignment="1" applyProtection="1">
      <alignment horizontal="center"/>
    </xf>
    <xf numFmtId="0" fontId="12" fillId="3" borderId="0" xfId="0" applyFont="1" applyFill="1" applyBorder="1" applyProtection="1"/>
    <xf numFmtId="164" fontId="12" fillId="3" borderId="0" xfId="0" applyNumberFormat="1" applyFont="1" applyFill="1" applyBorder="1" applyAlignment="1" applyProtection="1">
      <alignment horizontal="center"/>
    </xf>
    <xf numFmtId="0" fontId="12" fillId="3" borderId="0" xfId="0" applyFont="1" applyFill="1" applyBorder="1" applyAlignment="1" applyProtection="1">
      <alignment horizontal="right"/>
    </xf>
    <xf numFmtId="2" fontId="12" fillId="3" borderId="0" xfId="0" applyNumberFormat="1" applyFont="1" applyFill="1" applyBorder="1" applyProtection="1"/>
    <xf numFmtId="0" fontId="12" fillId="3" borderId="1" xfId="0" applyFont="1" applyFill="1" applyBorder="1" applyProtection="1"/>
    <xf numFmtId="2" fontId="12" fillId="3" borderId="0" xfId="0" applyNumberFormat="1" applyFont="1" applyFill="1" applyBorder="1" applyAlignment="1" applyProtection="1">
      <alignment horizontal="center"/>
    </xf>
    <xf numFmtId="165" fontId="12" fillId="3" borderId="0" xfId="0" applyNumberFormat="1" applyFont="1" applyFill="1" applyBorder="1" applyAlignment="1" applyProtection="1">
      <alignment horizontal="right"/>
    </xf>
    <xf numFmtId="165" fontId="12" fillId="3" borderId="1" xfId="0" applyNumberFormat="1" applyFont="1" applyFill="1" applyBorder="1" applyAlignment="1" applyProtection="1">
      <alignment horizontal="right"/>
    </xf>
    <xf numFmtId="165" fontId="12" fillId="3" borderId="0" xfId="0" applyNumberFormat="1" applyFont="1" applyFill="1" applyBorder="1" applyAlignment="1" applyProtection="1">
      <alignment horizontal="center"/>
    </xf>
    <xf numFmtId="0" fontId="8" fillId="3" borderId="0" xfId="0" applyFont="1" applyFill="1" applyBorder="1" applyAlignment="1" applyProtection="1">
      <alignment horizontal="left"/>
    </xf>
    <xf numFmtId="3" fontId="8" fillId="3" borderId="0" xfId="0" applyNumberFormat="1" applyFont="1" applyFill="1" applyBorder="1" applyAlignment="1" applyProtection="1"/>
    <xf numFmtId="165" fontId="18" fillId="3" borderId="0" xfId="0" applyNumberFormat="1" applyFont="1" applyFill="1" applyBorder="1" applyAlignment="1" applyProtection="1">
      <alignment horizontal="center"/>
    </xf>
    <xf numFmtId="164" fontId="18" fillId="3" borderId="0" xfId="0" applyNumberFormat="1" applyFont="1" applyFill="1" applyBorder="1" applyAlignment="1" applyProtection="1">
      <alignment horizontal="center"/>
    </xf>
    <xf numFmtId="0" fontId="8" fillId="3" borderId="0" xfId="0" applyFont="1" applyFill="1" applyBorder="1" applyAlignment="1" applyProtection="1"/>
    <xf numFmtId="0" fontId="7" fillId="2" borderId="0" xfId="0" applyFont="1" applyFill="1" applyBorder="1" applyAlignment="1" applyProtection="1">
      <alignment horizontal="center"/>
      <protection locked="0"/>
    </xf>
    <xf numFmtId="4" fontId="7" fillId="2" borderId="0" xfId="0" applyNumberFormat="1" applyFont="1" applyFill="1" applyBorder="1" applyAlignment="1" applyProtection="1">
      <alignment horizontal="center"/>
      <protection locked="0"/>
    </xf>
    <xf numFmtId="0" fontId="7" fillId="2" borderId="0" xfId="0" applyFont="1" applyFill="1" applyBorder="1" applyAlignment="1" applyProtection="1">
      <alignment horizontal="center" vertical="center"/>
      <protection locked="0"/>
    </xf>
    <xf numFmtId="1" fontId="12" fillId="3" borderId="0" xfId="0" applyNumberFormat="1" applyFont="1" applyFill="1" applyBorder="1" applyAlignment="1" applyProtection="1">
      <alignment horizontal="center"/>
    </xf>
    <xf numFmtId="0" fontId="6" fillId="2" borderId="0" xfId="0" applyFont="1" applyFill="1" applyBorder="1" applyProtection="1"/>
    <xf numFmtId="0" fontId="14" fillId="0" borderId="0" xfId="0" applyFont="1" applyFill="1" applyBorder="1" applyProtection="1"/>
    <xf numFmtId="0" fontId="12" fillId="0" borderId="0" xfId="0" applyFont="1" applyFill="1" applyBorder="1" applyAlignment="1" applyProtection="1">
      <alignment horizontal="center"/>
    </xf>
    <xf numFmtId="0" fontId="12" fillId="0" borderId="0" xfId="0" applyFont="1" applyFill="1" applyBorder="1" applyProtection="1"/>
    <xf numFmtId="164" fontId="12" fillId="0" borderId="0" xfId="0" applyNumberFormat="1" applyFont="1" applyFill="1" applyBorder="1" applyAlignment="1" applyProtection="1">
      <alignment horizontal="center"/>
    </xf>
    <xf numFmtId="0" fontId="7" fillId="0" borderId="0" xfId="0" applyFont="1" applyFill="1" applyBorder="1" applyProtection="1"/>
    <xf numFmtId="0" fontId="7" fillId="0" borderId="0" xfId="0" applyFont="1" applyFill="1" applyBorder="1" applyAlignment="1" applyProtection="1">
      <alignment horizontal="center"/>
    </xf>
    <xf numFmtId="0" fontId="8" fillId="0" borderId="0" xfId="0" applyFont="1" applyFill="1" applyBorder="1" applyProtection="1"/>
    <xf numFmtId="164" fontId="18" fillId="0" borderId="0" xfId="0" applyNumberFormat="1" applyFont="1" applyFill="1" applyBorder="1" applyAlignment="1" applyProtection="1">
      <alignment horizontal="left"/>
    </xf>
    <xf numFmtId="2" fontId="7" fillId="2" borderId="0" xfId="0" applyNumberFormat="1" applyFont="1" applyFill="1" applyBorder="1" applyAlignment="1" applyProtection="1">
      <alignment horizontal="center" vertical="center"/>
      <protection locked="0"/>
    </xf>
    <xf numFmtId="0" fontId="7" fillId="2" borderId="0" xfId="0" applyFont="1" applyFill="1" applyBorder="1" applyAlignment="1" applyProtection="1">
      <alignment horizontal="left"/>
    </xf>
    <xf numFmtId="3" fontId="7" fillId="2" borderId="0" xfId="0" applyNumberFormat="1" applyFont="1" applyFill="1" applyBorder="1" applyAlignment="1" applyProtection="1">
      <alignment horizontal="center" vertical="center"/>
      <protection locked="0"/>
    </xf>
    <xf numFmtId="4" fontId="7" fillId="2" borderId="0" xfId="0" applyNumberFormat="1" applyFont="1" applyFill="1" applyBorder="1" applyAlignment="1" applyProtection="1">
      <alignment horizontal="center" vertical="center"/>
      <protection locked="0"/>
    </xf>
    <xf numFmtId="0" fontId="12" fillId="3" borderId="0" xfId="0" applyFont="1" applyFill="1" applyBorder="1" applyAlignment="1" applyProtection="1">
      <alignment horizontal="left"/>
    </xf>
    <xf numFmtId="0" fontId="29" fillId="3" borderId="0" xfId="0" applyFont="1" applyFill="1" applyBorder="1" applyProtection="1"/>
    <xf numFmtId="0" fontId="6" fillId="3" borderId="0" xfId="0" applyFont="1" applyFill="1" applyBorder="1" applyProtection="1"/>
    <xf numFmtId="0" fontId="29" fillId="3" borderId="0" xfId="0" applyFont="1" applyFill="1" applyBorder="1" applyAlignment="1" applyProtection="1">
      <alignment horizontal="left"/>
    </xf>
    <xf numFmtId="164" fontId="7" fillId="3" borderId="0" xfId="0" applyNumberFormat="1" applyFont="1" applyFill="1" applyBorder="1" applyAlignment="1" applyProtection="1">
      <alignment horizontal="left"/>
    </xf>
    <xf numFmtId="164" fontId="12" fillId="3" borderId="0" xfId="0" applyNumberFormat="1" applyFont="1" applyFill="1" applyBorder="1" applyAlignment="1" applyProtection="1">
      <alignment horizontal="left"/>
    </xf>
    <xf numFmtId="164" fontId="8" fillId="3" borderId="0" xfId="0" applyNumberFormat="1" applyFont="1" applyFill="1" applyBorder="1" applyAlignment="1" applyProtection="1">
      <alignment horizontal="left"/>
    </xf>
    <xf numFmtId="0" fontId="7" fillId="0" borderId="0" xfId="0" applyFont="1" applyAlignment="1" applyProtection="1">
      <alignment horizontal="center"/>
    </xf>
    <xf numFmtId="165" fontId="18" fillId="0" borderId="0" xfId="0" applyNumberFormat="1" applyFont="1" applyFill="1" applyBorder="1" applyAlignment="1" applyProtection="1">
      <alignment horizontal="center"/>
    </xf>
    <xf numFmtId="0" fontId="8" fillId="2" borderId="0" xfId="0" applyFont="1" applyFill="1" applyBorder="1" applyProtection="1"/>
    <xf numFmtId="0" fontId="7" fillId="3" borderId="0" xfId="0" applyFont="1" applyFill="1" applyBorder="1" applyAlignment="1" applyProtection="1">
      <alignment horizontal="right"/>
    </xf>
    <xf numFmtId="166" fontId="7" fillId="2" borderId="0" xfId="0" applyNumberFormat="1" applyFont="1" applyFill="1" applyBorder="1" applyAlignment="1" applyProtection="1">
      <alignment horizontal="center"/>
    </xf>
    <xf numFmtId="0" fontId="29" fillId="2" borderId="0" xfId="0" applyFont="1" applyFill="1" applyBorder="1" applyProtection="1"/>
    <xf numFmtId="164" fontId="7" fillId="0" borderId="0" xfId="0" applyNumberFormat="1" applyFont="1" applyFill="1" applyBorder="1" applyAlignment="1" applyProtection="1">
      <alignment horizontal="center"/>
    </xf>
    <xf numFmtId="0" fontId="19" fillId="0" borderId="0" xfId="0" applyFont="1" applyFill="1" applyBorder="1" applyProtection="1"/>
    <xf numFmtId="164" fontId="21" fillId="0" borderId="0" xfId="0" applyNumberFormat="1" applyFont="1" applyFill="1" applyBorder="1" applyAlignment="1" applyProtection="1">
      <alignment horizontal="center"/>
    </xf>
    <xf numFmtId="4" fontId="7" fillId="3" borderId="0" xfId="0" applyNumberFormat="1" applyFont="1" applyFill="1" applyBorder="1" applyAlignment="1" applyProtection="1">
      <alignment horizontal="center" vertical="center"/>
    </xf>
    <xf numFmtId="0" fontId="7" fillId="3" borderId="0" xfId="0" applyFont="1" applyFill="1" applyBorder="1" applyAlignment="1" applyProtection="1"/>
    <xf numFmtId="0" fontId="9" fillId="3" borderId="0" xfId="0" applyFont="1" applyFill="1" applyBorder="1" applyAlignment="1" applyProtection="1"/>
    <xf numFmtId="0" fontId="9" fillId="3" borderId="0" xfId="0" applyFont="1" applyFill="1" applyBorder="1" applyAlignment="1" applyProtection="1">
      <alignment horizontal="center" vertical="center"/>
    </xf>
    <xf numFmtId="0" fontId="12" fillId="3" borderId="0" xfId="0" applyFont="1" applyFill="1" applyBorder="1" applyAlignment="1" applyProtection="1">
      <alignment horizontal="center" vertical="center"/>
    </xf>
    <xf numFmtId="3" fontId="8" fillId="3" borderId="0" xfId="0" applyNumberFormat="1" applyFont="1" applyFill="1" applyBorder="1" applyAlignment="1" applyProtection="1">
      <alignment horizontal="center" vertical="center"/>
    </xf>
    <xf numFmtId="164" fontId="18" fillId="3" borderId="0" xfId="0" applyNumberFormat="1" applyFont="1" applyFill="1" applyBorder="1" applyAlignment="1" applyProtection="1">
      <alignment horizontal="left"/>
    </xf>
    <xf numFmtId="3" fontId="8" fillId="0" borderId="0" xfId="0" applyNumberFormat="1" applyFont="1" applyFill="1" applyBorder="1" applyAlignment="1" applyProtection="1"/>
    <xf numFmtId="0" fontId="30" fillId="3" borderId="0" xfId="0" applyFont="1" applyFill="1" applyBorder="1" applyAlignment="1" applyProtection="1">
      <alignment horizontal="left"/>
    </xf>
    <xf numFmtId="166" fontId="7" fillId="3" borderId="0" xfId="0" applyNumberFormat="1" applyFont="1" applyFill="1" applyBorder="1" applyAlignment="1" applyProtection="1">
      <alignment horizontal="center" vertical="center"/>
    </xf>
    <xf numFmtId="0" fontId="14" fillId="3" borderId="0" xfId="0" applyFont="1" applyFill="1" applyBorder="1" applyAlignment="1" applyProtection="1">
      <alignment horizontal="left"/>
    </xf>
    <xf numFmtId="164" fontId="27" fillId="3" borderId="0" xfId="0" applyNumberFormat="1" applyFont="1" applyFill="1" applyBorder="1" applyAlignment="1" applyProtection="1">
      <alignment horizontal="left"/>
    </xf>
    <xf numFmtId="164" fontId="13" fillId="3" borderId="0" xfId="0" applyNumberFormat="1" applyFont="1" applyFill="1" applyBorder="1" applyAlignment="1" applyProtection="1">
      <alignment horizontal="left"/>
    </xf>
    <xf numFmtId="3" fontId="8" fillId="3" borderId="0" xfId="0" applyNumberFormat="1" applyFont="1" applyFill="1" applyBorder="1" applyAlignment="1" applyProtection="1">
      <alignment horizontal="center"/>
    </xf>
    <xf numFmtId="2" fontId="7" fillId="3" borderId="0" xfId="0" applyNumberFormat="1" applyFont="1" applyFill="1" applyBorder="1" applyAlignment="1" applyProtection="1">
      <alignment horizontal="center"/>
    </xf>
    <xf numFmtId="0" fontId="7" fillId="3" borderId="0" xfId="0" applyFont="1" applyFill="1" applyBorder="1" applyAlignment="1" applyProtection="1">
      <alignment wrapText="1"/>
    </xf>
    <xf numFmtId="0" fontId="22" fillId="3" borderId="0" xfId="0" applyFont="1" applyFill="1" applyBorder="1" applyAlignment="1" applyProtection="1"/>
    <xf numFmtId="4" fontId="7" fillId="3" borderId="0" xfId="0" applyNumberFormat="1" applyFont="1" applyFill="1" applyBorder="1" applyAlignment="1" applyProtection="1">
      <alignment horizontal="center"/>
    </xf>
    <xf numFmtId="0" fontId="29" fillId="3" borderId="0" xfId="0" applyFont="1" applyFill="1" applyBorder="1" applyAlignment="1" applyProtection="1">
      <alignment horizontal="center"/>
    </xf>
    <xf numFmtId="0" fontId="12" fillId="3" borderId="0" xfId="0" applyFont="1" applyFill="1" applyBorder="1" applyAlignment="1" applyProtection="1"/>
    <xf numFmtId="1" fontId="12" fillId="3" borderId="0" xfId="0" applyNumberFormat="1" applyFont="1" applyFill="1" applyBorder="1" applyAlignment="1" applyProtection="1">
      <alignment horizontal="left"/>
    </xf>
    <xf numFmtId="1" fontId="18" fillId="3" borderId="0" xfId="0" applyNumberFormat="1" applyFont="1" applyFill="1" applyBorder="1" applyAlignment="1" applyProtection="1">
      <alignment horizontal="left"/>
    </xf>
    <xf numFmtId="0" fontId="30" fillId="3" borderId="0" xfId="0" applyFont="1" applyFill="1" applyBorder="1" applyProtection="1"/>
    <xf numFmtId="0" fontId="34" fillId="3" borderId="0" xfId="0" applyFont="1" applyFill="1" applyBorder="1" applyProtection="1"/>
    <xf numFmtId="165" fontId="18" fillId="0" borderId="0" xfId="0" applyNumberFormat="1" applyFont="1" applyFill="1" applyBorder="1" applyAlignment="1" applyProtection="1">
      <alignment horizontal="right"/>
    </xf>
    <xf numFmtId="0" fontId="17" fillId="0" borderId="0" xfId="0" applyFont="1" applyFill="1" applyBorder="1" applyAlignment="1" applyProtection="1">
      <alignment horizontal="center"/>
    </xf>
    <xf numFmtId="0" fontId="9" fillId="3" borderId="0" xfId="0" applyFont="1" applyFill="1" applyBorder="1" applyAlignment="1" applyProtection="1">
      <alignment horizontal="center"/>
    </xf>
    <xf numFmtId="0" fontId="34" fillId="3" borderId="0" xfId="0" applyFont="1" applyFill="1" applyBorder="1" applyAlignment="1" applyProtection="1">
      <alignment horizontal="left"/>
    </xf>
    <xf numFmtId="164" fontId="35" fillId="3" borderId="0" xfId="0" applyNumberFormat="1" applyFont="1" applyFill="1" applyBorder="1" applyAlignment="1" applyProtection="1">
      <alignment horizontal="left"/>
    </xf>
    <xf numFmtId="0" fontId="12" fillId="0" borderId="0" xfId="0" applyFont="1" applyFill="1" applyBorder="1" applyAlignment="1" applyProtection="1">
      <alignment horizontal="left"/>
    </xf>
    <xf numFmtId="0" fontId="7" fillId="3" borderId="0" xfId="0" applyFont="1" applyFill="1" applyBorder="1" applyAlignment="1" applyProtection="1">
      <alignment horizontal="left"/>
    </xf>
    <xf numFmtId="0" fontId="6" fillId="3" borderId="0" xfId="0" applyFont="1" applyFill="1" applyBorder="1" applyAlignment="1" applyProtection="1">
      <alignment horizontal="left" vertical="top" wrapText="1"/>
    </xf>
    <xf numFmtId="0" fontId="7" fillId="0" borderId="0" xfId="0" applyFont="1" applyFill="1" applyBorder="1" applyAlignment="1" applyProtection="1">
      <alignment horizontal="left"/>
    </xf>
    <xf numFmtId="0" fontId="19" fillId="0" borderId="0" xfId="0" applyFont="1" applyFill="1" applyBorder="1" applyAlignment="1" applyProtection="1">
      <alignment horizontal="center"/>
    </xf>
    <xf numFmtId="0" fontId="8" fillId="0" borderId="0" xfId="0" applyFont="1" applyFill="1" applyBorder="1" applyAlignment="1" applyProtection="1">
      <alignment horizontal="center"/>
    </xf>
    <xf numFmtId="0" fontId="8" fillId="3" borderId="0" xfId="0" applyFont="1" applyFill="1" applyBorder="1" applyAlignment="1" applyProtection="1">
      <alignment horizontal="center"/>
    </xf>
    <xf numFmtId="0" fontId="17" fillId="3" borderId="0" xfId="0" applyFont="1" applyFill="1" applyBorder="1" applyAlignment="1" applyProtection="1"/>
    <xf numFmtId="0" fontId="7" fillId="0" borderId="0" xfId="1" applyFont="1" applyProtection="1"/>
    <xf numFmtId="0" fontId="36" fillId="0" borderId="0" xfId="1"/>
    <xf numFmtId="0" fontId="7" fillId="0" borderId="0" xfId="1" applyFont="1"/>
    <xf numFmtId="0" fontId="28" fillId="0" borderId="0" xfId="1" applyFont="1" applyFill="1"/>
    <xf numFmtId="0" fontId="28" fillId="0" borderId="0" xfId="1" applyFont="1"/>
    <xf numFmtId="0" fontId="5" fillId="4" borderId="3" xfId="1" applyFont="1" applyFill="1" applyBorder="1" applyAlignment="1">
      <alignment horizontal="center"/>
    </xf>
    <xf numFmtId="0" fontId="5" fillId="4" borderId="3" xfId="1" applyFont="1" applyFill="1" applyBorder="1" applyAlignment="1">
      <alignment horizontal="left"/>
    </xf>
    <xf numFmtId="0" fontId="1" fillId="0" borderId="3" xfId="1" applyFont="1" applyBorder="1"/>
    <xf numFmtId="0" fontId="7" fillId="0" borderId="3" xfId="1" applyFont="1" applyBorder="1" applyAlignment="1">
      <alignment horizontal="center"/>
    </xf>
    <xf numFmtId="14" fontId="7" fillId="0" borderId="3" xfId="1" applyNumberFormat="1" applyFont="1" applyBorder="1" applyAlignment="1">
      <alignment horizontal="center"/>
    </xf>
    <xf numFmtId="0" fontId="7" fillId="0" borderId="3" xfId="1" applyFont="1" applyBorder="1"/>
    <xf numFmtId="0" fontId="0" fillId="0" borderId="0" xfId="0" applyAlignment="1" applyProtection="1">
      <alignment horizontal="center" vertical="top"/>
    </xf>
    <xf numFmtId="0" fontId="1" fillId="0" borderId="0" xfId="0" applyFont="1" applyAlignment="1" applyProtection="1">
      <alignment vertical="top" wrapText="1"/>
    </xf>
    <xf numFmtId="0" fontId="1" fillId="0" borderId="0" xfId="0" applyFont="1" applyAlignment="1" applyProtection="1">
      <alignment horizontal="center" vertical="top"/>
    </xf>
    <xf numFmtId="0" fontId="1" fillId="0" borderId="0" xfId="0" applyFont="1" applyProtection="1"/>
    <xf numFmtId="0" fontId="1" fillId="0" borderId="0" xfId="0" applyFont="1" applyFill="1" applyAlignment="1" applyProtection="1">
      <alignment horizontal="center" vertical="top"/>
    </xf>
    <xf numFmtId="0" fontId="1" fillId="0" borderId="0" xfId="0" applyFont="1" applyFill="1" applyAlignment="1" applyProtection="1">
      <alignment vertical="top" wrapText="1"/>
    </xf>
    <xf numFmtId="0" fontId="5" fillId="0" borderId="0" xfId="0" applyFont="1" applyFill="1" applyAlignment="1" applyProtection="1">
      <alignment horizontal="center" vertical="top"/>
    </xf>
    <xf numFmtId="0" fontId="4" fillId="0" borderId="0" xfId="0" applyFont="1" applyFill="1" applyAlignment="1" applyProtection="1">
      <alignment horizontal="center" vertical="top"/>
    </xf>
    <xf numFmtId="0" fontId="31" fillId="0" borderId="0" xfId="0" applyFont="1" applyFill="1" applyProtection="1"/>
    <xf numFmtId="0" fontId="31" fillId="0" borderId="0" xfId="0" applyFont="1" applyProtection="1"/>
    <xf numFmtId="0" fontId="7" fillId="0" borderId="0" xfId="1" applyFont="1" applyProtection="1">
      <protection locked="0"/>
    </xf>
    <xf numFmtId="0" fontId="7" fillId="0" borderId="0" xfId="0" applyFont="1" applyAlignment="1" applyProtection="1">
      <alignment horizontal="center"/>
      <protection locked="0"/>
    </xf>
    <xf numFmtId="0" fontId="7" fillId="0" borderId="0" xfId="0" applyFont="1" applyProtection="1">
      <protection locked="0"/>
    </xf>
    <xf numFmtId="0" fontId="7" fillId="0" borderId="0" xfId="0" applyFont="1" applyAlignment="1" applyProtection="1">
      <alignment horizontal="left"/>
      <protection locked="0"/>
    </xf>
    <xf numFmtId="0" fontId="7" fillId="2" borderId="0" xfId="0" applyFont="1" applyFill="1" applyBorder="1" applyProtection="1">
      <protection locked="0"/>
    </xf>
    <xf numFmtId="0" fontId="8" fillId="2" borderId="0" xfId="0" applyFont="1" applyFill="1" applyBorder="1" applyAlignment="1" applyProtection="1">
      <alignment horizontal="center"/>
      <protection locked="0"/>
    </xf>
    <xf numFmtId="0" fontId="8" fillId="2" borderId="0" xfId="0" applyFont="1" applyFill="1" applyBorder="1" applyAlignment="1" applyProtection="1">
      <alignment horizontal="left"/>
      <protection locked="0"/>
    </xf>
    <xf numFmtId="0" fontId="6" fillId="2" borderId="0" xfId="0" applyFont="1" applyFill="1" applyBorder="1" applyProtection="1">
      <protection locked="0"/>
    </xf>
    <xf numFmtId="0" fontId="29" fillId="2" borderId="0" xfId="0" applyFont="1" applyFill="1" applyBorder="1" applyAlignment="1" applyProtection="1">
      <alignment horizontal="center"/>
      <protection locked="0"/>
    </xf>
    <xf numFmtId="0" fontId="29" fillId="2" borderId="0" xfId="0" applyFont="1" applyFill="1" applyBorder="1" applyAlignment="1" applyProtection="1">
      <alignment horizontal="left"/>
      <protection locked="0"/>
    </xf>
    <xf numFmtId="0" fontId="29" fillId="2" borderId="0" xfId="0" applyFont="1" applyFill="1" applyBorder="1" applyAlignment="1" applyProtection="1">
      <protection locked="0"/>
    </xf>
    <xf numFmtId="0" fontId="29" fillId="0" borderId="0" xfId="0" applyFont="1" applyAlignment="1" applyProtection="1">
      <protection locked="0"/>
    </xf>
    <xf numFmtId="0" fontId="7" fillId="0" borderId="0" xfId="0" applyFont="1" applyAlignment="1" applyProtection="1">
      <protection locked="0"/>
    </xf>
    <xf numFmtId="165" fontId="7" fillId="2" borderId="0" xfId="0" applyNumberFormat="1" applyFont="1" applyFill="1" applyBorder="1" applyAlignment="1" applyProtection="1">
      <alignment horizontal="center"/>
      <protection locked="0"/>
    </xf>
    <xf numFmtId="1" fontId="7" fillId="2" borderId="0" xfId="0" applyNumberFormat="1" applyFont="1" applyFill="1" applyBorder="1" applyAlignment="1" applyProtection="1">
      <alignment horizontal="center"/>
      <protection locked="0"/>
    </xf>
    <xf numFmtId="0" fontId="7" fillId="2" borderId="0" xfId="0" applyFont="1" applyFill="1" applyBorder="1" applyAlignment="1" applyProtection="1">
      <alignment horizontal="right"/>
      <protection locked="0"/>
    </xf>
    <xf numFmtId="0" fontId="8" fillId="2" borderId="0" xfId="0" applyFont="1" applyFill="1" applyBorder="1" applyAlignment="1" applyProtection="1">
      <protection locked="0"/>
    </xf>
    <xf numFmtId="0" fontId="6" fillId="0" borderId="0" xfId="0" applyFont="1" applyFill="1" applyBorder="1" applyProtection="1">
      <protection locked="0"/>
    </xf>
    <xf numFmtId="0" fontId="7" fillId="0" borderId="0" xfId="0" applyFont="1" applyFill="1" applyBorder="1" applyAlignment="1" applyProtection="1">
      <alignment horizontal="center"/>
      <protection locked="0"/>
    </xf>
    <xf numFmtId="0" fontId="7" fillId="0" borderId="0" xfId="0" applyFont="1" applyFill="1" applyBorder="1" applyProtection="1">
      <protection locked="0"/>
    </xf>
    <xf numFmtId="0" fontId="8" fillId="0" borderId="0" xfId="0" applyFont="1" applyFill="1" applyBorder="1" applyAlignment="1" applyProtection="1">
      <alignment horizontal="center"/>
      <protection locked="0"/>
    </xf>
    <xf numFmtId="0" fontId="8" fillId="0" borderId="0" xfId="0" applyFont="1" applyFill="1" applyBorder="1" applyAlignment="1" applyProtection="1">
      <protection locked="0"/>
    </xf>
    <xf numFmtId="0" fontId="28" fillId="0" borderId="0" xfId="1" applyFont="1" applyFill="1" applyProtection="1">
      <protection locked="0"/>
    </xf>
    <xf numFmtId="0" fontId="7" fillId="0" borderId="0" xfId="0" applyFont="1" applyFill="1" applyBorder="1" applyAlignment="1" applyProtection="1">
      <alignment vertical="top" wrapText="1"/>
      <protection locked="0"/>
    </xf>
    <xf numFmtId="0" fontId="7" fillId="0" borderId="0" xfId="0" applyFont="1" applyFill="1" applyBorder="1" applyAlignment="1" applyProtection="1">
      <protection locked="0"/>
    </xf>
    <xf numFmtId="164" fontId="7" fillId="0" borderId="0" xfId="0" applyNumberFormat="1" applyFont="1" applyFill="1" applyBorder="1" applyAlignment="1" applyProtection="1">
      <protection locked="0"/>
    </xf>
    <xf numFmtId="0" fontId="28" fillId="0" borderId="0" xfId="1" applyFont="1" applyProtection="1">
      <protection locked="0"/>
    </xf>
    <xf numFmtId="0" fontId="7" fillId="0" borderId="0" xfId="0" applyFont="1" applyFill="1" applyBorder="1" applyAlignment="1" applyProtection="1">
      <alignment horizontal="left"/>
      <protection locked="0"/>
    </xf>
    <xf numFmtId="0" fontId="7" fillId="0" borderId="0" xfId="0" applyFont="1" applyFill="1" applyBorder="1" applyAlignment="1" applyProtection="1">
      <alignment horizontal="center" vertical="center"/>
      <protection locked="0"/>
    </xf>
    <xf numFmtId="0" fontId="14" fillId="0" borderId="0" xfId="0" applyFont="1" applyFill="1" applyBorder="1" applyProtection="1">
      <protection locked="0"/>
    </xf>
    <xf numFmtId="0" fontId="12" fillId="0" borderId="0" xfId="0" applyFont="1" applyFill="1" applyBorder="1" applyAlignment="1" applyProtection="1">
      <alignment horizontal="center"/>
      <protection locked="0"/>
    </xf>
    <xf numFmtId="0" fontId="12" fillId="0" borderId="0" xfId="0" applyFont="1" applyFill="1" applyBorder="1" applyProtection="1">
      <protection locked="0"/>
    </xf>
    <xf numFmtId="0" fontId="12" fillId="0" borderId="0" xfId="0" applyFont="1" applyFill="1" applyBorder="1" applyAlignment="1" applyProtection="1">
      <protection locked="0"/>
    </xf>
    <xf numFmtId="164" fontId="12" fillId="0" borderId="0" xfId="0" applyNumberFormat="1" applyFont="1" applyFill="1" applyBorder="1" applyAlignment="1" applyProtection="1">
      <alignment horizontal="center"/>
      <protection locked="0"/>
    </xf>
    <xf numFmtId="164" fontId="13" fillId="0" borderId="0" xfId="0" applyNumberFormat="1" applyFont="1" applyFill="1" applyBorder="1" applyAlignment="1" applyProtection="1">
      <protection locked="0"/>
    </xf>
    <xf numFmtId="0" fontId="12" fillId="0" borderId="0" xfId="0" applyFont="1" applyFill="1" applyBorder="1" applyAlignment="1" applyProtection="1">
      <alignment horizontal="right"/>
      <protection locked="0"/>
    </xf>
    <xf numFmtId="2" fontId="12" fillId="0" borderId="0" xfId="0" applyNumberFormat="1" applyFont="1" applyFill="1" applyBorder="1" applyAlignment="1" applyProtection="1">
      <alignment horizontal="center"/>
      <protection locked="0"/>
    </xf>
    <xf numFmtId="164" fontId="13" fillId="0" borderId="0" xfId="0" applyNumberFormat="1" applyFont="1" applyFill="1" applyBorder="1" applyAlignment="1" applyProtection="1">
      <alignment horizontal="left"/>
      <protection locked="0"/>
    </xf>
    <xf numFmtId="0" fontId="12" fillId="0" borderId="1" xfId="0" applyFont="1" applyFill="1" applyBorder="1" applyAlignment="1" applyProtection="1">
      <alignment horizontal="center"/>
      <protection locked="0"/>
    </xf>
    <xf numFmtId="165" fontId="12" fillId="0" borderId="0" xfId="0" applyNumberFormat="1" applyFont="1" applyFill="1" applyBorder="1" applyAlignment="1" applyProtection="1">
      <alignment horizontal="center"/>
      <protection locked="0"/>
    </xf>
    <xf numFmtId="165" fontId="12" fillId="0" borderId="1" xfId="0" applyNumberFormat="1" applyFont="1" applyFill="1" applyBorder="1" applyAlignment="1" applyProtection="1">
      <alignment horizontal="center"/>
      <protection locked="0"/>
    </xf>
    <xf numFmtId="164" fontId="13" fillId="0" borderId="0" xfId="0" applyNumberFormat="1" applyFont="1" applyFill="1" applyBorder="1" applyAlignment="1" applyProtection="1">
      <alignment horizontal="center"/>
      <protection locked="0"/>
    </xf>
    <xf numFmtId="0" fontId="8" fillId="0" borderId="0" xfId="0" applyFont="1" applyFill="1" applyBorder="1" applyProtection="1">
      <protection locked="0"/>
    </xf>
    <xf numFmtId="164" fontId="8" fillId="0" borderId="0" xfId="0" applyNumberFormat="1" applyFont="1" applyFill="1" applyBorder="1" applyAlignment="1" applyProtection="1">
      <alignment horizontal="center"/>
      <protection locked="0"/>
    </xf>
    <xf numFmtId="164" fontId="8" fillId="0" borderId="0" xfId="0" applyNumberFormat="1" applyFont="1" applyFill="1" applyBorder="1" applyAlignment="1" applyProtection="1">
      <alignment horizontal="left"/>
      <protection locked="0"/>
    </xf>
    <xf numFmtId="3" fontId="8" fillId="0" borderId="0" xfId="0" applyNumberFormat="1" applyFont="1" applyFill="1" applyBorder="1" applyAlignment="1" applyProtection="1">
      <alignment horizontal="center"/>
      <protection locked="0"/>
    </xf>
    <xf numFmtId="0" fontId="17" fillId="0" borderId="0" xfId="0" applyFont="1" applyFill="1" applyBorder="1" applyAlignment="1" applyProtection="1">
      <protection locked="0"/>
    </xf>
    <xf numFmtId="165" fontId="18" fillId="0" borderId="0" xfId="0" applyNumberFormat="1" applyFont="1" applyFill="1" applyBorder="1" applyAlignment="1" applyProtection="1">
      <alignment horizontal="center"/>
      <protection locked="0"/>
    </xf>
    <xf numFmtId="164" fontId="18" fillId="0" borderId="0" xfId="0" applyNumberFormat="1" applyFont="1" applyFill="1" applyBorder="1" applyAlignment="1" applyProtection="1">
      <alignment horizontal="left"/>
      <protection locked="0"/>
    </xf>
    <xf numFmtId="0" fontId="8" fillId="0" borderId="0" xfId="0" applyFont="1" applyFill="1" applyBorder="1" applyAlignment="1" applyProtection="1">
      <alignment horizontal="left"/>
      <protection locked="0"/>
    </xf>
    <xf numFmtId="0" fontId="7" fillId="0" borderId="0" xfId="0" applyFont="1" applyAlignment="1" applyProtection="1">
      <alignment horizontal="center" vertical="center"/>
      <protection locked="0"/>
    </xf>
    <xf numFmtId="0" fontId="6" fillId="2" borderId="0" xfId="0" applyFont="1" applyFill="1" applyBorder="1" applyAlignment="1" applyProtection="1">
      <alignment horizontal="left" vertical="top" wrapText="1"/>
      <protection locked="0"/>
    </xf>
    <xf numFmtId="0" fontId="8" fillId="2" borderId="0" xfId="0" applyFont="1" applyFill="1" applyBorder="1" applyProtection="1">
      <protection locked="0"/>
    </xf>
    <xf numFmtId="0" fontId="7" fillId="2" borderId="0" xfId="0" applyFont="1" applyFill="1" applyBorder="1" applyAlignment="1" applyProtection="1">
      <alignment horizontal="left"/>
      <protection locked="0"/>
    </xf>
    <xf numFmtId="164" fontId="7" fillId="2" borderId="0" xfId="0" applyNumberFormat="1" applyFont="1" applyFill="1" applyBorder="1" applyAlignment="1" applyProtection="1">
      <alignment horizontal="center"/>
      <protection locked="0"/>
    </xf>
    <xf numFmtId="0" fontId="29" fillId="2" borderId="0" xfId="0" applyFont="1" applyFill="1" applyBorder="1" applyProtection="1">
      <protection locked="0"/>
    </xf>
    <xf numFmtId="0" fontId="9" fillId="0" borderId="0" xfId="0" applyFont="1" applyFill="1" applyBorder="1" applyAlignment="1" applyProtection="1">
      <protection locked="0"/>
    </xf>
    <xf numFmtId="0" fontId="12" fillId="0" borderId="0" xfId="0" applyFont="1" applyFill="1" applyBorder="1" applyAlignment="1" applyProtection="1">
      <alignment horizontal="left"/>
      <protection locked="0"/>
    </xf>
    <xf numFmtId="3" fontId="8" fillId="0" borderId="0" xfId="0" applyNumberFormat="1" applyFont="1" applyFill="1" applyBorder="1" applyAlignment="1" applyProtection="1">
      <protection locked="0"/>
    </xf>
    <xf numFmtId="164" fontId="18" fillId="0" borderId="0" xfId="0" applyNumberFormat="1" applyFont="1" applyFill="1" applyBorder="1" applyAlignment="1" applyProtection="1">
      <alignment horizontal="center"/>
      <protection locked="0"/>
    </xf>
    <xf numFmtId="0" fontId="6" fillId="0" borderId="0" xfId="0" applyFont="1" applyAlignment="1" applyProtection="1">
      <alignment horizontal="center"/>
      <protection locked="0"/>
    </xf>
    <xf numFmtId="0" fontId="6" fillId="2" borderId="0" xfId="0" applyFont="1" applyFill="1" applyBorder="1" applyAlignment="1" applyProtection="1">
      <alignment horizontal="left"/>
      <protection locked="0"/>
    </xf>
    <xf numFmtId="0" fontId="7" fillId="0" borderId="0" xfId="0" quotePrefix="1" applyFont="1" applyProtection="1">
      <protection locked="0"/>
    </xf>
    <xf numFmtId="164" fontId="7" fillId="0" borderId="0" xfId="0" applyNumberFormat="1" applyFont="1" applyAlignment="1" applyProtection="1">
      <alignment horizontal="center"/>
      <protection locked="0"/>
    </xf>
    <xf numFmtId="2" fontId="7" fillId="0" borderId="0" xfId="0" applyNumberFormat="1" applyFont="1" applyAlignment="1" applyProtection="1">
      <alignment horizontal="center"/>
      <protection locked="0"/>
    </xf>
    <xf numFmtId="164" fontId="7" fillId="2" borderId="0" xfId="0" applyNumberFormat="1" applyFont="1" applyFill="1" applyBorder="1" applyAlignment="1" applyProtection="1">
      <alignment horizontal="center" vertical="center"/>
      <protection locked="0"/>
    </xf>
    <xf numFmtId="166" fontId="7" fillId="2" borderId="0" xfId="0" applyNumberFormat="1" applyFont="1" applyFill="1" applyBorder="1" applyAlignment="1" applyProtection="1">
      <alignment horizontal="center" vertical="center"/>
      <protection locked="0"/>
    </xf>
    <xf numFmtId="0" fontId="12" fillId="2" borderId="0" xfId="0" applyFont="1" applyFill="1" applyBorder="1" applyAlignment="1" applyProtection="1">
      <alignment horizontal="left"/>
      <protection locked="0"/>
    </xf>
    <xf numFmtId="165" fontId="7" fillId="2" borderId="0" xfId="0" applyNumberFormat="1" applyFont="1" applyFill="1" applyBorder="1" applyAlignment="1" applyProtection="1">
      <alignment horizontal="center" vertical="center"/>
      <protection locked="0"/>
    </xf>
    <xf numFmtId="0" fontId="7" fillId="2" borderId="0" xfId="0" applyFont="1" applyFill="1" applyBorder="1" applyAlignment="1" applyProtection="1">
      <protection locked="0"/>
    </xf>
    <xf numFmtId="0" fontId="7" fillId="2" borderId="0" xfId="0" applyFont="1" applyFill="1" applyBorder="1" applyAlignment="1" applyProtection="1">
      <alignment wrapText="1"/>
      <protection locked="0"/>
    </xf>
    <xf numFmtId="0" fontId="7" fillId="2" borderId="0" xfId="0" applyFont="1" applyFill="1" applyBorder="1" applyAlignment="1" applyProtection="1">
      <alignment horizontal="center" vertical="center" wrapText="1"/>
      <protection locked="0"/>
    </xf>
    <xf numFmtId="0" fontId="22" fillId="2" borderId="0" xfId="0" applyFont="1" applyFill="1" applyBorder="1" applyAlignment="1" applyProtection="1">
      <protection locked="0"/>
    </xf>
    <xf numFmtId="0" fontId="29" fillId="0" borderId="0" xfId="0" applyFont="1" applyProtection="1">
      <protection locked="0"/>
    </xf>
    <xf numFmtId="0" fontId="9" fillId="2" borderId="0" xfId="0" applyFont="1" applyFill="1" applyBorder="1" applyAlignment="1" applyProtection="1">
      <protection locked="0"/>
    </xf>
    <xf numFmtId="0" fontId="9" fillId="2" borderId="0" xfId="0" applyFont="1" applyFill="1" applyBorder="1" applyAlignment="1" applyProtection="1">
      <alignment horizontal="center"/>
      <protection locked="0"/>
    </xf>
    <xf numFmtId="3" fontId="7" fillId="2" borderId="0" xfId="0" applyNumberFormat="1" applyFont="1" applyFill="1" applyBorder="1" applyAlignment="1" applyProtection="1">
      <alignment horizontal="center"/>
      <protection locked="0"/>
    </xf>
    <xf numFmtId="164" fontId="29" fillId="2" borderId="0" xfId="0" applyNumberFormat="1" applyFont="1" applyFill="1" applyBorder="1" applyAlignment="1" applyProtection="1">
      <alignment horizontal="left"/>
      <protection locked="0"/>
    </xf>
    <xf numFmtId="0" fontId="0" fillId="0" borderId="0" xfId="0" applyProtection="1"/>
    <xf numFmtId="0" fontId="6" fillId="0" borderId="0" xfId="0" applyFont="1" applyFill="1" applyAlignment="1" applyProtection="1">
      <alignment horizontal="center" vertical="top" wrapText="1"/>
    </xf>
    <xf numFmtId="0" fontId="29" fillId="0" borderId="0" xfId="0" applyFont="1" applyFill="1" applyAlignment="1" applyProtection="1">
      <alignment horizontal="center"/>
    </xf>
    <xf numFmtId="0" fontId="6" fillId="0" borderId="2" xfId="0" applyFont="1" applyFill="1" applyBorder="1" applyAlignment="1" applyProtection="1">
      <alignment horizontal="center" vertical="top" wrapText="1"/>
    </xf>
    <xf numFmtId="0" fontId="29" fillId="0" borderId="2" xfId="0" applyFont="1" applyFill="1" applyBorder="1" applyAlignment="1" applyProtection="1">
      <alignment horizontal="center"/>
    </xf>
    <xf numFmtId="0" fontId="5" fillId="0" borderId="0" xfId="0" applyFont="1" applyFill="1" applyAlignment="1" applyProtection="1">
      <alignment horizontal="left" vertical="top"/>
    </xf>
    <xf numFmtId="0" fontId="12" fillId="0" borderId="0" xfId="0" applyFont="1" applyFill="1" applyBorder="1" applyAlignment="1" applyProtection="1">
      <alignment horizontal="left"/>
      <protection locked="0"/>
    </xf>
    <xf numFmtId="0" fontId="7" fillId="3" borderId="0" xfId="0" applyFont="1" applyFill="1" applyBorder="1" applyAlignment="1" applyProtection="1">
      <alignment horizontal="left"/>
    </xf>
    <xf numFmtId="0" fontId="6" fillId="3" borderId="0" xfId="0" applyFont="1" applyFill="1" applyBorder="1" applyAlignment="1" applyProtection="1">
      <alignment horizontal="left" vertical="top" wrapText="1"/>
    </xf>
    <xf numFmtId="0" fontId="7" fillId="0" borderId="0" xfId="0" applyFont="1" applyFill="1" applyBorder="1" applyAlignment="1" applyProtection="1">
      <alignment horizontal="left"/>
      <protection locked="0"/>
    </xf>
    <xf numFmtId="0" fontId="6" fillId="2" borderId="0" xfId="0" applyFont="1" applyFill="1" applyBorder="1" applyAlignment="1" applyProtection="1">
      <alignment horizontal="left" vertical="top" wrapText="1"/>
      <protection locked="0"/>
    </xf>
    <xf numFmtId="0" fontId="6" fillId="2" borderId="0" xfId="0" applyFont="1" applyFill="1" applyBorder="1" applyAlignment="1" applyProtection="1">
      <alignment horizontal="left" vertical="top" wrapText="1"/>
    </xf>
    <xf numFmtId="0" fontId="19" fillId="0" borderId="0" xfId="0" applyFont="1" applyFill="1" applyBorder="1" applyAlignment="1" applyProtection="1">
      <alignment horizontal="center"/>
    </xf>
    <xf numFmtId="0" fontId="20" fillId="0" borderId="0" xfId="0" applyFont="1" applyFill="1" applyBorder="1" applyAlignment="1" applyProtection="1"/>
    <xf numFmtId="0" fontId="6" fillId="2" borderId="0" xfId="0" applyFont="1" applyFill="1" applyBorder="1" applyAlignment="1" applyProtection="1">
      <alignment horizontal="left"/>
    </xf>
    <xf numFmtId="3" fontId="19" fillId="0" borderId="0" xfId="0" applyNumberFormat="1" applyFont="1" applyFill="1" applyBorder="1" applyAlignment="1" applyProtection="1">
      <alignment horizontal="center"/>
    </xf>
    <xf numFmtId="0" fontId="8" fillId="0" borderId="0" xfId="0" applyFont="1" applyFill="1" applyBorder="1" applyAlignment="1" applyProtection="1">
      <alignment horizontal="center"/>
    </xf>
    <xf numFmtId="0" fontId="17" fillId="0" borderId="0" xfId="0" applyFont="1" applyFill="1" applyBorder="1" applyAlignment="1" applyProtection="1"/>
    <xf numFmtId="0" fontId="8" fillId="3" borderId="0" xfId="0" applyFont="1" applyFill="1" applyBorder="1" applyAlignment="1" applyProtection="1">
      <alignment horizontal="center"/>
    </xf>
    <xf numFmtId="0" fontId="17" fillId="3" borderId="0" xfId="0" applyFont="1" applyFill="1" applyBorder="1" applyAlignment="1" applyProtection="1"/>
    <xf numFmtId="0" fontId="8" fillId="0" borderId="0" xfId="0" applyFont="1" applyFill="1" applyBorder="1" applyAlignment="1" applyProtection="1">
      <alignment horizontal="center"/>
      <protection locked="0"/>
    </xf>
    <xf numFmtId="0" fontId="17" fillId="0" borderId="0" xfId="0" applyFont="1" applyFill="1" applyBorder="1" applyAlignment="1" applyProtection="1">
      <protection locked="0"/>
    </xf>
  </cellXfs>
  <cellStyles count="2">
    <cellStyle name="Normal" xfId="0" builtinId="0"/>
    <cellStyle name="Normal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95249</xdr:colOff>
      <xdr:row>4</xdr:row>
      <xdr:rowOff>76200</xdr:rowOff>
    </xdr:from>
    <xdr:to>
      <xdr:col>10</xdr:col>
      <xdr:colOff>180974</xdr:colOff>
      <xdr:row>45</xdr:row>
      <xdr:rowOff>122846</xdr:rowOff>
    </xdr:to>
    <xdr:pic>
      <xdr:nvPicPr>
        <xdr:cNvPr id="2" name="Picture 1"/>
        <xdr:cNvPicPr>
          <a:picLocks noChangeAspect="1"/>
        </xdr:cNvPicPr>
      </xdr:nvPicPr>
      <xdr:blipFill>
        <a:blip xmlns:r="http://schemas.openxmlformats.org/officeDocument/2006/relationships" r:embed="rId1"/>
        <a:stretch>
          <a:fillRect/>
        </a:stretch>
      </xdr:blipFill>
      <xdr:spPr>
        <a:xfrm>
          <a:off x="95249" y="76200"/>
          <a:ext cx="6181725" cy="7857146"/>
        </a:xfrm>
        <a:prstGeom prst="rect">
          <a:avLst/>
        </a:prstGeom>
      </xdr:spPr>
    </xdr:pic>
    <xdr:clientData/>
  </xdr:twoCellAnchor>
  <xdr:twoCellAnchor editAs="oneCell">
    <xdr:from>
      <xdr:col>10</xdr:col>
      <xdr:colOff>114300</xdr:colOff>
      <xdr:row>4</xdr:row>
      <xdr:rowOff>28575</xdr:rowOff>
    </xdr:from>
    <xdr:to>
      <xdr:col>19</xdr:col>
      <xdr:colOff>408853</xdr:colOff>
      <xdr:row>35</xdr:row>
      <xdr:rowOff>113552</xdr:rowOff>
    </xdr:to>
    <xdr:pic>
      <xdr:nvPicPr>
        <xdr:cNvPr id="3" name="Picture 2"/>
        <xdr:cNvPicPr>
          <a:picLocks noChangeAspect="1"/>
        </xdr:cNvPicPr>
      </xdr:nvPicPr>
      <xdr:blipFill>
        <a:blip xmlns:r="http://schemas.openxmlformats.org/officeDocument/2006/relationships" r:embed="rId2"/>
        <a:stretch>
          <a:fillRect/>
        </a:stretch>
      </xdr:blipFill>
      <xdr:spPr>
        <a:xfrm>
          <a:off x="6210300" y="28575"/>
          <a:ext cx="5780953" cy="5990477"/>
        </a:xfrm>
        <a:prstGeom prst="rect">
          <a:avLst/>
        </a:prstGeom>
      </xdr:spPr>
    </xdr:pic>
    <xdr:clientData/>
  </xdr:twoCellAnchor>
  <xdr:twoCellAnchor editAs="oneCell">
    <xdr:from>
      <xdr:col>19</xdr:col>
      <xdr:colOff>342901</xdr:colOff>
      <xdr:row>5</xdr:row>
      <xdr:rowOff>171450</xdr:rowOff>
    </xdr:from>
    <xdr:to>
      <xdr:col>31</xdr:col>
      <xdr:colOff>237207</xdr:colOff>
      <xdr:row>35</xdr:row>
      <xdr:rowOff>66675</xdr:rowOff>
    </xdr:to>
    <xdr:pic>
      <xdr:nvPicPr>
        <xdr:cNvPr id="4" name="Picture 3"/>
        <xdr:cNvPicPr>
          <a:picLocks noChangeAspect="1"/>
        </xdr:cNvPicPr>
      </xdr:nvPicPr>
      <xdr:blipFill>
        <a:blip xmlns:r="http://schemas.openxmlformats.org/officeDocument/2006/relationships" r:embed="rId3"/>
        <a:stretch>
          <a:fillRect/>
        </a:stretch>
      </xdr:blipFill>
      <xdr:spPr>
        <a:xfrm>
          <a:off x="11925301" y="361950"/>
          <a:ext cx="7209506" cy="5610225"/>
        </a:xfrm>
        <a:prstGeom prst="rect">
          <a:avLst/>
        </a:prstGeom>
      </xdr:spPr>
    </xdr:pic>
    <xdr:clientData/>
  </xdr:twoCellAnchor>
  <xdr:twoCellAnchor editAs="oneCell">
    <xdr:from>
      <xdr:col>0</xdr:col>
      <xdr:colOff>66675</xdr:colOff>
      <xdr:row>47</xdr:row>
      <xdr:rowOff>114301</xdr:rowOff>
    </xdr:from>
    <xdr:to>
      <xdr:col>13</xdr:col>
      <xdr:colOff>209420</xdr:colOff>
      <xdr:row>66</xdr:row>
      <xdr:rowOff>28575</xdr:rowOff>
    </xdr:to>
    <xdr:pic>
      <xdr:nvPicPr>
        <xdr:cNvPr id="5" name="Picture 4"/>
        <xdr:cNvPicPr>
          <a:picLocks noChangeAspect="1"/>
        </xdr:cNvPicPr>
      </xdr:nvPicPr>
      <xdr:blipFill>
        <a:blip xmlns:r="http://schemas.openxmlformats.org/officeDocument/2006/relationships" r:embed="rId4"/>
        <a:stretch>
          <a:fillRect/>
        </a:stretch>
      </xdr:blipFill>
      <xdr:spPr>
        <a:xfrm>
          <a:off x="66675" y="8305801"/>
          <a:ext cx="8067545" cy="3533774"/>
        </a:xfrm>
        <a:prstGeom prst="rect">
          <a:avLst/>
        </a:prstGeom>
      </xdr:spPr>
    </xdr:pic>
    <xdr:clientData/>
  </xdr:twoCellAnchor>
  <xdr:twoCellAnchor editAs="oneCell">
    <xdr:from>
      <xdr:col>13</xdr:col>
      <xdr:colOff>371475</xdr:colOff>
      <xdr:row>46</xdr:row>
      <xdr:rowOff>152400</xdr:rowOff>
    </xdr:from>
    <xdr:to>
      <xdr:col>29</xdr:col>
      <xdr:colOff>422959</xdr:colOff>
      <xdr:row>71</xdr:row>
      <xdr:rowOff>161925</xdr:rowOff>
    </xdr:to>
    <xdr:pic>
      <xdr:nvPicPr>
        <xdr:cNvPr id="6" name="Picture 5"/>
        <xdr:cNvPicPr>
          <a:picLocks noChangeAspect="1"/>
        </xdr:cNvPicPr>
      </xdr:nvPicPr>
      <xdr:blipFill>
        <a:blip xmlns:r="http://schemas.openxmlformats.org/officeDocument/2006/relationships" r:embed="rId5"/>
        <a:stretch>
          <a:fillRect/>
        </a:stretch>
      </xdr:blipFill>
      <xdr:spPr>
        <a:xfrm>
          <a:off x="8296275" y="8153400"/>
          <a:ext cx="9805084" cy="4772025"/>
        </a:xfrm>
        <a:prstGeom prst="rect">
          <a:avLst/>
        </a:prstGeom>
      </xdr:spPr>
    </xdr:pic>
    <xdr:clientData/>
  </xdr:twoCellAnchor>
  <xdr:twoCellAnchor editAs="oneCell">
    <xdr:from>
      <xdr:col>10</xdr:col>
      <xdr:colOff>295275</xdr:colOff>
      <xdr:row>35</xdr:row>
      <xdr:rowOff>38100</xdr:rowOff>
    </xdr:from>
    <xdr:to>
      <xdr:col>23</xdr:col>
      <xdr:colOff>57150</xdr:colOff>
      <xdr:row>48</xdr:row>
      <xdr:rowOff>49031</xdr:rowOff>
    </xdr:to>
    <xdr:pic>
      <xdr:nvPicPr>
        <xdr:cNvPr id="7" name="Picture 6"/>
        <xdr:cNvPicPr>
          <a:picLocks noChangeAspect="1"/>
        </xdr:cNvPicPr>
      </xdr:nvPicPr>
      <xdr:blipFill>
        <a:blip xmlns:r="http://schemas.openxmlformats.org/officeDocument/2006/relationships" r:embed="rId6"/>
        <a:stretch>
          <a:fillRect/>
        </a:stretch>
      </xdr:blipFill>
      <xdr:spPr>
        <a:xfrm>
          <a:off x="6391275" y="5943600"/>
          <a:ext cx="7686675" cy="248743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workbookViewId="0">
      <selection activeCell="G14" sqref="G14"/>
    </sheetView>
  </sheetViews>
  <sheetFormatPr defaultRowHeight="15" x14ac:dyDescent="0.25"/>
  <cols>
    <col min="3" max="3" width="26.140625" customWidth="1"/>
  </cols>
  <sheetData>
    <row r="1" spans="1:3" x14ac:dyDescent="0.25">
      <c r="A1" s="97" t="s">
        <v>453</v>
      </c>
      <c r="B1" s="96"/>
      <c r="C1" s="96"/>
    </row>
    <row r="4" spans="1:3" x14ac:dyDescent="0.25">
      <c r="A4" s="100" t="s">
        <v>454</v>
      </c>
      <c r="B4" s="100" t="s">
        <v>455</v>
      </c>
      <c r="C4" s="101" t="s">
        <v>456</v>
      </c>
    </row>
    <row r="5" spans="1:3" x14ac:dyDescent="0.25">
      <c r="A5" s="103">
        <v>0</v>
      </c>
      <c r="B5" s="104">
        <v>42826</v>
      </c>
      <c r="C5" s="105" t="s">
        <v>457</v>
      </c>
    </row>
    <row r="6" spans="1:3" x14ac:dyDescent="0.25">
      <c r="A6" s="105"/>
      <c r="B6" s="105"/>
      <c r="C6" s="105"/>
    </row>
    <row r="7" spans="1:3" x14ac:dyDescent="0.25">
      <c r="A7" s="102"/>
      <c r="B7" s="102"/>
      <c r="C7" s="102"/>
    </row>
  </sheetData>
  <sheetProtection password="E156"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F53"/>
  <sheetViews>
    <sheetView tabSelected="1" workbookViewId="0">
      <selection activeCell="F33" sqref="F33"/>
    </sheetView>
  </sheetViews>
  <sheetFormatPr defaultRowHeight="15" x14ac:dyDescent="0.2"/>
  <cols>
    <col min="1" max="1" width="6.7109375" style="108" bestFit="1" customWidth="1"/>
    <col min="2" max="2" width="2" style="106" bestFit="1" customWidth="1"/>
    <col min="3" max="3" width="65.28515625" style="107" customWidth="1"/>
    <col min="4" max="4" width="6.7109375" style="108" bestFit="1" customWidth="1"/>
    <col min="5" max="5" width="2" style="106" bestFit="1" customWidth="1"/>
    <col min="6" max="6" width="121.42578125" style="107" customWidth="1"/>
    <col min="7" max="16384" width="9.140625" style="109"/>
  </cols>
  <sheetData>
    <row r="1" spans="1:6" x14ac:dyDescent="0.25">
      <c r="A1" s="95" t="s">
        <v>453</v>
      </c>
    </row>
    <row r="5" spans="1:6" x14ac:dyDescent="0.25">
      <c r="A5" s="195" t="s">
        <v>436</v>
      </c>
      <c r="B5" s="196"/>
      <c r="C5" s="196"/>
      <c r="D5" s="196"/>
      <c r="E5" s="196"/>
      <c r="F5" s="196"/>
    </row>
    <row r="6" spans="1:6" ht="15.75" thickBot="1" x14ac:dyDescent="0.3">
      <c r="A6" s="197" t="s">
        <v>0</v>
      </c>
      <c r="B6" s="198"/>
      <c r="C6" s="198"/>
      <c r="D6" s="198"/>
      <c r="E6" s="198"/>
      <c r="F6" s="198"/>
    </row>
    <row r="7" spans="1:6" ht="12.75" x14ac:dyDescent="0.2">
      <c r="A7" s="110" t="s">
        <v>13</v>
      </c>
      <c r="B7" s="110" t="s">
        <v>2</v>
      </c>
      <c r="C7" s="111" t="s">
        <v>67</v>
      </c>
      <c r="D7" s="110" t="s">
        <v>41</v>
      </c>
      <c r="E7" s="110" t="s">
        <v>2</v>
      </c>
      <c r="F7" s="111" t="s">
        <v>129</v>
      </c>
    </row>
    <row r="8" spans="1:6" ht="14.25" x14ac:dyDescent="0.2">
      <c r="A8" s="110" t="s">
        <v>14</v>
      </c>
      <c r="B8" s="110" t="s">
        <v>2</v>
      </c>
      <c r="C8" s="111" t="s">
        <v>68</v>
      </c>
      <c r="D8" s="110" t="s">
        <v>42</v>
      </c>
      <c r="E8" s="110" t="s">
        <v>2</v>
      </c>
      <c r="F8" s="111" t="s">
        <v>99</v>
      </c>
    </row>
    <row r="9" spans="1:6" ht="12.75" x14ac:dyDescent="0.2">
      <c r="A9" s="110" t="s">
        <v>15</v>
      </c>
      <c r="B9" s="110" t="s">
        <v>2</v>
      </c>
      <c r="C9" s="111" t="s">
        <v>69</v>
      </c>
      <c r="D9" s="110" t="s">
        <v>43</v>
      </c>
      <c r="E9" s="110" t="s">
        <v>2</v>
      </c>
      <c r="F9" s="111" t="s">
        <v>100</v>
      </c>
    </row>
    <row r="10" spans="1:6" ht="12.75" x14ac:dyDescent="0.2">
      <c r="A10" s="110" t="s">
        <v>16</v>
      </c>
      <c r="B10" s="110" t="s">
        <v>2</v>
      </c>
      <c r="C10" s="111" t="s">
        <v>70</v>
      </c>
      <c r="D10" s="110" t="s">
        <v>44</v>
      </c>
      <c r="E10" s="110" t="s">
        <v>2</v>
      </c>
      <c r="F10" s="111" t="s">
        <v>101</v>
      </c>
    </row>
    <row r="11" spans="1:6" ht="14.25" x14ac:dyDescent="0.2">
      <c r="A11" s="110" t="s">
        <v>17</v>
      </c>
      <c r="B11" s="110" t="s">
        <v>2</v>
      </c>
      <c r="C11" s="111" t="s">
        <v>71</v>
      </c>
      <c r="D11" s="110" t="s">
        <v>45</v>
      </c>
      <c r="E11" s="110" t="s">
        <v>2</v>
      </c>
      <c r="F11" s="111" t="s">
        <v>102</v>
      </c>
    </row>
    <row r="12" spans="1:6" ht="14.25" x14ac:dyDescent="0.2">
      <c r="A12" s="110" t="s">
        <v>1</v>
      </c>
      <c r="B12" s="110" t="s">
        <v>2</v>
      </c>
      <c r="C12" s="111" t="s">
        <v>256</v>
      </c>
      <c r="D12" s="110" t="s">
        <v>46</v>
      </c>
      <c r="E12" s="110" t="s">
        <v>2</v>
      </c>
      <c r="F12" s="111" t="s">
        <v>103</v>
      </c>
    </row>
    <row r="13" spans="1:6" ht="14.25" x14ac:dyDescent="0.2">
      <c r="A13" s="110" t="s">
        <v>18</v>
      </c>
      <c r="B13" s="110" t="s">
        <v>2</v>
      </c>
      <c r="C13" s="111" t="s">
        <v>72</v>
      </c>
      <c r="D13" s="110" t="s">
        <v>47</v>
      </c>
      <c r="E13" s="110" t="s">
        <v>2</v>
      </c>
      <c r="F13" s="111" t="s">
        <v>104</v>
      </c>
    </row>
    <row r="14" spans="1:6" ht="15.75" x14ac:dyDescent="0.2">
      <c r="A14" s="110" t="s">
        <v>19</v>
      </c>
      <c r="B14" s="110" t="s">
        <v>2</v>
      </c>
      <c r="C14" s="111" t="s">
        <v>73</v>
      </c>
      <c r="D14" s="110" t="s">
        <v>267</v>
      </c>
      <c r="E14" s="110" t="s">
        <v>2</v>
      </c>
      <c r="F14" s="111" t="s">
        <v>266</v>
      </c>
    </row>
    <row r="15" spans="1:6" ht="12.75" x14ac:dyDescent="0.2">
      <c r="A15" s="110" t="s">
        <v>5</v>
      </c>
      <c r="B15" s="110" t="s">
        <v>2</v>
      </c>
      <c r="C15" s="111" t="s">
        <v>74</v>
      </c>
      <c r="D15" s="110" t="s">
        <v>48</v>
      </c>
      <c r="E15" s="110" t="s">
        <v>2</v>
      </c>
      <c r="F15" s="111" t="s">
        <v>105</v>
      </c>
    </row>
    <row r="16" spans="1:6" ht="25.5" x14ac:dyDescent="0.2">
      <c r="A16" s="110" t="s">
        <v>20</v>
      </c>
      <c r="B16" s="110" t="s">
        <v>2</v>
      </c>
      <c r="C16" s="111" t="s">
        <v>75</v>
      </c>
      <c r="D16" s="110" t="s">
        <v>49</v>
      </c>
      <c r="E16" s="110" t="s">
        <v>2</v>
      </c>
      <c r="F16" s="111" t="s">
        <v>268</v>
      </c>
    </row>
    <row r="17" spans="1:6" ht="12.75" x14ac:dyDescent="0.2">
      <c r="A17" s="110" t="s">
        <v>3</v>
      </c>
      <c r="B17" s="110" t="s">
        <v>2</v>
      </c>
      <c r="C17" s="111" t="s">
        <v>76</v>
      </c>
      <c r="D17" s="112" t="s">
        <v>269</v>
      </c>
      <c r="E17" s="110"/>
      <c r="F17" s="111"/>
    </row>
    <row r="18" spans="1:6" ht="15.75" x14ac:dyDescent="0.2">
      <c r="A18" s="110" t="s">
        <v>8</v>
      </c>
      <c r="B18" s="110" t="s">
        <v>2</v>
      </c>
      <c r="C18" s="111" t="s">
        <v>77</v>
      </c>
      <c r="D18" s="113" t="s">
        <v>7</v>
      </c>
      <c r="E18" s="110" t="s">
        <v>2</v>
      </c>
      <c r="F18" s="111" t="s">
        <v>106</v>
      </c>
    </row>
    <row r="19" spans="1:6" ht="15.75" x14ac:dyDescent="0.2">
      <c r="A19" s="110" t="s">
        <v>21</v>
      </c>
      <c r="B19" s="110" t="s">
        <v>2</v>
      </c>
      <c r="C19" s="111" t="s">
        <v>78</v>
      </c>
      <c r="D19" s="110" t="s">
        <v>50</v>
      </c>
      <c r="E19" s="110" t="s">
        <v>2</v>
      </c>
      <c r="F19" s="111" t="s">
        <v>107</v>
      </c>
    </row>
    <row r="20" spans="1:6" ht="15.75" x14ac:dyDescent="0.2">
      <c r="A20" s="110" t="s">
        <v>22</v>
      </c>
      <c r="B20" s="110" t="s">
        <v>2</v>
      </c>
      <c r="C20" s="111" t="s">
        <v>79</v>
      </c>
      <c r="D20" s="110" t="s">
        <v>51</v>
      </c>
      <c r="E20" s="110" t="s">
        <v>2</v>
      </c>
      <c r="F20" s="111" t="s">
        <v>108</v>
      </c>
    </row>
    <row r="21" spans="1:6" ht="12.75" x14ac:dyDescent="0.2">
      <c r="A21" s="110" t="s">
        <v>4</v>
      </c>
      <c r="B21" s="110" t="s">
        <v>2</v>
      </c>
      <c r="C21" s="111" t="s">
        <v>80</v>
      </c>
      <c r="D21" s="113" t="s">
        <v>270</v>
      </c>
      <c r="E21" s="110" t="s">
        <v>2</v>
      </c>
      <c r="F21" s="111" t="s">
        <v>271</v>
      </c>
    </row>
    <row r="22" spans="1:6" ht="12.75" x14ac:dyDescent="0.2">
      <c r="A22" s="110" t="s">
        <v>23</v>
      </c>
      <c r="B22" s="110" t="s">
        <v>2</v>
      </c>
      <c r="C22" s="111" t="s">
        <v>81</v>
      </c>
      <c r="D22" s="199" t="s">
        <v>66</v>
      </c>
      <c r="E22" s="199"/>
      <c r="F22" s="199"/>
    </row>
    <row r="23" spans="1:6" ht="12.75" x14ac:dyDescent="0.2">
      <c r="A23" s="110" t="s">
        <v>24</v>
      </c>
      <c r="B23" s="110" t="s">
        <v>2</v>
      </c>
      <c r="C23" s="111" t="s">
        <v>82</v>
      </c>
      <c r="D23" s="110" t="s">
        <v>14</v>
      </c>
      <c r="E23" s="110" t="s">
        <v>2</v>
      </c>
      <c r="F23" s="111" t="s">
        <v>109</v>
      </c>
    </row>
    <row r="24" spans="1:6" ht="12.75" x14ac:dyDescent="0.2">
      <c r="A24" s="110" t="s">
        <v>6</v>
      </c>
      <c r="B24" s="110" t="s">
        <v>2</v>
      </c>
      <c r="C24" s="111" t="s">
        <v>257</v>
      </c>
      <c r="D24" s="110" t="s">
        <v>272</v>
      </c>
      <c r="E24" s="110" t="s">
        <v>2</v>
      </c>
      <c r="F24" s="111" t="s">
        <v>273</v>
      </c>
    </row>
    <row r="25" spans="1:6" ht="12.75" x14ac:dyDescent="0.2">
      <c r="A25" s="110" t="s">
        <v>258</v>
      </c>
      <c r="B25" s="110" t="s">
        <v>2</v>
      </c>
      <c r="C25" s="111" t="s">
        <v>259</v>
      </c>
      <c r="D25" s="110" t="s">
        <v>52</v>
      </c>
      <c r="E25" s="110" t="s">
        <v>2</v>
      </c>
      <c r="F25" s="111" t="s">
        <v>110</v>
      </c>
    </row>
    <row r="26" spans="1:6" ht="12.75" x14ac:dyDescent="0.2">
      <c r="A26" s="110" t="s">
        <v>9</v>
      </c>
      <c r="B26" s="110" t="s">
        <v>2</v>
      </c>
      <c r="C26" s="111" t="s">
        <v>83</v>
      </c>
      <c r="D26" s="110" t="s">
        <v>53</v>
      </c>
      <c r="E26" s="110" t="s">
        <v>2</v>
      </c>
      <c r="F26" s="111" t="s">
        <v>111</v>
      </c>
    </row>
    <row r="27" spans="1:6" ht="14.25" x14ac:dyDescent="0.2">
      <c r="A27" s="110" t="s">
        <v>25</v>
      </c>
      <c r="B27" s="110" t="s">
        <v>2</v>
      </c>
      <c r="C27" s="111" t="s">
        <v>84</v>
      </c>
      <c r="D27" s="110" t="s">
        <v>3</v>
      </c>
      <c r="E27" s="110" t="s">
        <v>2</v>
      </c>
      <c r="F27" s="111" t="s">
        <v>112</v>
      </c>
    </row>
    <row r="28" spans="1:6" ht="12.75" x14ac:dyDescent="0.2">
      <c r="A28" s="110" t="s">
        <v>26</v>
      </c>
      <c r="B28" s="110" t="s">
        <v>2</v>
      </c>
      <c r="C28" s="111" t="s">
        <v>85</v>
      </c>
      <c r="D28" s="110" t="s">
        <v>54</v>
      </c>
      <c r="E28" s="110" t="s">
        <v>2</v>
      </c>
      <c r="F28" s="111" t="s">
        <v>113</v>
      </c>
    </row>
    <row r="29" spans="1:6" ht="14.25" x14ac:dyDescent="0.2">
      <c r="A29" s="110" t="s">
        <v>260</v>
      </c>
      <c r="B29" s="110" t="s">
        <v>2</v>
      </c>
      <c r="C29" s="111" t="s">
        <v>261</v>
      </c>
      <c r="D29" s="110" t="s">
        <v>5</v>
      </c>
      <c r="E29" s="110" t="s">
        <v>2</v>
      </c>
      <c r="F29" s="111" t="s">
        <v>114</v>
      </c>
    </row>
    <row r="30" spans="1:6" ht="12.75" x14ac:dyDescent="0.2">
      <c r="A30" s="110" t="s">
        <v>27</v>
      </c>
      <c r="B30" s="110" t="s">
        <v>2</v>
      </c>
      <c r="C30" s="111" t="s">
        <v>86</v>
      </c>
      <c r="D30" s="110" t="s">
        <v>55</v>
      </c>
      <c r="E30" s="110" t="s">
        <v>2</v>
      </c>
      <c r="F30" s="111" t="s">
        <v>115</v>
      </c>
    </row>
    <row r="31" spans="1:6" ht="12.75" x14ac:dyDescent="0.2">
      <c r="A31" s="110" t="s">
        <v>28</v>
      </c>
      <c r="B31" s="110" t="s">
        <v>2</v>
      </c>
      <c r="C31" s="111" t="s">
        <v>87</v>
      </c>
      <c r="D31" s="110" t="s">
        <v>56</v>
      </c>
      <c r="E31" s="110" t="s">
        <v>2</v>
      </c>
      <c r="F31" s="111" t="s">
        <v>116</v>
      </c>
    </row>
    <row r="32" spans="1:6" ht="12.75" x14ac:dyDescent="0.2">
      <c r="A32" s="110" t="s">
        <v>29</v>
      </c>
      <c r="B32" s="110" t="s">
        <v>2</v>
      </c>
      <c r="C32" s="111" t="s">
        <v>88</v>
      </c>
      <c r="D32" s="110" t="s">
        <v>57</v>
      </c>
      <c r="E32" s="110" t="s">
        <v>2</v>
      </c>
      <c r="F32" s="111" t="s">
        <v>117</v>
      </c>
    </row>
    <row r="33" spans="1:6" ht="12.75" x14ac:dyDescent="0.2">
      <c r="A33" s="110" t="s">
        <v>30</v>
      </c>
      <c r="B33" s="110" t="s">
        <v>2</v>
      </c>
      <c r="C33" s="111" t="s">
        <v>89</v>
      </c>
      <c r="D33" s="110" t="s">
        <v>274</v>
      </c>
      <c r="E33" s="110" t="s">
        <v>2</v>
      </c>
      <c r="F33" s="111" t="s">
        <v>275</v>
      </c>
    </row>
    <row r="34" spans="1:6" ht="14.25" x14ac:dyDescent="0.2">
      <c r="A34" s="110" t="s">
        <v>31</v>
      </c>
      <c r="B34" s="110" t="s">
        <v>2</v>
      </c>
      <c r="C34" s="111" t="s">
        <v>262</v>
      </c>
      <c r="D34" s="110" t="s">
        <v>276</v>
      </c>
      <c r="E34" s="110" t="s">
        <v>2</v>
      </c>
      <c r="F34" s="111" t="s">
        <v>277</v>
      </c>
    </row>
    <row r="35" spans="1:6" ht="12.75" x14ac:dyDescent="0.2">
      <c r="A35" s="110" t="s">
        <v>263</v>
      </c>
      <c r="B35" s="110" t="s">
        <v>2</v>
      </c>
      <c r="C35" s="111" t="s">
        <v>264</v>
      </c>
      <c r="D35" s="110" t="s">
        <v>58</v>
      </c>
      <c r="E35" s="110" t="s">
        <v>2</v>
      </c>
      <c r="F35" s="111" t="s">
        <v>118</v>
      </c>
    </row>
    <row r="36" spans="1:6" ht="12.75" x14ac:dyDescent="0.2">
      <c r="A36" s="110" t="s">
        <v>32</v>
      </c>
      <c r="B36" s="110" t="s">
        <v>2</v>
      </c>
      <c r="C36" s="111" t="s">
        <v>90</v>
      </c>
      <c r="D36" s="110" t="s">
        <v>59</v>
      </c>
      <c r="E36" s="110" t="s">
        <v>2</v>
      </c>
      <c r="F36" s="111" t="s">
        <v>119</v>
      </c>
    </row>
    <row r="37" spans="1:6" ht="12.75" x14ac:dyDescent="0.2">
      <c r="A37" s="110" t="s">
        <v>10</v>
      </c>
      <c r="B37" s="110" t="s">
        <v>2</v>
      </c>
      <c r="C37" s="111" t="s">
        <v>91</v>
      </c>
      <c r="D37" s="110" t="s">
        <v>60</v>
      </c>
      <c r="E37" s="110" t="s">
        <v>2</v>
      </c>
      <c r="F37" s="111" t="s">
        <v>120</v>
      </c>
    </row>
    <row r="38" spans="1:6" ht="14.25" x14ac:dyDescent="0.2">
      <c r="A38" s="110" t="s">
        <v>33</v>
      </c>
      <c r="B38" s="110" t="s">
        <v>2</v>
      </c>
      <c r="C38" s="111" t="s">
        <v>92</v>
      </c>
      <c r="D38" s="110" t="s">
        <v>37</v>
      </c>
      <c r="E38" s="110" t="s">
        <v>2</v>
      </c>
      <c r="F38" s="111" t="s">
        <v>121</v>
      </c>
    </row>
    <row r="39" spans="1:6" ht="12.75" x14ac:dyDescent="0.2">
      <c r="A39" s="110" t="s">
        <v>34</v>
      </c>
      <c r="B39" s="110" t="s">
        <v>2</v>
      </c>
      <c r="C39" s="111" t="s">
        <v>93</v>
      </c>
      <c r="D39" s="110" t="s">
        <v>39</v>
      </c>
      <c r="E39" s="110" t="s">
        <v>2</v>
      </c>
      <c r="F39" s="111" t="s">
        <v>122</v>
      </c>
    </row>
    <row r="40" spans="1:6" ht="12.75" x14ac:dyDescent="0.2">
      <c r="A40" s="110" t="s">
        <v>35</v>
      </c>
      <c r="B40" s="110" t="s">
        <v>2</v>
      </c>
      <c r="C40" s="111" t="s">
        <v>94</v>
      </c>
      <c r="D40" s="110" t="s">
        <v>61</v>
      </c>
      <c r="E40" s="110" t="s">
        <v>2</v>
      </c>
      <c r="F40" s="111" t="s">
        <v>123</v>
      </c>
    </row>
    <row r="41" spans="1:6" ht="12.75" x14ac:dyDescent="0.2">
      <c r="A41" s="110" t="s">
        <v>36</v>
      </c>
      <c r="B41" s="110" t="s">
        <v>2</v>
      </c>
      <c r="C41" s="111" t="s">
        <v>95</v>
      </c>
      <c r="D41" s="110" t="s">
        <v>48</v>
      </c>
      <c r="E41" s="110" t="s">
        <v>2</v>
      </c>
      <c r="F41" s="111" t="s">
        <v>124</v>
      </c>
    </row>
    <row r="42" spans="1:6" ht="12.75" x14ac:dyDescent="0.2">
      <c r="A42" s="110" t="s">
        <v>11</v>
      </c>
      <c r="B42" s="110" t="s">
        <v>2</v>
      </c>
      <c r="C42" s="111" t="s">
        <v>96</v>
      </c>
      <c r="D42" s="110" t="s">
        <v>62</v>
      </c>
      <c r="E42" s="110" t="s">
        <v>2</v>
      </c>
      <c r="F42" s="111" t="s">
        <v>125</v>
      </c>
    </row>
    <row r="43" spans="1:6" ht="25.5" x14ac:dyDescent="0.2">
      <c r="A43" s="110" t="s">
        <v>37</v>
      </c>
      <c r="B43" s="110" t="s">
        <v>2</v>
      </c>
      <c r="C43" s="111" t="s">
        <v>97</v>
      </c>
      <c r="D43" s="110" t="s">
        <v>63</v>
      </c>
      <c r="E43" s="110" t="s">
        <v>2</v>
      </c>
      <c r="F43" s="111" t="s">
        <v>126</v>
      </c>
    </row>
    <row r="44" spans="1:6" ht="25.5" x14ac:dyDescent="0.2">
      <c r="A44" s="110" t="s">
        <v>38</v>
      </c>
      <c r="B44" s="110" t="s">
        <v>2</v>
      </c>
      <c r="C44" s="111" t="s">
        <v>265</v>
      </c>
      <c r="D44" s="110" t="s">
        <v>64</v>
      </c>
      <c r="E44" s="110" t="s">
        <v>2</v>
      </c>
      <c r="F44" s="111" t="s">
        <v>278</v>
      </c>
    </row>
    <row r="45" spans="1:6" ht="12.75" x14ac:dyDescent="0.2">
      <c r="A45" s="110" t="s">
        <v>39</v>
      </c>
      <c r="B45" s="110" t="s">
        <v>2</v>
      </c>
      <c r="C45" s="111" t="s">
        <v>130</v>
      </c>
      <c r="D45" s="110" t="s">
        <v>65</v>
      </c>
      <c r="E45" s="110" t="s">
        <v>2</v>
      </c>
      <c r="F45" s="111" t="s">
        <v>279</v>
      </c>
    </row>
    <row r="46" spans="1:6" ht="12.75" x14ac:dyDescent="0.2">
      <c r="A46" s="110" t="s">
        <v>12</v>
      </c>
      <c r="B46" s="110" t="s">
        <v>2</v>
      </c>
      <c r="C46" s="111" t="s">
        <v>98</v>
      </c>
      <c r="D46" s="110">
        <v>1</v>
      </c>
      <c r="E46" s="110" t="s">
        <v>2</v>
      </c>
      <c r="F46" s="111" t="s">
        <v>127</v>
      </c>
    </row>
    <row r="47" spans="1:6" ht="12.75" x14ac:dyDescent="0.2">
      <c r="A47" s="110" t="s">
        <v>40</v>
      </c>
      <c r="B47" s="110" t="s">
        <v>2</v>
      </c>
      <c r="C47" s="111" t="s">
        <v>131</v>
      </c>
      <c r="D47" s="110">
        <v>2</v>
      </c>
      <c r="E47" s="110" t="s">
        <v>2</v>
      </c>
      <c r="F47" s="111" t="s">
        <v>128</v>
      </c>
    </row>
    <row r="49" spans="1:1" x14ac:dyDescent="0.2">
      <c r="A49" s="114" t="s">
        <v>289</v>
      </c>
    </row>
    <row r="50" spans="1:1" x14ac:dyDescent="0.2">
      <c r="A50" s="114" t="s">
        <v>290</v>
      </c>
    </row>
    <row r="51" spans="1:1" x14ac:dyDescent="0.2">
      <c r="A51" s="114" t="s">
        <v>291</v>
      </c>
    </row>
    <row r="52" spans="1:1" x14ac:dyDescent="0.2">
      <c r="A52" s="114" t="s">
        <v>292</v>
      </c>
    </row>
    <row r="53" spans="1:1" x14ac:dyDescent="0.2">
      <c r="A53" s="115" t="s">
        <v>293</v>
      </c>
    </row>
  </sheetData>
  <sheetProtection password="E156" sheet="1" objects="1" scenarios="1"/>
  <mergeCells count="3">
    <mergeCell ref="A5:F5"/>
    <mergeCell ref="A6:F6"/>
    <mergeCell ref="D22:F22"/>
  </mergeCells>
  <pageMargins left="0.7" right="0.7" top="0.75" bottom="0.75" header="0.3" footer="0.3"/>
  <pageSetup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Q124"/>
  <sheetViews>
    <sheetView zoomScale="55" zoomScaleNormal="55" workbookViewId="0">
      <selection activeCell="U28" sqref="U28"/>
    </sheetView>
  </sheetViews>
  <sheetFormatPr defaultRowHeight="15" x14ac:dyDescent="0.25"/>
  <cols>
    <col min="1" max="1" width="33.7109375" style="118" customWidth="1"/>
    <col min="2" max="2" width="9.140625" style="117"/>
    <col min="3" max="3" width="15.85546875" style="117" bestFit="1" customWidth="1"/>
    <col min="4" max="4" width="12.85546875" style="118" customWidth="1"/>
    <col min="5" max="6" width="9.140625" style="118"/>
    <col min="7" max="7" width="11.7109375" style="118" bestFit="1" customWidth="1"/>
    <col min="8" max="8" width="9.140625" style="118"/>
    <col min="9" max="9" width="43.7109375" style="119" customWidth="1"/>
    <col min="10" max="10" width="11.28515625" style="119" customWidth="1"/>
    <col min="11" max="11" width="7.140625" style="117" customWidth="1"/>
    <col min="12" max="12" width="15.7109375" style="117" customWidth="1"/>
    <col min="13" max="13" width="11.85546875" style="118" customWidth="1"/>
    <col min="14" max="14" width="9.140625" style="117"/>
    <col min="15" max="15" width="12.5703125" style="117" customWidth="1"/>
    <col min="16" max="16" width="11.7109375" style="119" bestFit="1" customWidth="1"/>
    <col min="17" max="16384" width="9.140625" style="118"/>
  </cols>
  <sheetData>
    <row r="1" spans="1:17" x14ac:dyDescent="0.25">
      <c r="A1" s="116" t="s">
        <v>453</v>
      </c>
    </row>
    <row r="5" spans="1:17" ht="75" customHeight="1" x14ac:dyDescent="0.25">
      <c r="A5" s="202" t="s">
        <v>439</v>
      </c>
      <c r="B5" s="202"/>
      <c r="C5" s="202"/>
      <c r="D5" s="202"/>
      <c r="E5" s="202"/>
      <c r="F5" s="202"/>
      <c r="G5" s="202"/>
      <c r="I5" s="204" t="s">
        <v>440</v>
      </c>
      <c r="J5" s="204"/>
      <c r="K5" s="204"/>
      <c r="L5" s="204"/>
      <c r="M5" s="204"/>
      <c r="N5" s="204"/>
      <c r="O5" s="204"/>
      <c r="P5" s="204"/>
    </row>
    <row r="6" spans="1:17" x14ac:dyDescent="0.25">
      <c r="A6" s="5"/>
      <c r="B6" s="6"/>
      <c r="C6" s="6"/>
      <c r="D6" s="5"/>
      <c r="E6" s="4"/>
      <c r="F6" s="4"/>
      <c r="G6" s="4"/>
      <c r="I6" s="120"/>
      <c r="J6" s="120"/>
      <c r="K6" s="25"/>
      <c r="L6" s="25"/>
      <c r="M6" s="120"/>
      <c r="N6" s="121"/>
      <c r="O6" s="121"/>
      <c r="P6" s="122"/>
    </row>
    <row r="7" spans="1:17" x14ac:dyDescent="0.25">
      <c r="A7" s="44" t="s">
        <v>132</v>
      </c>
      <c r="B7" s="6"/>
      <c r="C7" s="6"/>
      <c r="D7" s="5"/>
      <c r="E7" s="4"/>
      <c r="F7" s="4"/>
      <c r="G7" s="4"/>
      <c r="I7" s="123" t="s">
        <v>300</v>
      </c>
      <c r="J7" s="120"/>
      <c r="K7" s="25"/>
      <c r="L7" s="25"/>
      <c r="M7" s="120"/>
      <c r="N7" s="121"/>
      <c r="O7" s="121"/>
      <c r="P7" s="122"/>
    </row>
    <row r="8" spans="1:17" ht="16.5" x14ac:dyDescent="0.3">
      <c r="A8" s="5" t="s">
        <v>136</v>
      </c>
      <c r="B8" s="6" t="s">
        <v>2</v>
      </c>
      <c r="C8" s="6">
        <v>200</v>
      </c>
      <c r="D8" s="5" t="s">
        <v>35</v>
      </c>
      <c r="E8" s="43" t="s">
        <v>2</v>
      </c>
      <c r="F8" s="43">
        <f>C8-14.7</f>
        <v>185.3</v>
      </c>
      <c r="G8" s="43" t="s">
        <v>36</v>
      </c>
      <c r="I8" s="120" t="s">
        <v>136</v>
      </c>
      <c r="J8" s="25" t="s">
        <v>296</v>
      </c>
      <c r="K8" s="25" t="s">
        <v>2</v>
      </c>
      <c r="L8" s="25">
        <v>200</v>
      </c>
      <c r="M8" s="120" t="s">
        <v>35</v>
      </c>
      <c r="N8" s="124" t="s">
        <v>2</v>
      </c>
      <c r="O8" s="125">
        <f>L8-$L$15</f>
        <v>185.3</v>
      </c>
      <c r="P8" s="126" t="s">
        <v>36</v>
      </c>
      <c r="Q8" s="127"/>
    </row>
    <row r="9" spans="1:17" ht="16.5" x14ac:dyDescent="0.3">
      <c r="A9" s="5" t="s">
        <v>137</v>
      </c>
      <c r="B9" s="6" t="s">
        <v>2</v>
      </c>
      <c r="C9" s="6">
        <v>220</v>
      </c>
      <c r="D9" s="5" t="s">
        <v>35</v>
      </c>
      <c r="E9" s="43" t="s">
        <v>2</v>
      </c>
      <c r="F9" s="43">
        <f>C9-14.7</f>
        <v>205.3</v>
      </c>
      <c r="G9" s="43" t="s">
        <v>36</v>
      </c>
      <c r="I9" s="120" t="s">
        <v>137</v>
      </c>
      <c r="J9" s="25" t="s">
        <v>297</v>
      </c>
      <c r="K9" s="25" t="s">
        <v>2</v>
      </c>
      <c r="L9" s="25">
        <v>220</v>
      </c>
      <c r="M9" s="120" t="s">
        <v>35</v>
      </c>
      <c r="N9" s="124" t="s">
        <v>2</v>
      </c>
      <c r="O9" s="125">
        <f>L9-$L$15</f>
        <v>205.3</v>
      </c>
      <c r="P9" s="126" t="s">
        <v>36</v>
      </c>
      <c r="Q9" s="127"/>
    </row>
    <row r="10" spans="1:17" x14ac:dyDescent="0.25">
      <c r="A10" s="5" t="s">
        <v>138</v>
      </c>
      <c r="B10" s="6" t="s">
        <v>2</v>
      </c>
      <c r="C10" s="6">
        <v>100</v>
      </c>
      <c r="D10" s="5" t="s">
        <v>139</v>
      </c>
      <c r="E10" s="43"/>
      <c r="F10" s="43"/>
      <c r="G10" s="43"/>
      <c r="I10" s="120" t="s">
        <v>138</v>
      </c>
      <c r="J10" s="25" t="s">
        <v>41</v>
      </c>
      <c r="K10" s="25" t="s">
        <v>2</v>
      </c>
      <c r="L10" s="25">
        <v>100</v>
      </c>
      <c r="M10" s="120" t="s">
        <v>139</v>
      </c>
      <c r="N10" s="124"/>
      <c r="O10" s="124"/>
      <c r="P10" s="126"/>
      <c r="Q10" s="127"/>
    </row>
    <row r="11" spans="1:17" x14ac:dyDescent="0.25">
      <c r="A11" s="5" t="s">
        <v>140</v>
      </c>
      <c r="B11" s="6" t="s">
        <v>2</v>
      </c>
      <c r="C11" s="6">
        <v>360</v>
      </c>
      <c r="D11" s="5" t="s">
        <v>22</v>
      </c>
      <c r="E11" s="43"/>
      <c r="F11" s="43"/>
      <c r="G11" s="43"/>
      <c r="I11" s="120" t="s">
        <v>140</v>
      </c>
      <c r="J11" s="25" t="s">
        <v>11</v>
      </c>
      <c r="K11" s="25" t="s">
        <v>2</v>
      </c>
      <c r="L11" s="25">
        <v>360</v>
      </c>
      <c r="M11" s="120" t="s">
        <v>22</v>
      </c>
      <c r="N11" s="124"/>
      <c r="O11" s="124"/>
      <c r="P11" s="126"/>
      <c r="Q11" s="127"/>
    </row>
    <row r="12" spans="1:17" ht="16.5" x14ac:dyDescent="0.3">
      <c r="A12" s="5" t="s">
        <v>141</v>
      </c>
      <c r="B12" s="6" t="s">
        <v>2</v>
      </c>
      <c r="C12" s="6">
        <v>0.48499999999999999</v>
      </c>
      <c r="D12" s="5"/>
      <c r="E12" s="43"/>
      <c r="F12" s="43"/>
      <c r="G12" s="43"/>
      <c r="I12" s="120" t="s">
        <v>141</v>
      </c>
      <c r="J12" s="25" t="s">
        <v>295</v>
      </c>
      <c r="K12" s="25" t="s">
        <v>2</v>
      </c>
      <c r="L12" s="25">
        <v>0.48499999999999999</v>
      </c>
      <c r="M12" s="120"/>
      <c r="N12" s="124"/>
      <c r="O12" s="124"/>
      <c r="P12" s="126"/>
      <c r="Q12" s="127"/>
    </row>
    <row r="13" spans="1:17" ht="16.5" x14ac:dyDescent="0.3">
      <c r="A13" s="5" t="s">
        <v>192</v>
      </c>
      <c r="B13" s="6" t="s">
        <v>2</v>
      </c>
      <c r="C13" s="6">
        <v>20</v>
      </c>
      <c r="D13" s="5" t="s">
        <v>170</v>
      </c>
      <c r="E13" s="43"/>
      <c r="F13" s="43"/>
      <c r="G13" s="43" t="s">
        <v>252</v>
      </c>
      <c r="I13" s="120" t="s">
        <v>192</v>
      </c>
      <c r="J13" s="25" t="s">
        <v>298</v>
      </c>
      <c r="K13" s="25" t="s">
        <v>2</v>
      </c>
      <c r="L13" s="25">
        <v>20</v>
      </c>
      <c r="M13" s="120" t="s">
        <v>170</v>
      </c>
      <c r="N13" s="124"/>
      <c r="O13" s="124"/>
      <c r="P13" s="126" t="s">
        <v>252</v>
      </c>
      <c r="Q13" s="127"/>
    </row>
    <row r="14" spans="1:17" ht="16.5" x14ac:dyDescent="0.3">
      <c r="A14" s="5" t="s">
        <v>193</v>
      </c>
      <c r="B14" s="6" t="s">
        <v>2</v>
      </c>
      <c r="C14" s="6">
        <v>74</v>
      </c>
      <c r="D14" s="5" t="s">
        <v>170</v>
      </c>
      <c r="E14" s="43"/>
      <c r="F14" s="43"/>
      <c r="G14" s="43" t="s">
        <v>252</v>
      </c>
      <c r="I14" s="120" t="s">
        <v>193</v>
      </c>
      <c r="J14" s="25" t="s">
        <v>299</v>
      </c>
      <c r="K14" s="25" t="s">
        <v>2</v>
      </c>
      <c r="L14" s="25">
        <v>74</v>
      </c>
      <c r="M14" s="120" t="s">
        <v>170</v>
      </c>
      <c r="N14" s="124"/>
      <c r="O14" s="124"/>
      <c r="P14" s="126" t="s">
        <v>252</v>
      </c>
      <c r="Q14" s="127"/>
    </row>
    <row r="15" spans="1:17" ht="16.5" x14ac:dyDescent="0.3">
      <c r="A15" s="5"/>
      <c r="B15" s="6"/>
      <c r="C15" s="7"/>
      <c r="D15" s="5"/>
      <c r="E15" s="4"/>
      <c r="F15" s="4"/>
      <c r="G15" s="4"/>
      <c r="I15" s="120" t="s">
        <v>311</v>
      </c>
      <c r="J15" s="25" t="s">
        <v>312</v>
      </c>
      <c r="K15" s="25" t="s">
        <v>2</v>
      </c>
      <c r="L15" s="25">
        <v>14.7</v>
      </c>
      <c r="M15" s="120" t="s">
        <v>35</v>
      </c>
      <c r="N15" s="124"/>
      <c r="O15" s="124"/>
      <c r="P15" s="126"/>
      <c r="Q15" s="127"/>
    </row>
    <row r="16" spans="1:17" ht="16.5" x14ac:dyDescent="0.3">
      <c r="A16" s="201" t="s">
        <v>142</v>
      </c>
      <c r="B16" s="201"/>
      <c r="C16" s="201"/>
      <c r="D16" s="5"/>
      <c r="E16" s="4"/>
      <c r="F16" s="4"/>
      <c r="G16" s="4"/>
      <c r="I16" s="120" t="s">
        <v>338</v>
      </c>
      <c r="J16" s="25" t="s">
        <v>339</v>
      </c>
      <c r="K16" s="25" t="s">
        <v>2</v>
      </c>
      <c r="L16" s="25">
        <v>9</v>
      </c>
      <c r="M16" s="120" t="s">
        <v>170</v>
      </c>
      <c r="N16" s="124"/>
      <c r="O16" s="124"/>
      <c r="P16" s="126"/>
      <c r="Q16" s="127"/>
    </row>
    <row r="17" spans="1:17" x14ac:dyDescent="0.25">
      <c r="A17" s="5" t="s">
        <v>4</v>
      </c>
      <c r="B17" s="6" t="s">
        <v>2</v>
      </c>
      <c r="C17" s="6" t="s">
        <v>182</v>
      </c>
      <c r="D17" s="5"/>
      <c r="E17" s="4"/>
      <c r="F17" s="4"/>
      <c r="G17" s="45" t="s">
        <v>183</v>
      </c>
      <c r="I17" s="120" t="s">
        <v>342</v>
      </c>
      <c r="J17" s="25" t="s">
        <v>8</v>
      </c>
      <c r="K17" s="25" t="s">
        <v>2</v>
      </c>
      <c r="L17" s="25">
        <v>0.62</v>
      </c>
      <c r="M17" s="120"/>
      <c r="N17" s="124"/>
      <c r="O17" s="124"/>
      <c r="P17" s="126"/>
      <c r="Q17" s="127"/>
    </row>
    <row r="18" spans="1:17" x14ac:dyDescent="0.25">
      <c r="A18" s="8" t="s">
        <v>184</v>
      </c>
      <c r="B18" s="6" t="s">
        <v>2</v>
      </c>
      <c r="C18" s="6" t="s">
        <v>209</v>
      </c>
      <c r="D18" s="5"/>
      <c r="E18" s="4"/>
      <c r="F18" s="4"/>
      <c r="G18" s="88"/>
      <c r="I18" s="120"/>
      <c r="J18" s="25"/>
      <c r="K18" s="25"/>
      <c r="L18" s="25"/>
      <c r="M18" s="120"/>
      <c r="N18" s="124"/>
      <c r="O18" s="124"/>
      <c r="P18" s="126"/>
      <c r="Q18" s="127"/>
    </row>
    <row r="19" spans="1:17" ht="15" customHeight="1" x14ac:dyDescent="0.25">
      <c r="A19" s="88" t="s">
        <v>177</v>
      </c>
      <c r="B19" s="88"/>
      <c r="C19" s="88"/>
      <c r="D19" s="88"/>
      <c r="E19" s="4"/>
      <c r="F19" s="4"/>
      <c r="G19" s="46"/>
      <c r="I19" s="123" t="s">
        <v>301</v>
      </c>
      <c r="J19" s="25"/>
      <c r="K19" s="25"/>
      <c r="L19" s="25"/>
      <c r="M19" s="120"/>
      <c r="N19" s="124"/>
      <c r="O19" s="124"/>
      <c r="P19" s="126"/>
      <c r="Q19" s="127"/>
    </row>
    <row r="20" spans="1:17" ht="16.5" x14ac:dyDescent="0.3">
      <c r="A20" s="88" t="s">
        <v>28</v>
      </c>
      <c r="B20" s="9" t="s">
        <v>2</v>
      </c>
      <c r="C20" s="88" t="s">
        <v>189</v>
      </c>
      <c r="D20" s="88"/>
      <c r="E20" s="4"/>
      <c r="F20" s="4"/>
      <c r="G20" s="46" t="s">
        <v>255</v>
      </c>
      <c r="I20" s="120" t="s">
        <v>141</v>
      </c>
      <c r="J20" s="25" t="s">
        <v>295</v>
      </c>
      <c r="K20" s="25" t="s">
        <v>2</v>
      </c>
      <c r="L20" s="25">
        <v>0.48499999999999999</v>
      </c>
      <c r="M20" s="120"/>
      <c r="N20" s="124"/>
      <c r="O20" s="124"/>
      <c r="P20" s="126"/>
      <c r="Q20" s="128"/>
    </row>
    <row r="21" spans="1:17" ht="16.5" x14ac:dyDescent="0.3">
      <c r="A21" s="88" t="s">
        <v>185</v>
      </c>
      <c r="B21" s="88"/>
      <c r="C21" s="88"/>
      <c r="D21" s="88"/>
      <c r="E21" s="4"/>
      <c r="F21" s="4"/>
      <c r="G21" s="88"/>
      <c r="I21" s="120" t="s">
        <v>334</v>
      </c>
      <c r="J21" s="25" t="s">
        <v>333</v>
      </c>
      <c r="K21" s="25" t="s">
        <v>2</v>
      </c>
      <c r="L21" s="25">
        <f>L8</f>
        <v>200</v>
      </c>
      <c r="M21" s="120" t="s">
        <v>35</v>
      </c>
      <c r="N21" s="124"/>
      <c r="O21" s="124"/>
      <c r="P21" s="126"/>
      <c r="Q21" s="128"/>
    </row>
    <row r="22" spans="1:17" x14ac:dyDescent="0.25">
      <c r="A22" s="5" t="s">
        <v>24</v>
      </c>
      <c r="B22" s="6" t="s">
        <v>2</v>
      </c>
      <c r="C22" s="6" t="s">
        <v>186</v>
      </c>
      <c r="D22" s="5"/>
      <c r="E22" s="4"/>
      <c r="F22" s="4"/>
      <c r="G22" s="88" t="s">
        <v>146</v>
      </c>
      <c r="I22" s="123" t="s">
        <v>337</v>
      </c>
      <c r="J22" s="25"/>
      <c r="K22" s="25"/>
      <c r="L22" s="25"/>
      <c r="M22" s="120"/>
      <c r="N22" s="124"/>
      <c r="O22" s="124"/>
      <c r="P22" s="126"/>
      <c r="Q22" s="128"/>
    </row>
    <row r="23" spans="1:17" ht="16.5" x14ac:dyDescent="0.3">
      <c r="A23" s="88" t="s">
        <v>187</v>
      </c>
      <c r="B23" s="88"/>
      <c r="C23" s="88"/>
      <c r="D23" s="88"/>
      <c r="E23" s="4"/>
      <c r="F23" s="4"/>
      <c r="G23" s="88"/>
      <c r="I23" s="120" t="s">
        <v>302</v>
      </c>
      <c r="J23" s="25" t="s">
        <v>296</v>
      </c>
      <c r="K23" s="25" t="s">
        <v>2</v>
      </c>
      <c r="L23" s="25">
        <f>L8</f>
        <v>200</v>
      </c>
      <c r="M23" s="120" t="s">
        <v>35</v>
      </c>
      <c r="N23" s="124" t="s">
        <v>2</v>
      </c>
      <c r="O23" s="125">
        <f>L23-$L$15</f>
        <v>185.3</v>
      </c>
      <c r="P23" s="126" t="s">
        <v>36</v>
      </c>
      <c r="Q23" s="128"/>
    </row>
    <row r="24" spans="1:17" ht="16.5" x14ac:dyDescent="0.3">
      <c r="A24" s="88" t="s">
        <v>17</v>
      </c>
      <c r="B24" s="88" t="s">
        <v>2</v>
      </c>
      <c r="C24" s="88" t="s">
        <v>188</v>
      </c>
      <c r="D24" s="88"/>
      <c r="E24" s="4"/>
      <c r="F24" s="4"/>
      <c r="G24" s="88" t="s">
        <v>146</v>
      </c>
      <c r="I24" s="120" t="s">
        <v>191</v>
      </c>
      <c r="J24" s="25" t="s">
        <v>303</v>
      </c>
      <c r="K24" s="25" t="s">
        <v>2</v>
      </c>
      <c r="L24" s="129">
        <f>L13*L20/2.31</f>
        <v>4.1991341991341988</v>
      </c>
      <c r="M24" s="120" t="s">
        <v>34</v>
      </c>
      <c r="N24" s="124"/>
      <c r="O24" s="125"/>
      <c r="P24" s="126"/>
      <c r="Q24" s="128"/>
    </row>
    <row r="25" spans="1:17" ht="16.5" x14ac:dyDescent="0.3">
      <c r="A25" s="81" t="s">
        <v>135</v>
      </c>
      <c r="B25" s="10"/>
      <c r="C25" s="10"/>
      <c r="D25" s="11"/>
      <c r="E25" s="11"/>
      <c r="F25" s="11"/>
      <c r="G25" s="88"/>
      <c r="I25" s="120" t="s">
        <v>305</v>
      </c>
      <c r="J25" s="25" t="s">
        <v>307</v>
      </c>
      <c r="K25" s="25" t="s">
        <v>2</v>
      </c>
      <c r="L25" s="25">
        <v>-0.5</v>
      </c>
      <c r="M25" s="120" t="s">
        <v>34</v>
      </c>
      <c r="N25" s="124"/>
      <c r="O25" s="125"/>
      <c r="P25" s="126"/>
      <c r="Q25" s="128"/>
    </row>
    <row r="26" spans="1:17" ht="17.25" x14ac:dyDescent="0.3">
      <c r="A26" s="66" t="s">
        <v>442</v>
      </c>
      <c r="B26" s="66"/>
      <c r="C26" s="66"/>
      <c r="D26" s="66"/>
      <c r="E26" s="10"/>
      <c r="F26" s="12"/>
      <c r="G26" s="47"/>
      <c r="I26" s="120" t="s">
        <v>304</v>
      </c>
      <c r="J26" s="25" t="s">
        <v>306</v>
      </c>
      <c r="K26" s="25" t="s">
        <v>2</v>
      </c>
      <c r="L26" s="25">
        <v>-0.2</v>
      </c>
      <c r="M26" s="120" t="s">
        <v>34</v>
      </c>
      <c r="N26" s="124"/>
      <c r="O26" s="125"/>
      <c r="P26" s="126"/>
      <c r="Q26" s="128"/>
    </row>
    <row r="27" spans="1:17" ht="16.5" x14ac:dyDescent="0.3">
      <c r="A27" s="11" t="s">
        <v>190</v>
      </c>
      <c r="B27" s="10"/>
      <c r="C27" s="42"/>
      <c r="D27" s="11"/>
      <c r="E27" s="11">
        <f>F8</f>
        <v>185.3</v>
      </c>
      <c r="F27" s="10" t="s">
        <v>36</v>
      </c>
      <c r="G27" s="47"/>
      <c r="I27" s="120" t="s">
        <v>309</v>
      </c>
      <c r="J27" s="25" t="s">
        <v>308</v>
      </c>
      <c r="K27" s="25" t="s">
        <v>2</v>
      </c>
      <c r="L27" s="129">
        <f>SUM(L23:L26)</f>
        <v>203.4991341991342</v>
      </c>
      <c r="M27" s="120" t="s">
        <v>35</v>
      </c>
      <c r="N27" s="124"/>
      <c r="O27" s="125"/>
      <c r="P27" s="126"/>
      <c r="Q27" s="128"/>
    </row>
    <row r="28" spans="1:17" ht="16.5" x14ac:dyDescent="0.3">
      <c r="A28" s="11" t="s">
        <v>191</v>
      </c>
      <c r="B28" s="10"/>
      <c r="C28" s="10" t="s">
        <v>194</v>
      </c>
      <c r="D28" s="13" t="s">
        <v>198</v>
      </c>
      <c r="E28" s="14">
        <f>+C13*(C12/2.31)</f>
        <v>4.1991341991341988</v>
      </c>
      <c r="F28" s="10" t="s">
        <v>34</v>
      </c>
      <c r="G28" s="47"/>
      <c r="I28" s="120" t="s">
        <v>310</v>
      </c>
      <c r="J28" s="25" t="s">
        <v>308</v>
      </c>
      <c r="K28" s="25" t="s">
        <v>2</v>
      </c>
      <c r="L28" s="129">
        <f>L27-L15</f>
        <v>188.79913419913422</v>
      </c>
      <c r="M28" s="120" t="s">
        <v>36</v>
      </c>
      <c r="N28" s="124"/>
      <c r="O28" s="125"/>
      <c r="P28" s="126"/>
      <c r="Q28" s="128"/>
    </row>
    <row r="29" spans="1:17" ht="16.5" x14ac:dyDescent="0.3">
      <c r="A29" s="11" t="s">
        <v>195</v>
      </c>
      <c r="B29" s="10"/>
      <c r="C29" s="42" t="s">
        <v>196</v>
      </c>
      <c r="D29" s="13" t="s">
        <v>199</v>
      </c>
      <c r="E29" s="11">
        <v>0.5</v>
      </c>
      <c r="F29" s="10" t="s">
        <v>34</v>
      </c>
      <c r="G29" s="47" t="s">
        <v>252</v>
      </c>
      <c r="I29" s="120" t="s">
        <v>313</v>
      </c>
      <c r="J29" s="25" t="s">
        <v>297</v>
      </c>
      <c r="K29" s="25" t="s">
        <v>2</v>
      </c>
      <c r="L29" s="25">
        <f>L9</f>
        <v>220</v>
      </c>
      <c r="M29" s="120" t="s">
        <v>35</v>
      </c>
      <c r="N29" s="124" t="s">
        <v>2</v>
      </c>
      <c r="O29" s="125">
        <f>L29-$L$15</f>
        <v>205.3</v>
      </c>
      <c r="P29" s="126" t="s">
        <v>36</v>
      </c>
      <c r="Q29" s="128"/>
    </row>
    <row r="30" spans="1:17" ht="16.5" x14ac:dyDescent="0.3">
      <c r="A30" s="11"/>
      <c r="B30" s="10"/>
      <c r="C30" s="42" t="s">
        <v>197</v>
      </c>
      <c r="D30" s="13" t="s">
        <v>199</v>
      </c>
      <c r="E30" s="15">
        <v>0.2</v>
      </c>
      <c r="F30" s="10" t="s">
        <v>34</v>
      </c>
      <c r="G30" s="47" t="s">
        <v>252</v>
      </c>
      <c r="I30" s="120" t="s">
        <v>191</v>
      </c>
      <c r="J30" s="25" t="s">
        <v>328</v>
      </c>
      <c r="K30" s="25" t="s">
        <v>2</v>
      </c>
      <c r="L30" s="129">
        <f>L14*L12/2.31</f>
        <v>15.536796536796537</v>
      </c>
      <c r="M30" s="120" t="s">
        <v>34</v>
      </c>
      <c r="N30" s="124"/>
      <c r="O30" s="124"/>
      <c r="P30" s="126"/>
      <c r="Q30" s="128"/>
    </row>
    <row r="31" spans="1:17" ht="16.5" x14ac:dyDescent="0.3">
      <c r="A31" s="11"/>
      <c r="B31" s="10"/>
      <c r="C31" s="42"/>
      <c r="D31" s="11"/>
      <c r="E31" s="16">
        <f>E27+E28-E29-E30</f>
        <v>188.79913419913422</v>
      </c>
      <c r="F31" s="12" t="s">
        <v>36</v>
      </c>
      <c r="G31" s="47"/>
      <c r="I31" s="120" t="s">
        <v>305</v>
      </c>
      <c r="J31" s="25" t="s">
        <v>307</v>
      </c>
      <c r="K31" s="25" t="s">
        <v>2</v>
      </c>
      <c r="L31" s="25">
        <v>3</v>
      </c>
      <c r="M31" s="120" t="s">
        <v>34</v>
      </c>
      <c r="N31" s="124"/>
      <c r="O31" s="124"/>
      <c r="P31" s="126"/>
      <c r="Q31" s="128"/>
    </row>
    <row r="32" spans="1:17" ht="17.25" x14ac:dyDescent="0.3">
      <c r="A32" s="66" t="s">
        <v>441</v>
      </c>
      <c r="B32" s="66"/>
      <c r="C32" s="66"/>
      <c r="D32" s="66"/>
      <c r="E32" s="10"/>
      <c r="F32" s="12"/>
      <c r="G32" s="47"/>
      <c r="I32" s="120" t="s">
        <v>304</v>
      </c>
      <c r="J32" s="25" t="s">
        <v>306</v>
      </c>
      <c r="K32" s="25" t="s">
        <v>2</v>
      </c>
      <c r="L32" s="25">
        <v>2</v>
      </c>
      <c r="M32" s="120" t="s">
        <v>34</v>
      </c>
      <c r="N32" s="124"/>
      <c r="O32" s="124"/>
      <c r="P32" s="126"/>
      <c r="Q32" s="128"/>
    </row>
    <row r="33" spans="1:17" ht="16.5" x14ac:dyDescent="0.3">
      <c r="A33" s="11" t="s">
        <v>200</v>
      </c>
      <c r="B33" s="10"/>
      <c r="C33" s="42"/>
      <c r="D33" s="11"/>
      <c r="E33" s="17">
        <f>F9</f>
        <v>205.3</v>
      </c>
      <c r="F33" s="12" t="s">
        <v>36</v>
      </c>
      <c r="G33" s="47"/>
      <c r="I33" s="120" t="s">
        <v>314</v>
      </c>
      <c r="J33" s="25" t="s">
        <v>318</v>
      </c>
      <c r="K33" s="25" t="s">
        <v>2</v>
      </c>
      <c r="L33" s="25">
        <v>1.2</v>
      </c>
      <c r="M33" s="120" t="s">
        <v>34</v>
      </c>
      <c r="N33" s="124"/>
      <c r="O33" s="124"/>
      <c r="P33" s="126"/>
      <c r="Q33" s="128"/>
    </row>
    <row r="34" spans="1:17" ht="16.5" x14ac:dyDescent="0.3">
      <c r="A34" s="11" t="s">
        <v>191</v>
      </c>
      <c r="B34" s="10"/>
      <c r="C34" s="10" t="s">
        <v>205</v>
      </c>
      <c r="D34" s="13" t="s">
        <v>198</v>
      </c>
      <c r="E34" s="17">
        <f>C14*(C12/2.31)</f>
        <v>15.536796536796537</v>
      </c>
      <c r="F34" s="12" t="s">
        <v>34</v>
      </c>
      <c r="G34" s="47"/>
      <c r="I34" s="120" t="s">
        <v>315</v>
      </c>
      <c r="J34" s="25" t="s">
        <v>319</v>
      </c>
      <c r="K34" s="25" t="s">
        <v>2</v>
      </c>
      <c r="L34" s="25">
        <v>13</v>
      </c>
      <c r="M34" s="120" t="s">
        <v>34</v>
      </c>
      <c r="N34" s="124"/>
      <c r="O34" s="124"/>
      <c r="P34" s="126"/>
      <c r="Q34" s="128"/>
    </row>
    <row r="35" spans="1:17" ht="16.5" x14ac:dyDescent="0.3">
      <c r="A35" s="11" t="s">
        <v>195</v>
      </c>
      <c r="B35" s="10"/>
      <c r="C35" s="42" t="s">
        <v>196</v>
      </c>
      <c r="D35" s="13" t="s">
        <v>198</v>
      </c>
      <c r="E35" s="17">
        <v>3</v>
      </c>
      <c r="F35" s="12" t="s">
        <v>34</v>
      </c>
      <c r="G35" s="47" t="s">
        <v>252</v>
      </c>
      <c r="I35" s="120" t="s">
        <v>316</v>
      </c>
      <c r="J35" s="25" t="s">
        <v>320</v>
      </c>
      <c r="K35" s="25" t="s">
        <v>2</v>
      </c>
      <c r="L35" s="25">
        <v>1</v>
      </c>
      <c r="M35" s="120" t="s">
        <v>34</v>
      </c>
      <c r="N35" s="124"/>
      <c r="O35" s="124"/>
      <c r="P35" s="126"/>
      <c r="Q35" s="128"/>
    </row>
    <row r="36" spans="1:17" ht="16.5" x14ac:dyDescent="0.3">
      <c r="A36" s="11"/>
      <c r="B36" s="10"/>
      <c r="C36" s="42" t="s">
        <v>197</v>
      </c>
      <c r="D36" s="13" t="s">
        <v>198</v>
      </c>
      <c r="E36" s="17">
        <v>2</v>
      </c>
      <c r="F36" s="12" t="s">
        <v>34</v>
      </c>
      <c r="G36" s="47" t="s">
        <v>252</v>
      </c>
      <c r="I36" s="120" t="s">
        <v>317</v>
      </c>
      <c r="J36" s="25" t="s">
        <v>321</v>
      </c>
      <c r="K36" s="25" t="s">
        <v>2</v>
      </c>
      <c r="L36" s="25">
        <v>9</v>
      </c>
      <c r="M36" s="120" t="s">
        <v>34</v>
      </c>
      <c r="N36" s="124"/>
      <c r="O36" s="124"/>
      <c r="P36" s="126"/>
      <c r="Q36" s="128"/>
    </row>
    <row r="37" spans="1:17" ht="16.5" x14ac:dyDescent="0.3">
      <c r="A37" s="11"/>
      <c r="B37" s="10"/>
      <c r="C37" s="42" t="s">
        <v>201</v>
      </c>
      <c r="D37" s="13" t="s">
        <v>198</v>
      </c>
      <c r="E37" s="17">
        <v>1.2</v>
      </c>
      <c r="F37" s="12" t="s">
        <v>34</v>
      </c>
      <c r="G37" s="47" t="s">
        <v>252</v>
      </c>
      <c r="I37" s="120" t="s">
        <v>322</v>
      </c>
      <c r="J37" s="25" t="s">
        <v>327</v>
      </c>
      <c r="K37" s="25" t="s">
        <v>2</v>
      </c>
      <c r="L37" s="129">
        <f>SUM(L29:L36)</f>
        <v>264.73679653679653</v>
      </c>
      <c r="M37" s="120" t="s">
        <v>35</v>
      </c>
      <c r="N37" s="124"/>
      <c r="O37" s="124"/>
      <c r="P37" s="126"/>
      <c r="Q37" s="128"/>
    </row>
    <row r="38" spans="1:17" ht="16.5" x14ac:dyDescent="0.3">
      <c r="A38" s="11"/>
      <c r="B38" s="10"/>
      <c r="C38" s="42" t="s">
        <v>202</v>
      </c>
      <c r="D38" s="13" t="s">
        <v>198</v>
      </c>
      <c r="E38" s="17">
        <v>13</v>
      </c>
      <c r="F38" s="12" t="s">
        <v>34</v>
      </c>
      <c r="G38" s="47" t="s">
        <v>252</v>
      </c>
      <c r="I38" s="120" t="s">
        <v>323</v>
      </c>
      <c r="J38" s="25" t="s">
        <v>327</v>
      </c>
      <c r="K38" s="25" t="s">
        <v>2</v>
      </c>
      <c r="L38" s="129">
        <f>L37-L15</f>
        <v>250.03679653679654</v>
      </c>
      <c r="M38" s="120" t="s">
        <v>36</v>
      </c>
      <c r="N38" s="124"/>
      <c r="O38" s="124"/>
      <c r="P38" s="126"/>
      <c r="Q38" s="128"/>
    </row>
    <row r="39" spans="1:17" x14ac:dyDescent="0.25">
      <c r="A39" s="11"/>
      <c r="B39" s="10"/>
      <c r="C39" s="42" t="s">
        <v>203</v>
      </c>
      <c r="D39" s="13" t="s">
        <v>198</v>
      </c>
      <c r="E39" s="17">
        <v>1</v>
      </c>
      <c r="F39" s="12" t="s">
        <v>34</v>
      </c>
      <c r="G39" s="47" t="s">
        <v>252</v>
      </c>
      <c r="I39" s="120" t="s">
        <v>324</v>
      </c>
      <c r="J39" s="25" t="s">
        <v>325</v>
      </c>
      <c r="K39" s="25" t="s">
        <v>2</v>
      </c>
      <c r="L39" s="129">
        <f>L38-L28</f>
        <v>61.237662337662329</v>
      </c>
      <c r="M39" s="120" t="s">
        <v>34</v>
      </c>
      <c r="N39" s="124"/>
      <c r="O39" s="124"/>
      <c r="P39" s="126"/>
      <c r="Q39" s="128"/>
    </row>
    <row r="40" spans="1:17" x14ac:dyDescent="0.25">
      <c r="A40" s="11"/>
      <c r="B40" s="10"/>
      <c r="C40" s="42" t="s">
        <v>204</v>
      </c>
      <c r="D40" s="13" t="s">
        <v>198</v>
      </c>
      <c r="E40" s="18">
        <v>9</v>
      </c>
      <c r="F40" s="12" t="s">
        <v>34</v>
      </c>
      <c r="G40" s="47" t="s">
        <v>252</v>
      </c>
      <c r="I40" s="120" t="s">
        <v>326</v>
      </c>
      <c r="J40" s="25" t="s">
        <v>4</v>
      </c>
      <c r="K40" s="25" t="s">
        <v>2</v>
      </c>
      <c r="L40" s="130">
        <f>L39*2.31/L20</f>
        <v>291.66804123711336</v>
      </c>
      <c r="M40" s="120" t="s">
        <v>170</v>
      </c>
      <c r="N40" s="125" t="s">
        <v>344</v>
      </c>
      <c r="O40" s="124"/>
      <c r="P40" s="126"/>
      <c r="Q40" s="128"/>
    </row>
    <row r="41" spans="1:17" ht="16.5" x14ac:dyDescent="0.3">
      <c r="A41" s="11"/>
      <c r="B41" s="10"/>
      <c r="C41" s="42"/>
      <c r="D41" s="11"/>
      <c r="E41" s="17">
        <f>E33+E34+E35+E36+E37+E38+E39+E40</f>
        <v>250.03679653679654</v>
      </c>
      <c r="F41" s="12" t="s">
        <v>36</v>
      </c>
      <c r="G41" s="47"/>
      <c r="I41" s="120" t="s">
        <v>330</v>
      </c>
      <c r="J41" s="25" t="s">
        <v>329</v>
      </c>
      <c r="K41" s="25" t="s">
        <v>2</v>
      </c>
      <c r="L41" s="25">
        <f>ROUNDUP(0.1*L40,0)</f>
        <v>30</v>
      </c>
      <c r="M41" s="120" t="s">
        <v>170</v>
      </c>
      <c r="N41" s="124"/>
      <c r="O41" s="124"/>
      <c r="P41" s="126"/>
      <c r="Q41" s="128"/>
    </row>
    <row r="42" spans="1:17" x14ac:dyDescent="0.25">
      <c r="A42" s="80" t="s">
        <v>143</v>
      </c>
      <c r="B42" s="10"/>
      <c r="C42" s="42"/>
      <c r="D42" s="11"/>
      <c r="E42" s="19"/>
      <c r="F42" s="12"/>
      <c r="G42" s="47"/>
      <c r="I42" s="120" t="s">
        <v>331</v>
      </c>
      <c r="J42" s="25" t="s">
        <v>4</v>
      </c>
      <c r="K42" s="25" t="s">
        <v>2</v>
      </c>
      <c r="L42" s="130">
        <f>L41+L40</f>
        <v>321.66804123711336</v>
      </c>
      <c r="M42" s="120" t="s">
        <v>170</v>
      </c>
      <c r="N42" s="125"/>
      <c r="O42" s="124"/>
      <c r="P42" s="126"/>
      <c r="Q42" s="128"/>
    </row>
    <row r="43" spans="1:17" ht="16.5" x14ac:dyDescent="0.3">
      <c r="A43" s="11" t="s">
        <v>206</v>
      </c>
      <c r="B43" s="10" t="s">
        <v>2</v>
      </c>
      <c r="C43" s="42" t="s">
        <v>207</v>
      </c>
      <c r="D43" s="11"/>
      <c r="E43" s="19" t="s">
        <v>2</v>
      </c>
      <c r="F43" s="19">
        <f>E41-E31</f>
        <v>61.237662337662329</v>
      </c>
      <c r="G43" s="47" t="s">
        <v>34</v>
      </c>
      <c r="I43" s="123" t="s">
        <v>332</v>
      </c>
      <c r="J43" s="25"/>
      <c r="K43" s="25"/>
      <c r="L43" s="25"/>
      <c r="M43" s="120"/>
      <c r="N43" s="124"/>
      <c r="O43" s="124"/>
      <c r="P43" s="126"/>
      <c r="Q43" s="128"/>
    </row>
    <row r="44" spans="1:17" ht="16.5" x14ac:dyDescent="0.3">
      <c r="A44" s="11" t="s">
        <v>4</v>
      </c>
      <c r="B44" s="10" t="s">
        <v>2</v>
      </c>
      <c r="C44" s="42" t="s">
        <v>208</v>
      </c>
      <c r="D44" s="11"/>
      <c r="E44" s="19" t="s">
        <v>2</v>
      </c>
      <c r="F44" s="28">
        <f>(F43*2.31)/C12</f>
        <v>291.66804123711336</v>
      </c>
      <c r="G44" s="47" t="s">
        <v>170</v>
      </c>
      <c r="I44" s="120" t="s">
        <v>336</v>
      </c>
      <c r="J44" s="25" t="s">
        <v>335</v>
      </c>
      <c r="K44" s="25" t="s">
        <v>2</v>
      </c>
      <c r="L44" s="129">
        <f>(L27-L21)*2.31/L20</f>
        <v>16.665979381443321</v>
      </c>
      <c r="M44" s="120" t="s">
        <v>170</v>
      </c>
      <c r="N44" s="125" t="s">
        <v>343</v>
      </c>
      <c r="O44" s="124"/>
      <c r="P44" s="126"/>
      <c r="Q44" s="128"/>
    </row>
    <row r="45" spans="1:17" ht="16.5" x14ac:dyDescent="0.3">
      <c r="A45" s="11" t="s">
        <v>181</v>
      </c>
      <c r="B45" s="10" t="s">
        <v>2</v>
      </c>
      <c r="C45" s="42" t="s">
        <v>294</v>
      </c>
      <c r="D45" s="11"/>
      <c r="E45" s="10" t="s">
        <v>2</v>
      </c>
      <c r="F45" s="28">
        <f>30+F44</f>
        <v>321.66804123711336</v>
      </c>
      <c r="G45" s="47" t="s">
        <v>170</v>
      </c>
      <c r="I45" s="123"/>
      <c r="J45" s="131" t="s">
        <v>340</v>
      </c>
      <c r="K45" s="25" t="s">
        <v>2</v>
      </c>
      <c r="L45" s="25" t="str">
        <f>IF(L44&gt;L16,"YES","NO")</f>
        <v>YES</v>
      </c>
      <c r="M45" s="120"/>
      <c r="N45" s="124"/>
      <c r="O45" s="124"/>
      <c r="P45" s="126"/>
      <c r="Q45" s="128"/>
    </row>
    <row r="46" spans="1:17" x14ac:dyDescent="0.25">
      <c r="A46" s="66" t="s">
        <v>210</v>
      </c>
      <c r="B46" s="66"/>
      <c r="C46" s="66"/>
      <c r="D46" s="11"/>
      <c r="E46" s="10"/>
      <c r="F46" s="12"/>
      <c r="G46" s="47"/>
      <c r="I46" s="123" t="s">
        <v>341</v>
      </c>
      <c r="J46" s="25"/>
      <c r="K46" s="25"/>
      <c r="L46" s="25"/>
      <c r="M46" s="120"/>
      <c r="N46" s="124"/>
      <c r="O46" s="124"/>
      <c r="P46" s="126"/>
      <c r="Q46" s="128"/>
    </row>
    <row r="47" spans="1:17" x14ac:dyDescent="0.25">
      <c r="A47" s="11" t="s">
        <v>211</v>
      </c>
      <c r="B47" s="10"/>
      <c r="C47" s="42"/>
      <c r="D47" s="11"/>
      <c r="E47" s="17">
        <f>C8</f>
        <v>200</v>
      </c>
      <c r="F47" s="12" t="s">
        <v>35</v>
      </c>
      <c r="G47" s="47"/>
      <c r="I47" s="123"/>
      <c r="J47" s="25" t="s">
        <v>24</v>
      </c>
      <c r="K47" s="25" t="s">
        <v>2</v>
      </c>
      <c r="L47" s="129">
        <f>L11*L42*L20/3960</f>
        <v>14.182636363636361</v>
      </c>
      <c r="M47" s="120" t="s">
        <v>148</v>
      </c>
      <c r="N47" s="125" t="s">
        <v>345</v>
      </c>
      <c r="O47" s="124"/>
      <c r="P47" s="126"/>
      <c r="Q47" s="128"/>
    </row>
    <row r="48" spans="1:17" x14ac:dyDescent="0.25">
      <c r="A48" s="11" t="s">
        <v>191</v>
      </c>
      <c r="B48" s="10" t="s">
        <v>2</v>
      </c>
      <c r="C48" s="42" t="s">
        <v>194</v>
      </c>
      <c r="D48" s="13" t="s">
        <v>198</v>
      </c>
      <c r="E48" s="17">
        <f>C13*(C12/2.31)</f>
        <v>4.1991341991341988</v>
      </c>
      <c r="F48" s="12" t="s">
        <v>34</v>
      </c>
      <c r="G48" s="47"/>
      <c r="I48" s="123"/>
      <c r="J48" s="25" t="s">
        <v>17</v>
      </c>
      <c r="K48" s="25" t="s">
        <v>2</v>
      </c>
      <c r="L48" s="129">
        <f>L47/L17</f>
        <v>22.87521994134897</v>
      </c>
      <c r="M48" s="120" t="s">
        <v>148</v>
      </c>
      <c r="N48" s="125" t="s">
        <v>345</v>
      </c>
      <c r="O48" s="124"/>
      <c r="P48" s="126"/>
      <c r="Q48" s="128"/>
    </row>
    <row r="49" spans="1:17" x14ac:dyDescent="0.25">
      <c r="A49" s="11" t="s">
        <v>195</v>
      </c>
      <c r="B49" s="10"/>
      <c r="C49" s="42" t="s">
        <v>197</v>
      </c>
      <c r="D49" s="13" t="s">
        <v>199</v>
      </c>
      <c r="E49" s="17">
        <v>0.2</v>
      </c>
      <c r="F49" s="12" t="s">
        <v>34</v>
      </c>
      <c r="G49" s="47"/>
      <c r="I49" s="123"/>
      <c r="J49" s="25"/>
      <c r="K49" s="25"/>
      <c r="L49" s="25"/>
      <c r="M49" s="120"/>
      <c r="N49" s="121"/>
      <c r="O49" s="121"/>
      <c r="P49" s="132"/>
      <c r="Q49" s="128"/>
    </row>
    <row r="50" spans="1:17" x14ac:dyDescent="0.25">
      <c r="A50" s="11"/>
      <c r="B50" s="10"/>
      <c r="C50" s="42" t="s">
        <v>196</v>
      </c>
      <c r="D50" s="13" t="s">
        <v>199</v>
      </c>
      <c r="E50" s="17">
        <v>0.5</v>
      </c>
      <c r="F50" s="12" t="s">
        <v>34</v>
      </c>
      <c r="G50" s="47"/>
      <c r="Q50" s="128"/>
    </row>
    <row r="51" spans="1:17" x14ac:dyDescent="0.25">
      <c r="A51" s="11" t="s">
        <v>212</v>
      </c>
      <c r="B51" s="10"/>
      <c r="C51" s="42"/>
      <c r="D51" s="13" t="s">
        <v>199</v>
      </c>
      <c r="E51" s="18">
        <v>200</v>
      </c>
      <c r="F51" s="12" t="s">
        <v>35</v>
      </c>
      <c r="G51" s="47"/>
      <c r="Q51" s="128"/>
    </row>
    <row r="52" spans="1:17" x14ac:dyDescent="0.25">
      <c r="A52" s="11"/>
      <c r="B52" s="10"/>
      <c r="C52" s="42"/>
      <c r="D52" s="11"/>
      <c r="E52" s="17">
        <f>E47+E48-E49-E50-E51</f>
        <v>3.499134199134204</v>
      </c>
      <c r="F52" s="12" t="s">
        <v>34</v>
      </c>
      <c r="G52" s="47"/>
      <c r="Q52" s="128"/>
    </row>
    <row r="53" spans="1:17" x14ac:dyDescent="0.25">
      <c r="A53" s="11" t="s">
        <v>28</v>
      </c>
      <c r="B53" s="10" t="s">
        <v>2</v>
      </c>
      <c r="C53" s="42" t="s">
        <v>213</v>
      </c>
      <c r="D53" s="11"/>
      <c r="E53" s="19" t="s">
        <v>2</v>
      </c>
      <c r="F53" s="19">
        <f>(E52*2.31)/C12</f>
        <v>16.665979381443321</v>
      </c>
      <c r="G53" s="47" t="s">
        <v>170</v>
      </c>
      <c r="Q53" s="128"/>
    </row>
    <row r="54" spans="1:17" x14ac:dyDescent="0.25">
      <c r="A54" s="5" t="s">
        <v>280</v>
      </c>
      <c r="B54" s="6"/>
      <c r="C54" s="88"/>
      <c r="D54" s="11"/>
      <c r="E54" s="17"/>
      <c r="F54" s="12"/>
      <c r="G54" s="47"/>
      <c r="Q54" s="128"/>
    </row>
    <row r="55" spans="1:17" x14ac:dyDescent="0.25">
      <c r="A55" s="11" t="s">
        <v>8</v>
      </c>
      <c r="B55" s="10" t="s">
        <v>2</v>
      </c>
      <c r="C55" s="42">
        <v>0.62</v>
      </c>
      <c r="D55" s="11"/>
      <c r="E55" s="17"/>
      <c r="F55" s="12"/>
      <c r="G55" s="47"/>
      <c r="Q55" s="128"/>
    </row>
    <row r="56" spans="1:17" x14ac:dyDescent="0.25">
      <c r="A56" s="11" t="s">
        <v>214</v>
      </c>
      <c r="B56" s="10"/>
      <c r="C56" s="42"/>
      <c r="D56" s="11"/>
      <c r="E56" s="17"/>
      <c r="F56" s="12"/>
      <c r="G56" s="47"/>
      <c r="I56" s="133"/>
      <c r="J56" s="134"/>
      <c r="K56" s="134"/>
      <c r="L56" s="134"/>
      <c r="M56" s="135"/>
      <c r="N56" s="136"/>
      <c r="O56" s="136"/>
      <c r="P56" s="137"/>
      <c r="Q56" s="128"/>
    </row>
    <row r="57" spans="1:17" x14ac:dyDescent="0.25">
      <c r="A57" s="11" t="s">
        <v>24</v>
      </c>
      <c r="B57" s="10" t="s">
        <v>2</v>
      </c>
      <c r="C57" s="42" t="s">
        <v>215</v>
      </c>
      <c r="D57" s="11"/>
      <c r="E57" s="17" t="s">
        <v>2</v>
      </c>
      <c r="F57" s="19">
        <f>(C11*F45*C12)/3960</f>
        <v>14.182636363636361</v>
      </c>
      <c r="G57" s="47" t="s">
        <v>148</v>
      </c>
      <c r="I57" s="133"/>
      <c r="J57" s="134"/>
      <c r="K57" s="134"/>
      <c r="L57" s="134"/>
      <c r="M57" s="135"/>
      <c r="N57" s="136"/>
      <c r="O57" s="136"/>
      <c r="P57" s="137"/>
      <c r="Q57" s="128"/>
    </row>
    <row r="58" spans="1:17" x14ac:dyDescent="0.25">
      <c r="A58" s="4" t="s">
        <v>17</v>
      </c>
      <c r="B58" s="93" t="s">
        <v>2</v>
      </c>
      <c r="C58" s="21" t="s">
        <v>216</v>
      </c>
      <c r="D58" s="94"/>
      <c r="E58" s="93" t="s">
        <v>2</v>
      </c>
      <c r="F58" s="22">
        <f>F57/C55</f>
        <v>22.87521994134897</v>
      </c>
      <c r="G58" s="48" t="s">
        <v>17</v>
      </c>
      <c r="I58" s="135"/>
      <c r="J58" s="134"/>
      <c r="K58" s="134"/>
      <c r="L58" s="134"/>
      <c r="M58" s="135"/>
      <c r="N58" s="136"/>
      <c r="O58" s="136"/>
      <c r="P58" s="137"/>
      <c r="Q58" s="128"/>
    </row>
    <row r="59" spans="1:17" x14ac:dyDescent="0.25">
      <c r="A59" s="4"/>
      <c r="B59" s="93"/>
      <c r="C59" s="24"/>
      <c r="D59" s="94"/>
      <c r="E59" s="4"/>
      <c r="F59" s="4"/>
      <c r="G59" s="20"/>
      <c r="I59" s="203"/>
      <c r="J59" s="203"/>
      <c r="K59" s="203"/>
      <c r="L59" s="203"/>
      <c r="M59" s="135"/>
      <c r="N59" s="136"/>
      <c r="O59" s="136"/>
      <c r="P59" s="137"/>
      <c r="Q59" s="128"/>
    </row>
    <row r="60" spans="1:17" x14ac:dyDescent="0.25">
      <c r="I60" s="135"/>
      <c r="J60" s="135"/>
      <c r="K60" s="134"/>
      <c r="L60" s="134"/>
      <c r="M60" s="135"/>
      <c r="N60" s="136"/>
      <c r="O60" s="136"/>
      <c r="P60" s="137"/>
      <c r="Q60" s="128"/>
    </row>
    <row r="61" spans="1:17" x14ac:dyDescent="0.25">
      <c r="I61" s="135"/>
      <c r="J61" s="135"/>
      <c r="K61" s="134"/>
      <c r="L61" s="134"/>
      <c r="M61" s="135"/>
      <c r="N61" s="136"/>
      <c r="O61" s="136"/>
      <c r="P61" s="137"/>
      <c r="Q61" s="128"/>
    </row>
    <row r="62" spans="1:17" x14ac:dyDescent="0.25">
      <c r="A62" s="138" t="s">
        <v>289</v>
      </c>
      <c r="I62" s="135"/>
      <c r="J62" s="135"/>
      <c r="K62" s="134"/>
      <c r="L62" s="134"/>
      <c r="M62" s="135"/>
      <c r="N62" s="136"/>
      <c r="O62" s="136"/>
      <c r="P62" s="137"/>
      <c r="Q62" s="128"/>
    </row>
    <row r="63" spans="1:17" x14ac:dyDescent="0.25">
      <c r="A63" s="138" t="s">
        <v>458</v>
      </c>
      <c r="I63" s="139"/>
      <c r="J63" s="139"/>
      <c r="K63" s="134"/>
      <c r="L63" s="134"/>
      <c r="M63" s="135"/>
      <c r="N63" s="136"/>
      <c r="O63" s="136"/>
      <c r="P63" s="140"/>
      <c r="Q63" s="128"/>
    </row>
    <row r="64" spans="1:17" x14ac:dyDescent="0.25">
      <c r="A64" s="138" t="s">
        <v>459</v>
      </c>
      <c r="I64" s="135"/>
      <c r="J64" s="135"/>
      <c r="K64" s="134"/>
      <c r="L64" s="134"/>
      <c r="M64" s="135"/>
      <c r="N64" s="136"/>
      <c r="O64" s="136"/>
      <c r="P64" s="141"/>
      <c r="Q64" s="128"/>
    </row>
    <row r="65" spans="1:17" x14ac:dyDescent="0.25">
      <c r="A65" s="138" t="s">
        <v>460</v>
      </c>
      <c r="I65" s="203"/>
      <c r="J65" s="203"/>
      <c r="K65" s="203"/>
      <c r="L65" s="203"/>
      <c r="M65" s="203"/>
      <c r="N65" s="136"/>
      <c r="O65" s="136"/>
      <c r="P65" s="141"/>
      <c r="Q65" s="128"/>
    </row>
    <row r="66" spans="1:17" x14ac:dyDescent="0.25">
      <c r="A66" s="142" t="s">
        <v>461</v>
      </c>
      <c r="I66" s="143"/>
      <c r="J66" s="143"/>
      <c r="K66" s="143"/>
      <c r="L66" s="134"/>
      <c r="M66" s="143"/>
      <c r="N66" s="136"/>
      <c r="O66" s="136"/>
      <c r="P66" s="141"/>
      <c r="Q66" s="128"/>
    </row>
    <row r="67" spans="1:17" x14ac:dyDescent="0.25">
      <c r="B67" s="118"/>
      <c r="C67" s="118"/>
      <c r="I67" s="143"/>
      <c r="J67" s="143"/>
      <c r="K67" s="144"/>
      <c r="L67" s="134"/>
      <c r="M67" s="143"/>
      <c r="N67" s="136"/>
      <c r="O67" s="136"/>
      <c r="P67" s="141"/>
      <c r="Q67" s="128"/>
    </row>
    <row r="68" spans="1:17" x14ac:dyDescent="0.25">
      <c r="B68" s="118"/>
      <c r="C68" s="118"/>
      <c r="I68" s="135"/>
      <c r="J68" s="135"/>
      <c r="K68" s="134"/>
      <c r="L68" s="134"/>
      <c r="M68" s="135"/>
      <c r="N68" s="136"/>
      <c r="O68" s="136"/>
      <c r="P68" s="141"/>
      <c r="Q68" s="128"/>
    </row>
    <row r="69" spans="1:17" x14ac:dyDescent="0.25">
      <c r="B69" s="118"/>
      <c r="C69" s="118"/>
      <c r="I69" s="203"/>
      <c r="J69" s="203"/>
      <c r="K69" s="203"/>
      <c r="L69" s="203"/>
      <c r="M69" s="203"/>
      <c r="N69" s="136"/>
      <c r="O69" s="136"/>
      <c r="P69" s="140"/>
      <c r="Q69" s="128"/>
    </row>
    <row r="70" spans="1:17" x14ac:dyDescent="0.25">
      <c r="B70" s="118"/>
      <c r="C70" s="118"/>
      <c r="I70" s="135"/>
      <c r="J70" s="135"/>
      <c r="K70" s="134"/>
      <c r="L70" s="134"/>
      <c r="M70" s="135"/>
      <c r="N70" s="136"/>
      <c r="O70" s="136"/>
      <c r="P70" s="140"/>
      <c r="Q70" s="128"/>
    </row>
    <row r="71" spans="1:17" x14ac:dyDescent="0.25">
      <c r="B71" s="118"/>
      <c r="C71" s="118"/>
      <c r="I71" s="135"/>
      <c r="J71" s="135"/>
      <c r="K71" s="134"/>
      <c r="L71" s="134"/>
      <c r="M71" s="135"/>
      <c r="N71" s="136"/>
      <c r="O71" s="136"/>
      <c r="P71" s="140"/>
      <c r="Q71" s="128"/>
    </row>
    <row r="72" spans="1:17" x14ac:dyDescent="0.25">
      <c r="B72" s="118"/>
      <c r="C72" s="118"/>
      <c r="I72" s="135"/>
      <c r="J72" s="135"/>
      <c r="K72" s="134"/>
      <c r="L72" s="134"/>
      <c r="M72" s="135"/>
      <c r="N72" s="136"/>
      <c r="O72" s="136"/>
      <c r="P72" s="141"/>
      <c r="Q72" s="128"/>
    </row>
    <row r="73" spans="1:17" x14ac:dyDescent="0.25">
      <c r="B73" s="118"/>
      <c r="C73" s="118"/>
      <c r="I73" s="203"/>
      <c r="J73" s="203"/>
      <c r="K73" s="203"/>
      <c r="L73" s="203"/>
      <c r="M73" s="203"/>
      <c r="N73" s="136"/>
      <c r="O73" s="136"/>
      <c r="P73" s="140"/>
      <c r="Q73" s="128"/>
    </row>
    <row r="74" spans="1:17" x14ac:dyDescent="0.25">
      <c r="B74" s="118"/>
      <c r="C74" s="118"/>
      <c r="I74" s="143"/>
      <c r="J74" s="143"/>
      <c r="K74" s="143"/>
      <c r="L74" s="134"/>
      <c r="M74" s="143"/>
      <c r="N74" s="136"/>
      <c r="O74" s="136"/>
      <c r="P74" s="140"/>
      <c r="Q74" s="128"/>
    </row>
    <row r="75" spans="1:17" x14ac:dyDescent="0.25">
      <c r="B75" s="118"/>
      <c r="C75" s="118"/>
      <c r="I75" s="143"/>
      <c r="J75" s="143"/>
      <c r="K75" s="143"/>
      <c r="L75" s="134"/>
      <c r="M75" s="143"/>
      <c r="N75" s="136"/>
      <c r="O75" s="136"/>
      <c r="P75" s="140"/>
      <c r="Q75" s="128"/>
    </row>
    <row r="76" spans="1:17" x14ac:dyDescent="0.25">
      <c r="B76" s="118"/>
      <c r="C76" s="118"/>
      <c r="I76" s="143"/>
      <c r="J76" s="143"/>
      <c r="K76" s="143"/>
      <c r="L76" s="134"/>
      <c r="M76" s="143"/>
      <c r="N76" s="136"/>
      <c r="O76" s="136"/>
      <c r="P76" s="140"/>
      <c r="Q76" s="128"/>
    </row>
    <row r="77" spans="1:17" x14ac:dyDescent="0.25">
      <c r="B77" s="118"/>
      <c r="C77" s="118"/>
      <c r="I77" s="145"/>
      <c r="J77" s="145"/>
      <c r="K77" s="146"/>
      <c r="L77" s="146"/>
      <c r="M77" s="147"/>
      <c r="N77" s="146"/>
      <c r="O77" s="146"/>
      <c r="P77" s="140"/>
      <c r="Q77" s="128"/>
    </row>
    <row r="78" spans="1:17" x14ac:dyDescent="0.25">
      <c r="B78" s="118"/>
      <c r="C78" s="118"/>
      <c r="I78" s="147"/>
      <c r="J78" s="147"/>
      <c r="K78" s="146"/>
      <c r="L78" s="146"/>
      <c r="M78" s="147"/>
      <c r="N78" s="146"/>
      <c r="O78" s="146"/>
      <c r="P78" s="148"/>
      <c r="Q78" s="128"/>
    </row>
    <row r="79" spans="1:17" x14ac:dyDescent="0.25">
      <c r="B79" s="118"/>
      <c r="C79" s="118"/>
      <c r="I79" s="200"/>
      <c r="J79" s="200"/>
      <c r="K79" s="200"/>
      <c r="L79" s="200"/>
      <c r="M79" s="200"/>
      <c r="N79" s="146"/>
      <c r="O79" s="149"/>
      <c r="P79" s="150"/>
      <c r="Q79" s="128"/>
    </row>
    <row r="80" spans="1:17" x14ac:dyDescent="0.25">
      <c r="B80" s="118"/>
      <c r="C80" s="118"/>
      <c r="I80" s="147"/>
      <c r="J80" s="147"/>
      <c r="K80" s="146"/>
      <c r="L80" s="146"/>
      <c r="M80" s="147"/>
      <c r="N80" s="146"/>
      <c r="O80" s="149"/>
      <c r="P80" s="150"/>
      <c r="Q80" s="128"/>
    </row>
    <row r="81" spans="2:17" x14ac:dyDescent="0.25">
      <c r="B81" s="118"/>
      <c r="C81" s="118"/>
      <c r="I81" s="147"/>
      <c r="J81" s="147"/>
      <c r="K81" s="146"/>
      <c r="L81" s="146"/>
      <c r="M81" s="147"/>
      <c r="N81" s="146"/>
      <c r="O81" s="146"/>
      <c r="P81" s="150"/>
      <c r="Q81" s="128"/>
    </row>
    <row r="82" spans="2:17" x14ac:dyDescent="0.25">
      <c r="B82" s="118"/>
      <c r="C82" s="118"/>
      <c r="I82" s="147"/>
      <c r="J82" s="147"/>
      <c r="K82" s="146"/>
      <c r="L82" s="146"/>
      <c r="M82" s="151"/>
      <c r="N82" s="152"/>
      <c r="O82" s="146"/>
      <c r="P82" s="150"/>
      <c r="Q82" s="128"/>
    </row>
    <row r="83" spans="2:17" x14ac:dyDescent="0.25">
      <c r="B83" s="118"/>
      <c r="C83" s="118"/>
      <c r="I83" s="147"/>
      <c r="J83" s="147"/>
      <c r="K83" s="146"/>
      <c r="L83" s="146"/>
      <c r="M83" s="151"/>
      <c r="N83" s="146"/>
      <c r="O83" s="146"/>
      <c r="P83" s="153"/>
    </row>
    <row r="84" spans="2:17" x14ac:dyDescent="0.25">
      <c r="I84" s="147"/>
      <c r="J84" s="147"/>
      <c r="K84" s="146"/>
      <c r="L84" s="146"/>
      <c r="M84" s="151"/>
      <c r="N84" s="154"/>
      <c r="O84" s="146"/>
      <c r="P84" s="153"/>
    </row>
    <row r="85" spans="2:17" x14ac:dyDescent="0.25">
      <c r="I85" s="147"/>
      <c r="J85" s="147"/>
      <c r="K85" s="146"/>
      <c r="L85" s="146"/>
      <c r="M85" s="147"/>
      <c r="N85" s="152"/>
      <c r="O85" s="149"/>
      <c r="P85" s="153"/>
    </row>
    <row r="86" spans="2:17" x14ac:dyDescent="0.25">
      <c r="I86" s="200"/>
      <c r="J86" s="200"/>
      <c r="K86" s="200"/>
      <c r="L86" s="200"/>
      <c r="M86" s="200"/>
      <c r="N86" s="146"/>
      <c r="O86" s="149"/>
      <c r="P86" s="153"/>
    </row>
    <row r="87" spans="2:17" x14ac:dyDescent="0.25">
      <c r="I87" s="147"/>
      <c r="J87" s="147"/>
      <c r="K87" s="146"/>
      <c r="L87" s="146"/>
      <c r="M87" s="147"/>
      <c r="N87" s="146"/>
      <c r="O87" s="149"/>
      <c r="P87" s="153"/>
    </row>
    <row r="88" spans="2:17" x14ac:dyDescent="0.25">
      <c r="I88" s="147"/>
      <c r="J88" s="147"/>
      <c r="K88" s="146"/>
      <c r="L88" s="146"/>
      <c r="M88" s="147"/>
      <c r="N88" s="155"/>
      <c r="O88" s="149"/>
      <c r="P88" s="153"/>
    </row>
    <row r="89" spans="2:17" x14ac:dyDescent="0.25">
      <c r="I89" s="147"/>
      <c r="J89" s="147"/>
      <c r="K89" s="146"/>
      <c r="L89" s="146"/>
      <c r="M89" s="151"/>
      <c r="N89" s="155"/>
      <c r="O89" s="149"/>
      <c r="P89" s="153"/>
    </row>
    <row r="90" spans="2:17" x14ac:dyDescent="0.25">
      <c r="I90" s="147"/>
      <c r="J90" s="147"/>
      <c r="K90" s="146"/>
      <c r="L90" s="146"/>
      <c r="M90" s="151"/>
      <c r="N90" s="155"/>
      <c r="O90" s="149"/>
      <c r="P90" s="153"/>
    </row>
    <row r="91" spans="2:17" x14ac:dyDescent="0.25">
      <c r="I91" s="147"/>
      <c r="J91" s="147"/>
      <c r="K91" s="146"/>
      <c r="L91" s="146"/>
      <c r="M91" s="151"/>
      <c r="N91" s="155"/>
      <c r="O91" s="149"/>
      <c r="P91" s="153"/>
    </row>
    <row r="92" spans="2:17" x14ac:dyDescent="0.25">
      <c r="I92" s="147"/>
      <c r="J92" s="147"/>
      <c r="K92" s="146"/>
      <c r="L92" s="146"/>
      <c r="M92" s="151"/>
      <c r="N92" s="155"/>
      <c r="O92" s="149"/>
      <c r="P92" s="153"/>
    </row>
    <row r="93" spans="2:17" x14ac:dyDescent="0.25">
      <c r="I93" s="147"/>
      <c r="J93" s="147"/>
      <c r="K93" s="146"/>
      <c r="L93" s="146"/>
      <c r="M93" s="151"/>
      <c r="N93" s="155"/>
      <c r="O93" s="149"/>
      <c r="P93" s="153"/>
    </row>
    <row r="94" spans="2:17" x14ac:dyDescent="0.25">
      <c r="I94" s="147"/>
      <c r="J94" s="147"/>
      <c r="K94" s="146"/>
      <c r="L94" s="146"/>
      <c r="M94" s="151"/>
      <c r="N94" s="155"/>
      <c r="O94" s="149"/>
      <c r="P94" s="153"/>
    </row>
    <row r="95" spans="2:17" x14ac:dyDescent="0.25">
      <c r="I95" s="147"/>
      <c r="J95" s="147"/>
      <c r="K95" s="146"/>
      <c r="L95" s="146"/>
      <c r="M95" s="151"/>
      <c r="N95" s="156"/>
      <c r="O95" s="149"/>
      <c r="P95" s="153"/>
    </row>
    <row r="96" spans="2:17" x14ac:dyDescent="0.25">
      <c r="I96" s="147"/>
      <c r="J96" s="147"/>
      <c r="K96" s="146"/>
      <c r="L96" s="146"/>
      <c r="M96" s="147"/>
      <c r="N96" s="155"/>
      <c r="O96" s="149"/>
      <c r="P96" s="153"/>
    </row>
    <row r="97" spans="9:16" x14ac:dyDescent="0.25">
      <c r="I97" s="147"/>
      <c r="J97" s="147"/>
      <c r="K97" s="146"/>
      <c r="L97" s="146"/>
      <c r="M97" s="147"/>
      <c r="N97" s="155"/>
      <c r="O97" s="149"/>
      <c r="P97" s="153"/>
    </row>
    <row r="98" spans="9:16" x14ac:dyDescent="0.25">
      <c r="I98" s="147"/>
      <c r="J98" s="147"/>
      <c r="K98" s="146"/>
      <c r="L98" s="146"/>
      <c r="M98" s="147"/>
      <c r="N98" s="155"/>
      <c r="O98" s="149"/>
      <c r="P98" s="153"/>
    </row>
    <row r="99" spans="9:16" x14ac:dyDescent="0.25">
      <c r="I99" s="147"/>
      <c r="J99" s="147"/>
      <c r="K99" s="146"/>
      <c r="L99" s="146"/>
      <c r="M99" s="147"/>
      <c r="N99" s="155"/>
      <c r="O99" s="155"/>
      <c r="P99" s="153"/>
    </row>
    <row r="100" spans="9:16" x14ac:dyDescent="0.25">
      <c r="I100" s="147"/>
      <c r="J100" s="147"/>
      <c r="K100" s="146"/>
      <c r="L100" s="146"/>
      <c r="M100" s="147"/>
      <c r="N100" s="155"/>
      <c r="O100" s="149"/>
      <c r="P100" s="153"/>
    </row>
    <row r="101" spans="9:16" x14ac:dyDescent="0.25">
      <c r="I101" s="147"/>
      <c r="J101" s="147"/>
      <c r="K101" s="146"/>
      <c r="L101" s="146"/>
      <c r="M101" s="147"/>
      <c r="N101" s="155"/>
      <c r="O101" s="155"/>
      <c r="P101" s="153"/>
    </row>
    <row r="102" spans="9:16" x14ac:dyDescent="0.25">
      <c r="I102" s="147"/>
      <c r="J102" s="147"/>
      <c r="K102" s="146"/>
      <c r="L102" s="146"/>
      <c r="M102" s="147"/>
      <c r="N102" s="146"/>
      <c r="O102" s="149"/>
      <c r="P102" s="153"/>
    </row>
    <row r="103" spans="9:16" x14ac:dyDescent="0.25">
      <c r="I103" s="147"/>
      <c r="J103" s="147"/>
      <c r="K103" s="146"/>
      <c r="L103" s="146"/>
      <c r="M103" s="147"/>
      <c r="N103" s="146"/>
      <c r="O103" s="155"/>
      <c r="P103" s="153"/>
    </row>
    <row r="104" spans="9:16" x14ac:dyDescent="0.25">
      <c r="I104" s="147"/>
      <c r="J104" s="147"/>
      <c r="K104" s="146"/>
      <c r="L104" s="146"/>
      <c r="M104" s="147"/>
      <c r="N104" s="146"/>
      <c r="O104" s="149"/>
      <c r="P104" s="153"/>
    </row>
    <row r="105" spans="9:16" x14ac:dyDescent="0.25">
      <c r="I105" s="200"/>
      <c r="J105" s="200"/>
      <c r="K105" s="200"/>
      <c r="L105" s="200"/>
      <c r="M105" s="147"/>
      <c r="N105" s="146"/>
      <c r="O105" s="149"/>
      <c r="P105" s="153"/>
    </row>
    <row r="106" spans="9:16" x14ac:dyDescent="0.25">
      <c r="I106" s="147"/>
      <c r="J106" s="147"/>
      <c r="K106" s="146"/>
      <c r="L106" s="146"/>
      <c r="M106" s="147"/>
      <c r="N106" s="146"/>
      <c r="O106" s="149"/>
      <c r="P106" s="153"/>
    </row>
    <row r="107" spans="9:16" x14ac:dyDescent="0.25">
      <c r="I107" s="147"/>
      <c r="J107" s="147"/>
      <c r="K107" s="146"/>
      <c r="L107" s="146"/>
      <c r="M107" s="147"/>
      <c r="N107" s="155"/>
      <c r="O107" s="149"/>
      <c r="P107" s="153"/>
    </row>
    <row r="108" spans="9:16" x14ac:dyDescent="0.25">
      <c r="I108" s="147"/>
      <c r="J108" s="147"/>
      <c r="K108" s="146"/>
      <c r="L108" s="146"/>
      <c r="M108" s="151"/>
      <c r="N108" s="155"/>
      <c r="O108" s="149"/>
      <c r="P108" s="153"/>
    </row>
    <row r="109" spans="9:16" x14ac:dyDescent="0.25">
      <c r="I109" s="147"/>
      <c r="J109" s="147"/>
      <c r="K109" s="146"/>
      <c r="L109" s="146"/>
      <c r="M109" s="151"/>
      <c r="N109" s="155"/>
      <c r="O109" s="149"/>
      <c r="P109" s="153"/>
    </row>
    <row r="110" spans="9:16" x14ac:dyDescent="0.25">
      <c r="I110" s="147"/>
      <c r="J110" s="147"/>
      <c r="K110" s="146"/>
      <c r="L110" s="146"/>
      <c r="M110" s="151"/>
      <c r="N110" s="155"/>
      <c r="O110" s="149"/>
      <c r="P110" s="153"/>
    </row>
    <row r="111" spans="9:16" x14ac:dyDescent="0.25">
      <c r="I111" s="147"/>
      <c r="J111" s="147"/>
      <c r="K111" s="146"/>
      <c r="L111" s="146"/>
      <c r="M111" s="151"/>
      <c r="N111" s="156"/>
      <c r="O111" s="149"/>
      <c r="P111" s="153"/>
    </row>
    <row r="112" spans="9:16" x14ac:dyDescent="0.25">
      <c r="I112" s="147"/>
      <c r="J112" s="147"/>
      <c r="K112" s="146"/>
      <c r="L112" s="146"/>
      <c r="M112" s="147"/>
      <c r="N112" s="155"/>
      <c r="O112" s="149"/>
      <c r="P112" s="153"/>
    </row>
    <row r="113" spans="9:16" x14ac:dyDescent="0.25">
      <c r="I113" s="147"/>
      <c r="J113" s="147"/>
      <c r="K113" s="146"/>
      <c r="L113" s="146"/>
      <c r="M113" s="155"/>
      <c r="N113" s="155"/>
      <c r="O113" s="157"/>
      <c r="P113" s="153"/>
    </row>
    <row r="114" spans="9:16" x14ac:dyDescent="0.25">
      <c r="I114" s="147"/>
      <c r="J114" s="147"/>
      <c r="K114" s="146"/>
      <c r="L114" s="146"/>
      <c r="M114" s="147"/>
      <c r="N114" s="155"/>
      <c r="O114" s="149"/>
      <c r="P114" s="153"/>
    </row>
    <row r="115" spans="9:16" x14ac:dyDescent="0.25">
      <c r="I115" s="135"/>
      <c r="J115" s="135"/>
      <c r="K115" s="134"/>
      <c r="L115" s="134"/>
      <c r="M115" s="147"/>
      <c r="N115" s="155"/>
      <c r="O115" s="149"/>
      <c r="P115" s="153"/>
    </row>
    <row r="116" spans="9:16" x14ac:dyDescent="0.25">
      <c r="I116" s="147"/>
      <c r="J116" s="147"/>
      <c r="K116" s="146"/>
      <c r="L116" s="146"/>
      <c r="M116" s="147"/>
      <c r="N116" s="155"/>
      <c r="O116" s="149"/>
      <c r="P116" s="153"/>
    </row>
    <row r="117" spans="9:16" x14ac:dyDescent="0.25">
      <c r="I117" s="147"/>
      <c r="J117" s="147"/>
      <c r="K117" s="146"/>
      <c r="L117" s="146"/>
      <c r="M117" s="147"/>
      <c r="N117" s="155"/>
      <c r="O117" s="149"/>
      <c r="P117" s="153"/>
    </row>
    <row r="118" spans="9:16" x14ac:dyDescent="0.25">
      <c r="I118" s="147"/>
      <c r="J118" s="147"/>
      <c r="K118" s="146"/>
      <c r="L118" s="146"/>
      <c r="M118" s="147"/>
      <c r="N118" s="155"/>
      <c r="O118" s="149"/>
      <c r="P118" s="153"/>
    </row>
    <row r="119" spans="9:16" x14ac:dyDescent="0.25">
      <c r="I119" s="147"/>
      <c r="J119" s="147"/>
      <c r="K119" s="146"/>
      <c r="L119" s="146"/>
      <c r="M119" s="147"/>
      <c r="N119" s="155"/>
      <c r="O119" s="149"/>
      <c r="P119" s="153"/>
    </row>
    <row r="120" spans="9:16" x14ac:dyDescent="0.25">
      <c r="I120" s="147"/>
      <c r="J120" s="147"/>
      <c r="K120" s="146"/>
      <c r="L120" s="146"/>
      <c r="M120" s="147"/>
      <c r="N120" s="155"/>
      <c r="O120" s="149"/>
      <c r="P120" s="153"/>
    </row>
    <row r="121" spans="9:16" x14ac:dyDescent="0.25">
      <c r="I121" s="147"/>
      <c r="J121" s="147"/>
      <c r="K121" s="146"/>
      <c r="L121" s="146"/>
      <c r="M121" s="147"/>
      <c r="N121" s="155"/>
      <c r="O121" s="155"/>
      <c r="P121" s="153"/>
    </row>
    <row r="122" spans="9:16" x14ac:dyDescent="0.25">
      <c r="I122" s="158"/>
      <c r="J122" s="158"/>
      <c r="K122" s="136"/>
      <c r="L122" s="136"/>
      <c r="M122" s="158"/>
      <c r="N122" s="136"/>
      <c r="O122" s="159"/>
      <c r="P122" s="160"/>
    </row>
    <row r="123" spans="9:16" x14ac:dyDescent="0.25">
      <c r="I123" s="158"/>
      <c r="J123" s="158"/>
      <c r="K123" s="136"/>
      <c r="L123" s="161"/>
      <c r="M123" s="162"/>
      <c r="N123" s="136"/>
      <c r="O123" s="163"/>
      <c r="P123" s="164"/>
    </row>
    <row r="124" spans="9:16" x14ac:dyDescent="0.25">
      <c r="I124" s="158"/>
      <c r="J124" s="158"/>
      <c r="K124" s="136"/>
      <c r="L124" s="136"/>
      <c r="M124" s="162"/>
      <c r="N124" s="136"/>
      <c r="O124" s="136"/>
      <c r="P124" s="165"/>
    </row>
  </sheetData>
  <sheetProtection password="E156" sheet="1" objects="1" scenarios="1"/>
  <mergeCells count="10">
    <mergeCell ref="I86:M86"/>
    <mergeCell ref="I105:L105"/>
    <mergeCell ref="I79:M79"/>
    <mergeCell ref="A16:C16"/>
    <mergeCell ref="A5:G5"/>
    <mergeCell ref="I59:L59"/>
    <mergeCell ref="I65:M65"/>
    <mergeCell ref="I69:M69"/>
    <mergeCell ref="I73:M73"/>
    <mergeCell ref="I5:P5"/>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N30"/>
  <sheetViews>
    <sheetView zoomScaleNormal="100" workbookViewId="0">
      <selection activeCell="H32" sqref="H32"/>
    </sheetView>
  </sheetViews>
  <sheetFormatPr defaultRowHeight="15" x14ac:dyDescent="0.25"/>
  <cols>
    <col min="1" max="1" width="29.42578125" style="1" customWidth="1"/>
    <col min="2" max="2" width="9.140625" style="49"/>
    <col min="3" max="3" width="19.85546875" style="49" bestFit="1" customWidth="1"/>
    <col min="4" max="4" width="12.85546875" style="1" customWidth="1"/>
    <col min="5" max="5" width="9.140625" style="1"/>
    <col min="6" max="6" width="11.140625" style="1" customWidth="1"/>
    <col min="7" max="7" width="9.140625" style="1"/>
    <col min="8" max="8" width="29.85546875" style="1" customWidth="1"/>
    <col min="9" max="9" width="7.42578125" style="1" customWidth="1"/>
    <col min="10" max="10" width="9.140625" style="49"/>
    <col min="11" max="11" width="18.7109375" style="49" bestFit="1" customWidth="1"/>
    <col min="12" max="12" width="11.85546875" style="49" customWidth="1"/>
    <col min="13" max="16384" width="9.140625" style="1"/>
  </cols>
  <sheetData>
    <row r="1" spans="1:14" x14ac:dyDescent="0.25">
      <c r="A1" s="97" t="s">
        <v>453</v>
      </c>
    </row>
    <row r="5" spans="1:14" ht="36.75" customHeight="1" x14ac:dyDescent="0.25">
      <c r="A5" s="202" t="s">
        <v>443</v>
      </c>
      <c r="B5" s="202"/>
      <c r="C5" s="202"/>
      <c r="D5" s="202"/>
      <c r="E5" s="202"/>
      <c r="F5" s="202"/>
      <c r="H5" s="205" t="s">
        <v>444</v>
      </c>
      <c r="I5" s="205"/>
      <c r="J5" s="205"/>
      <c r="K5" s="205"/>
      <c r="L5" s="205"/>
      <c r="M5" s="205"/>
      <c r="N5" s="205"/>
    </row>
    <row r="6" spans="1:14" x14ac:dyDescent="0.25">
      <c r="A6" s="5"/>
      <c r="B6" s="6"/>
      <c r="C6" s="6"/>
      <c r="D6" s="5"/>
      <c r="E6" s="4"/>
      <c r="F6" s="4"/>
      <c r="H6" s="2"/>
      <c r="I6" s="2"/>
      <c r="J6" s="3"/>
      <c r="K6" s="3"/>
      <c r="L6" s="3"/>
      <c r="M6" s="51"/>
      <c r="N6" s="51"/>
    </row>
    <row r="7" spans="1:14" x14ac:dyDescent="0.25">
      <c r="A7" s="44" t="s">
        <v>132</v>
      </c>
      <c r="B7" s="6"/>
      <c r="C7" s="6"/>
      <c r="D7" s="5"/>
      <c r="E7" s="4"/>
      <c r="F7" s="4"/>
      <c r="H7" s="29" t="s">
        <v>300</v>
      </c>
      <c r="I7" s="2"/>
      <c r="J7" s="3"/>
      <c r="K7" s="3"/>
      <c r="L7" s="3"/>
      <c r="M7" s="51"/>
      <c r="N7" s="51"/>
    </row>
    <row r="8" spans="1:14" x14ac:dyDescent="0.25">
      <c r="A8" s="5"/>
      <c r="B8" s="6"/>
      <c r="C8" s="6"/>
      <c r="D8" s="5"/>
      <c r="E8" s="4"/>
      <c r="F8" s="4"/>
      <c r="H8" s="2"/>
      <c r="I8" s="2"/>
      <c r="J8" s="3"/>
      <c r="K8" s="3"/>
      <c r="L8" s="3"/>
      <c r="M8" s="51"/>
      <c r="N8" s="51"/>
    </row>
    <row r="9" spans="1:14" x14ac:dyDescent="0.25">
      <c r="A9" s="52" t="s">
        <v>234</v>
      </c>
      <c r="B9" s="6" t="s">
        <v>2</v>
      </c>
      <c r="C9" s="6">
        <v>10</v>
      </c>
      <c r="D9" s="6" t="s">
        <v>22</v>
      </c>
      <c r="E9" s="4"/>
      <c r="F9" s="4"/>
      <c r="H9" s="39" t="s">
        <v>346</v>
      </c>
      <c r="I9" s="3" t="s">
        <v>11</v>
      </c>
      <c r="J9" s="3" t="s">
        <v>2</v>
      </c>
      <c r="K9" s="25">
        <v>10</v>
      </c>
      <c r="L9" s="3" t="s">
        <v>22</v>
      </c>
      <c r="M9" s="51"/>
      <c r="N9" s="51"/>
    </row>
    <row r="10" spans="1:14" x14ac:dyDescent="0.25">
      <c r="A10" s="52" t="s">
        <v>236</v>
      </c>
      <c r="B10" s="6" t="s">
        <v>2</v>
      </c>
      <c r="C10" s="6">
        <v>3000</v>
      </c>
      <c r="D10" s="6" t="s">
        <v>34</v>
      </c>
      <c r="E10" s="4"/>
      <c r="F10" s="4"/>
      <c r="H10" s="39" t="s">
        <v>143</v>
      </c>
      <c r="I10" s="3" t="s">
        <v>325</v>
      </c>
      <c r="J10" s="3" t="s">
        <v>2</v>
      </c>
      <c r="K10" s="25">
        <v>3000</v>
      </c>
      <c r="L10" s="3" t="s">
        <v>34</v>
      </c>
      <c r="M10" s="51"/>
      <c r="N10" s="51"/>
    </row>
    <row r="11" spans="1:14" x14ac:dyDescent="0.25">
      <c r="A11" s="52" t="s">
        <v>235</v>
      </c>
      <c r="B11" s="6" t="s">
        <v>2</v>
      </c>
      <c r="C11" s="6">
        <v>0.9</v>
      </c>
      <c r="D11" s="5"/>
      <c r="E11" s="4"/>
      <c r="F11" s="4"/>
      <c r="H11" s="39" t="s">
        <v>347</v>
      </c>
      <c r="I11" s="3" t="s">
        <v>8</v>
      </c>
      <c r="J11" s="3" t="s">
        <v>2</v>
      </c>
      <c r="K11" s="25">
        <v>0.9</v>
      </c>
      <c r="L11" s="3"/>
      <c r="M11" s="51"/>
      <c r="N11" s="51"/>
    </row>
    <row r="12" spans="1:14" x14ac:dyDescent="0.25">
      <c r="A12" s="5"/>
      <c r="B12" s="6"/>
      <c r="C12" s="6"/>
      <c r="D12" s="5"/>
      <c r="E12" s="4"/>
      <c r="F12" s="4"/>
      <c r="H12" s="2"/>
      <c r="I12" s="2"/>
      <c r="J12" s="3"/>
      <c r="K12" s="3"/>
      <c r="L12" s="3"/>
      <c r="M12" s="51"/>
      <c r="N12" s="51"/>
    </row>
    <row r="13" spans="1:14" x14ac:dyDescent="0.25">
      <c r="A13" s="201" t="s">
        <v>144</v>
      </c>
      <c r="B13" s="201"/>
      <c r="C13" s="201"/>
      <c r="D13" s="5"/>
      <c r="E13" s="4"/>
      <c r="F13" s="4"/>
      <c r="H13" s="208" t="s">
        <v>348</v>
      </c>
      <c r="I13" s="208"/>
      <c r="J13" s="208"/>
      <c r="K13" s="208"/>
      <c r="L13" s="3"/>
      <c r="M13" s="51"/>
      <c r="N13" s="51"/>
    </row>
    <row r="14" spans="1:14" x14ac:dyDescent="0.25">
      <c r="A14" s="5"/>
      <c r="B14" s="6"/>
      <c r="C14" s="6"/>
      <c r="D14" s="5"/>
      <c r="E14" s="4"/>
      <c r="F14" s="4"/>
      <c r="H14" s="2"/>
      <c r="I14" s="2"/>
      <c r="J14" s="3"/>
      <c r="K14" s="3"/>
      <c r="L14" s="3"/>
      <c r="M14" s="51"/>
      <c r="N14" s="51"/>
    </row>
    <row r="15" spans="1:14" x14ac:dyDescent="0.25">
      <c r="A15" s="5" t="s">
        <v>17</v>
      </c>
      <c r="B15" s="6" t="s">
        <v>2</v>
      </c>
      <c r="C15" s="7" t="s">
        <v>145</v>
      </c>
      <c r="D15" s="43"/>
      <c r="E15" s="43" t="s">
        <v>146</v>
      </c>
      <c r="F15" s="43"/>
      <c r="H15" s="2" t="s">
        <v>348</v>
      </c>
      <c r="I15" s="3" t="s">
        <v>17</v>
      </c>
      <c r="J15" s="3" t="s">
        <v>2</v>
      </c>
      <c r="K15" s="53">
        <f>K9*K10/(1714*K11)</f>
        <v>19.447685725398674</v>
      </c>
      <c r="L15" s="3" t="s">
        <v>148</v>
      </c>
      <c r="M15" s="54" t="s">
        <v>146</v>
      </c>
      <c r="N15" s="51"/>
    </row>
    <row r="16" spans="1:14" x14ac:dyDescent="0.25">
      <c r="A16" s="5"/>
      <c r="B16" s="6"/>
      <c r="C16" s="6"/>
      <c r="D16" s="5"/>
      <c r="E16" s="4"/>
      <c r="F16" s="4"/>
      <c r="H16" s="2"/>
      <c r="I16" s="2"/>
      <c r="J16" s="3"/>
      <c r="K16" s="3"/>
      <c r="L16" s="3"/>
      <c r="M16" s="51"/>
      <c r="N16" s="51"/>
    </row>
    <row r="17" spans="1:14" x14ac:dyDescent="0.25">
      <c r="A17" s="81" t="s">
        <v>135</v>
      </c>
      <c r="B17" s="10"/>
      <c r="C17" s="10"/>
      <c r="D17" s="11"/>
      <c r="E17" s="11"/>
      <c r="F17" s="11"/>
      <c r="H17" s="30"/>
      <c r="I17" s="30"/>
      <c r="J17" s="31"/>
      <c r="K17" s="31"/>
      <c r="L17" s="31"/>
      <c r="M17" s="32"/>
      <c r="N17" s="32"/>
    </row>
    <row r="18" spans="1:14" x14ac:dyDescent="0.25">
      <c r="A18" s="4" t="s">
        <v>17</v>
      </c>
      <c r="B18" s="93" t="s">
        <v>2</v>
      </c>
      <c r="C18" s="21" t="s">
        <v>147</v>
      </c>
      <c r="D18" s="93" t="s">
        <v>2</v>
      </c>
      <c r="E18" s="22">
        <f>(C9*C10)/(1714*C11)</f>
        <v>19.447685725398674</v>
      </c>
      <c r="F18" s="23" t="s">
        <v>148</v>
      </c>
      <c r="H18" s="36"/>
      <c r="I18" s="36"/>
      <c r="J18" s="92"/>
      <c r="K18" s="65"/>
      <c r="L18" s="92"/>
      <c r="M18" s="82"/>
      <c r="N18" s="37"/>
    </row>
    <row r="19" spans="1:14" x14ac:dyDescent="0.25">
      <c r="A19" s="4"/>
      <c r="B19" s="93"/>
      <c r="C19" s="21"/>
      <c r="D19" s="94"/>
      <c r="E19" s="93"/>
      <c r="F19" s="22"/>
      <c r="H19" s="36"/>
      <c r="I19" s="36"/>
      <c r="J19" s="92"/>
      <c r="K19" s="65"/>
      <c r="L19" s="83"/>
      <c r="M19" s="92"/>
      <c r="N19" s="50"/>
    </row>
    <row r="20" spans="1:14" x14ac:dyDescent="0.25">
      <c r="A20" s="36"/>
      <c r="B20" s="92"/>
      <c r="C20" s="210"/>
      <c r="D20" s="211"/>
      <c r="E20" s="36"/>
      <c r="F20" s="36"/>
      <c r="H20" s="34"/>
      <c r="I20" s="34"/>
      <c r="J20" s="35"/>
      <c r="K20" s="35"/>
      <c r="L20" s="35"/>
      <c r="M20" s="34"/>
      <c r="N20" s="34"/>
    </row>
    <row r="21" spans="1:14" x14ac:dyDescent="0.25">
      <c r="A21" s="34"/>
      <c r="B21" s="35"/>
      <c r="C21" s="35"/>
      <c r="D21" s="34"/>
      <c r="E21" s="36"/>
      <c r="F21" s="36"/>
      <c r="H21" s="34"/>
      <c r="I21" s="34"/>
      <c r="J21" s="35"/>
      <c r="K21" s="35"/>
      <c r="L21" s="35"/>
      <c r="M21" s="34"/>
      <c r="N21" s="34"/>
    </row>
    <row r="22" spans="1:14" x14ac:dyDescent="0.25">
      <c r="A22" s="98" t="s">
        <v>289</v>
      </c>
      <c r="B22" s="35"/>
      <c r="C22" s="90"/>
      <c r="D22" s="34"/>
      <c r="E22" s="36"/>
      <c r="F22" s="36"/>
      <c r="H22" s="34"/>
      <c r="I22" s="34"/>
      <c r="J22" s="35"/>
      <c r="K22" s="90"/>
      <c r="L22" s="35"/>
      <c r="M22" s="36"/>
      <c r="N22" s="34"/>
    </row>
    <row r="23" spans="1:14" x14ac:dyDescent="0.25">
      <c r="A23" s="98" t="s">
        <v>458</v>
      </c>
      <c r="B23" s="92"/>
      <c r="C23" s="92"/>
      <c r="D23" s="36"/>
      <c r="E23" s="36"/>
      <c r="F23" s="36"/>
      <c r="H23" s="34"/>
      <c r="I23" s="34"/>
      <c r="J23" s="35"/>
      <c r="K23" s="35"/>
      <c r="L23" s="35"/>
      <c r="M23" s="34"/>
      <c r="N23" s="34"/>
    </row>
    <row r="24" spans="1:14" x14ac:dyDescent="0.25">
      <c r="A24" s="98" t="s">
        <v>459</v>
      </c>
      <c r="H24" s="30"/>
      <c r="I24" s="30"/>
      <c r="J24" s="31"/>
      <c r="K24" s="31"/>
      <c r="L24" s="31"/>
      <c r="M24" s="32"/>
      <c r="N24" s="32"/>
    </row>
    <row r="25" spans="1:14" x14ac:dyDescent="0.25">
      <c r="A25" s="98" t="s">
        <v>460</v>
      </c>
      <c r="H25" s="32"/>
      <c r="I25" s="32"/>
      <c r="J25" s="31"/>
      <c r="K25" s="31"/>
      <c r="L25" s="31"/>
      <c r="M25" s="32"/>
      <c r="N25" s="32"/>
    </row>
    <row r="26" spans="1:14" x14ac:dyDescent="0.25">
      <c r="A26" s="99" t="s">
        <v>461</v>
      </c>
      <c r="H26" s="32"/>
      <c r="I26" s="32"/>
      <c r="J26" s="31"/>
      <c r="K26" s="87"/>
      <c r="L26" s="31"/>
      <c r="M26" s="31"/>
      <c r="N26" s="33"/>
    </row>
    <row r="27" spans="1:14" x14ac:dyDescent="0.25">
      <c r="H27" s="32"/>
      <c r="I27" s="32"/>
      <c r="J27" s="31"/>
      <c r="K27" s="87"/>
      <c r="L27" s="31"/>
      <c r="M27" s="31"/>
      <c r="N27" s="33"/>
    </row>
    <row r="28" spans="1:14" x14ac:dyDescent="0.25">
      <c r="H28" s="34"/>
      <c r="I28" s="34"/>
      <c r="J28" s="35"/>
      <c r="K28" s="90"/>
      <c r="L28" s="35"/>
      <c r="M28" s="35"/>
      <c r="N28" s="55"/>
    </row>
    <row r="29" spans="1:14" x14ac:dyDescent="0.25">
      <c r="H29" s="56"/>
      <c r="I29" s="56"/>
      <c r="J29" s="91"/>
      <c r="K29" s="209"/>
      <c r="L29" s="207"/>
      <c r="M29" s="91"/>
      <c r="N29" s="57"/>
    </row>
    <row r="30" spans="1:14" x14ac:dyDescent="0.25">
      <c r="H30" s="56"/>
      <c r="I30" s="56"/>
      <c r="J30" s="91"/>
      <c r="K30" s="206"/>
      <c r="L30" s="207"/>
      <c r="M30" s="56"/>
      <c r="N30" s="56"/>
    </row>
  </sheetData>
  <sheetProtection password="E156" sheet="1" objects="1" scenarios="1"/>
  <mergeCells count="7">
    <mergeCell ref="A5:F5"/>
    <mergeCell ref="H5:N5"/>
    <mergeCell ref="K30:L30"/>
    <mergeCell ref="A13:C13"/>
    <mergeCell ref="H13:K13"/>
    <mergeCell ref="K29:L29"/>
    <mergeCell ref="C20:D20"/>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N46"/>
  <sheetViews>
    <sheetView zoomScaleNormal="100" workbookViewId="0">
      <selection activeCell="H24" sqref="H24"/>
    </sheetView>
  </sheetViews>
  <sheetFormatPr defaultRowHeight="15" x14ac:dyDescent="0.25"/>
  <cols>
    <col min="1" max="1" width="39.7109375" style="118" customWidth="1"/>
    <col min="2" max="2" width="9.140625" style="117"/>
    <col min="3" max="3" width="22.28515625" style="166" customWidth="1"/>
    <col min="4" max="4" width="16.28515625" style="118" customWidth="1"/>
    <col min="5" max="5" width="20.85546875" style="118" customWidth="1"/>
    <col min="6" max="6" width="9.140625" style="119"/>
    <col min="7" max="7" width="9.140625" style="118"/>
    <col min="8" max="8" width="48.5703125" style="118" customWidth="1"/>
    <col min="9" max="9" width="6.5703125" style="118" customWidth="1"/>
    <col min="10" max="10" width="7.5703125" style="117" customWidth="1"/>
    <col min="11" max="11" width="17.42578125" style="117" bestFit="1" customWidth="1"/>
    <col min="12" max="12" width="22.42578125" style="118" customWidth="1"/>
    <col min="13" max="16384" width="9.140625" style="118"/>
  </cols>
  <sheetData>
    <row r="1" spans="1:14" x14ac:dyDescent="0.25">
      <c r="A1" s="116" t="s">
        <v>453</v>
      </c>
    </row>
    <row r="5" spans="1:14" ht="32.25" customHeight="1" x14ac:dyDescent="0.25">
      <c r="A5" s="202" t="s">
        <v>445</v>
      </c>
      <c r="B5" s="202"/>
      <c r="C5" s="202"/>
      <c r="D5" s="202"/>
      <c r="E5" s="202"/>
      <c r="F5" s="202"/>
      <c r="H5" s="204" t="s">
        <v>446</v>
      </c>
      <c r="I5" s="204"/>
      <c r="J5" s="204"/>
      <c r="K5" s="204"/>
      <c r="L5" s="204"/>
      <c r="M5" s="204"/>
      <c r="N5" s="204"/>
    </row>
    <row r="6" spans="1:14" ht="11.25" customHeight="1" x14ac:dyDescent="0.25">
      <c r="A6" s="89"/>
      <c r="B6" s="89"/>
      <c r="C6" s="89"/>
      <c r="D6" s="89"/>
      <c r="E6" s="89"/>
      <c r="F6" s="89"/>
      <c r="H6" s="167"/>
      <c r="I6" s="167"/>
      <c r="J6" s="167"/>
      <c r="K6" s="167"/>
      <c r="L6" s="167"/>
      <c r="M6" s="167"/>
      <c r="N6" s="167"/>
    </row>
    <row r="7" spans="1:14" x14ac:dyDescent="0.25">
      <c r="A7" s="44" t="s">
        <v>132</v>
      </c>
      <c r="B7" s="6"/>
      <c r="C7" s="9"/>
      <c r="D7" s="5"/>
      <c r="E7" s="4"/>
      <c r="F7" s="20"/>
      <c r="H7" s="123" t="s">
        <v>300</v>
      </c>
      <c r="I7" s="123"/>
      <c r="J7" s="25"/>
      <c r="K7" s="25"/>
      <c r="L7" s="120"/>
      <c r="M7" s="168"/>
      <c r="N7" s="168"/>
    </row>
    <row r="8" spans="1:14" x14ac:dyDescent="0.25">
      <c r="A8" s="5"/>
      <c r="B8" s="6"/>
      <c r="C8" s="9"/>
      <c r="D8" s="5"/>
      <c r="E8" s="4"/>
      <c r="F8" s="20"/>
      <c r="H8" s="120"/>
      <c r="I8" s="120"/>
      <c r="J8" s="25"/>
      <c r="K8" s="25"/>
      <c r="L8" s="120"/>
      <c r="M8" s="168"/>
      <c r="N8" s="168"/>
    </row>
    <row r="9" spans="1:14" x14ac:dyDescent="0.25">
      <c r="A9" s="88" t="s">
        <v>250</v>
      </c>
      <c r="B9" s="6" t="s">
        <v>2</v>
      </c>
      <c r="C9" s="9">
        <v>3</v>
      </c>
      <c r="D9" s="5" t="s">
        <v>133</v>
      </c>
      <c r="E9" s="4"/>
      <c r="F9" s="20"/>
      <c r="H9" s="169" t="s">
        <v>349</v>
      </c>
      <c r="I9" s="25" t="s">
        <v>3</v>
      </c>
      <c r="J9" s="25" t="s">
        <v>2</v>
      </c>
      <c r="K9" s="25">
        <v>3</v>
      </c>
      <c r="L9" s="120" t="s">
        <v>133</v>
      </c>
      <c r="M9" s="168"/>
      <c r="N9" s="168"/>
    </row>
    <row r="10" spans="1:14" ht="16.5" x14ac:dyDescent="0.3">
      <c r="A10" s="88" t="s">
        <v>251</v>
      </c>
      <c r="B10" s="6" t="s">
        <v>2</v>
      </c>
      <c r="C10" s="9">
        <v>5</v>
      </c>
      <c r="D10" s="5" t="s">
        <v>133</v>
      </c>
      <c r="E10" s="4"/>
      <c r="F10" s="20"/>
      <c r="H10" s="169" t="s">
        <v>350</v>
      </c>
      <c r="I10" s="25" t="s">
        <v>354</v>
      </c>
      <c r="J10" s="25" t="s">
        <v>2</v>
      </c>
      <c r="K10" s="25">
        <v>5</v>
      </c>
      <c r="L10" s="120" t="s">
        <v>133</v>
      </c>
      <c r="M10" s="168"/>
      <c r="N10" s="168"/>
    </row>
    <row r="11" spans="1:14" ht="18.75" x14ac:dyDescent="0.3">
      <c r="A11" s="88" t="s">
        <v>238</v>
      </c>
      <c r="B11" s="6" t="s">
        <v>2</v>
      </c>
      <c r="C11" s="9">
        <v>31.4</v>
      </c>
      <c r="D11" s="5" t="s">
        <v>149</v>
      </c>
      <c r="E11" s="4"/>
      <c r="F11" s="20"/>
      <c r="H11" s="169" t="s">
        <v>351</v>
      </c>
      <c r="I11" s="25" t="s">
        <v>355</v>
      </c>
      <c r="J11" s="25" t="s">
        <v>2</v>
      </c>
      <c r="K11" s="25">
        <v>31.4</v>
      </c>
      <c r="L11" s="120" t="s">
        <v>149</v>
      </c>
      <c r="M11" s="168"/>
      <c r="N11" s="168"/>
    </row>
    <row r="12" spans="1:14" ht="18.75" x14ac:dyDescent="0.3">
      <c r="A12" s="88" t="s">
        <v>239</v>
      </c>
      <c r="B12" s="6" t="s">
        <v>2</v>
      </c>
      <c r="C12" s="9">
        <v>32.65</v>
      </c>
      <c r="D12" s="5" t="s">
        <v>149</v>
      </c>
      <c r="E12" s="4"/>
      <c r="F12" s="20"/>
      <c r="H12" s="169" t="s">
        <v>352</v>
      </c>
      <c r="I12" s="25" t="s">
        <v>356</v>
      </c>
      <c r="J12" s="25" t="s">
        <v>2</v>
      </c>
      <c r="K12" s="25">
        <v>32.65</v>
      </c>
      <c r="L12" s="120" t="s">
        <v>149</v>
      </c>
      <c r="M12" s="168"/>
      <c r="N12" s="168"/>
    </row>
    <row r="13" spans="1:14" x14ac:dyDescent="0.25">
      <c r="A13" s="88" t="s">
        <v>447</v>
      </c>
      <c r="B13" s="6" t="s">
        <v>2</v>
      </c>
      <c r="C13" s="9">
        <v>4.5999999999999996</v>
      </c>
      <c r="D13" s="5"/>
      <c r="E13" s="4"/>
      <c r="F13" s="20"/>
      <c r="H13" s="120" t="s">
        <v>353</v>
      </c>
      <c r="I13" s="25" t="s">
        <v>37</v>
      </c>
      <c r="J13" s="25" t="s">
        <v>2</v>
      </c>
      <c r="K13" s="25">
        <v>4.5999999999999996</v>
      </c>
      <c r="L13" s="120"/>
      <c r="M13" s="168"/>
      <c r="N13" s="168"/>
    </row>
    <row r="14" spans="1:14" x14ac:dyDescent="0.25">
      <c r="A14" s="88" t="s">
        <v>448</v>
      </c>
      <c r="B14" s="6" t="s">
        <v>2</v>
      </c>
      <c r="C14" s="58">
        <v>0.03</v>
      </c>
      <c r="D14" s="5"/>
      <c r="E14" s="4"/>
      <c r="F14" s="20"/>
      <c r="H14" s="120" t="s">
        <v>357</v>
      </c>
      <c r="I14" s="25" t="s">
        <v>39</v>
      </c>
      <c r="J14" s="25" t="s">
        <v>2</v>
      </c>
      <c r="K14" s="26">
        <v>0.03</v>
      </c>
      <c r="L14" s="120"/>
      <c r="M14" s="168"/>
      <c r="N14" s="168"/>
    </row>
    <row r="15" spans="1:14" x14ac:dyDescent="0.25">
      <c r="A15" s="5"/>
      <c r="B15" s="6"/>
      <c r="C15" s="9"/>
      <c r="D15" s="5"/>
      <c r="E15" s="4"/>
      <c r="F15" s="20"/>
      <c r="H15" s="120"/>
      <c r="I15" s="25"/>
      <c r="J15" s="25"/>
      <c r="K15" s="25"/>
      <c r="L15" s="120"/>
      <c r="M15" s="168"/>
      <c r="N15" s="168"/>
    </row>
    <row r="16" spans="1:14" x14ac:dyDescent="0.25">
      <c r="A16" s="201" t="s">
        <v>150</v>
      </c>
      <c r="B16" s="201"/>
      <c r="C16" s="201"/>
      <c r="D16" s="201"/>
      <c r="E16" s="4"/>
      <c r="F16" s="20"/>
      <c r="H16" s="123" t="s">
        <v>358</v>
      </c>
      <c r="I16" s="25"/>
      <c r="J16" s="25"/>
      <c r="K16" s="25"/>
      <c r="L16" s="120"/>
      <c r="M16" s="168"/>
      <c r="N16" s="168"/>
    </row>
    <row r="17" spans="1:14" ht="18.75" x14ac:dyDescent="0.3">
      <c r="A17" s="59" t="s">
        <v>151</v>
      </c>
      <c r="B17" s="84" t="s">
        <v>2</v>
      </c>
      <c r="C17" s="61" t="s">
        <v>152</v>
      </c>
      <c r="D17" s="60"/>
      <c r="E17" s="45" t="s">
        <v>153</v>
      </c>
      <c r="F17" s="20"/>
      <c r="H17" s="120" t="s">
        <v>359</v>
      </c>
      <c r="I17" s="25" t="s">
        <v>360</v>
      </c>
      <c r="J17" s="25" t="s">
        <v>2</v>
      </c>
      <c r="K17" s="170">
        <f>1-K13*(1-K11/K12)</f>
        <v>0.82388973966309353</v>
      </c>
      <c r="L17" s="171" t="s">
        <v>361</v>
      </c>
      <c r="M17" s="168"/>
      <c r="N17" s="168"/>
    </row>
    <row r="18" spans="1:14" ht="18.75" customHeight="1" x14ac:dyDescent="0.3">
      <c r="A18" s="88" t="s">
        <v>154</v>
      </c>
      <c r="B18" s="88"/>
      <c r="C18" s="88"/>
      <c r="D18" s="88"/>
      <c r="E18" s="46"/>
      <c r="F18" s="20"/>
      <c r="H18" s="120" t="s">
        <v>363</v>
      </c>
      <c r="I18" s="25" t="s">
        <v>364</v>
      </c>
      <c r="J18" s="25" t="s">
        <v>2</v>
      </c>
      <c r="K18" s="26">
        <f>1-K14</f>
        <v>0.97</v>
      </c>
      <c r="L18" s="171" t="s">
        <v>362</v>
      </c>
      <c r="M18" s="168"/>
      <c r="N18" s="168"/>
    </row>
    <row r="19" spans="1:14" ht="16.5" x14ac:dyDescent="0.3">
      <c r="A19" s="5" t="s">
        <v>155</v>
      </c>
      <c r="B19" s="6" t="s">
        <v>2</v>
      </c>
      <c r="C19" s="9" t="s">
        <v>156</v>
      </c>
      <c r="D19" s="5"/>
      <c r="E19" s="88" t="s">
        <v>157</v>
      </c>
      <c r="F19" s="20"/>
      <c r="H19" s="120" t="s">
        <v>365</v>
      </c>
      <c r="I19" s="25" t="s">
        <v>151</v>
      </c>
      <c r="J19" s="25" t="s">
        <v>2</v>
      </c>
      <c r="K19" s="170">
        <f>K17*K18</f>
        <v>0.79917304747320073</v>
      </c>
      <c r="L19" s="171" t="s">
        <v>366</v>
      </c>
      <c r="M19" s="168"/>
      <c r="N19" s="168"/>
    </row>
    <row r="20" spans="1:14" x14ac:dyDescent="0.25">
      <c r="A20" s="88" t="s">
        <v>158</v>
      </c>
      <c r="B20" s="88"/>
      <c r="C20" s="88"/>
      <c r="D20" s="88"/>
      <c r="E20" s="46"/>
      <c r="F20" s="20"/>
      <c r="H20" s="120"/>
      <c r="I20" s="25"/>
      <c r="J20" s="25"/>
      <c r="K20" s="25"/>
      <c r="L20" s="171"/>
      <c r="M20" s="168"/>
      <c r="N20" s="168"/>
    </row>
    <row r="21" spans="1:14" ht="16.5" x14ac:dyDescent="0.3">
      <c r="A21" s="88" t="s">
        <v>163</v>
      </c>
      <c r="B21" s="6" t="s">
        <v>2</v>
      </c>
      <c r="C21" s="9" t="s">
        <v>159</v>
      </c>
      <c r="D21" s="88"/>
      <c r="E21" s="46" t="s">
        <v>160</v>
      </c>
      <c r="F21" s="20"/>
      <c r="H21" s="135"/>
      <c r="I21" s="135"/>
      <c r="J21" s="134"/>
      <c r="K21" s="134"/>
      <c r="L21" s="135"/>
      <c r="M21" s="158"/>
      <c r="N21" s="158"/>
    </row>
    <row r="22" spans="1:14" x14ac:dyDescent="0.25">
      <c r="A22" s="85" t="s">
        <v>135</v>
      </c>
      <c r="B22" s="85"/>
      <c r="C22" s="85"/>
      <c r="D22" s="11"/>
      <c r="E22" s="11"/>
      <c r="F22" s="42"/>
      <c r="H22" s="135"/>
      <c r="I22" s="135"/>
      <c r="J22" s="134"/>
      <c r="K22" s="134"/>
      <c r="L22" s="135"/>
      <c r="M22" s="158"/>
      <c r="N22" s="158"/>
    </row>
    <row r="23" spans="1:14" ht="16.5" x14ac:dyDescent="0.3">
      <c r="A23" s="11" t="s">
        <v>161</v>
      </c>
      <c r="B23" s="10" t="s">
        <v>2</v>
      </c>
      <c r="C23" s="62" t="s">
        <v>162</v>
      </c>
      <c r="D23" s="10" t="s">
        <v>2</v>
      </c>
      <c r="E23" s="47">
        <f>1-C14</f>
        <v>0.97</v>
      </c>
      <c r="F23" s="42"/>
      <c r="H23" s="135"/>
      <c r="I23" s="135"/>
      <c r="J23" s="134"/>
      <c r="K23" s="134"/>
      <c r="L23" s="135"/>
      <c r="M23" s="158"/>
      <c r="N23" s="158"/>
    </row>
    <row r="24" spans="1:14" ht="17.25" x14ac:dyDescent="0.3">
      <c r="A24" s="11" t="s">
        <v>164</v>
      </c>
      <c r="B24" s="10" t="s">
        <v>2</v>
      </c>
      <c r="C24" s="62" t="s">
        <v>165</v>
      </c>
      <c r="D24" s="10" t="s">
        <v>2</v>
      </c>
      <c r="E24" s="47">
        <f>1-4.6*(1-(C11/C12))</f>
        <v>0.82388973966309353</v>
      </c>
      <c r="F24" s="42"/>
      <c r="H24" s="135"/>
      <c r="I24" s="135"/>
      <c r="J24" s="134"/>
      <c r="K24" s="134"/>
      <c r="L24" s="135"/>
      <c r="M24" s="158"/>
      <c r="N24" s="158"/>
    </row>
    <row r="25" spans="1:14" ht="16.5" x14ac:dyDescent="0.3">
      <c r="A25" s="4" t="s">
        <v>166</v>
      </c>
      <c r="B25" s="93" t="s">
        <v>2</v>
      </c>
      <c r="C25" s="63" t="s">
        <v>167</v>
      </c>
      <c r="D25" s="93" t="s">
        <v>2</v>
      </c>
      <c r="E25" s="64">
        <f>E23*E24</f>
        <v>0.79917304747320073</v>
      </c>
      <c r="F25" s="42"/>
      <c r="H25" s="135"/>
      <c r="I25" s="135"/>
      <c r="J25" s="134"/>
      <c r="K25" s="134"/>
      <c r="L25" s="135"/>
      <c r="M25" s="158"/>
      <c r="N25" s="158"/>
    </row>
    <row r="26" spans="1:14" x14ac:dyDescent="0.25">
      <c r="A26" s="4"/>
      <c r="B26" s="93"/>
      <c r="C26" s="212"/>
      <c r="D26" s="213"/>
      <c r="E26" s="4"/>
      <c r="F26" s="42"/>
      <c r="H26" s="135"/>
      <c r="I26" s="135"/>
      <c r="J26" s="134"/>
      <c r="K26" s="134"/>
      <c r="L26" s="135"/>
      <c r="M26" s="158"/>
      <c r="N26" s="158"/>
    </row>
    <row r="27" spans="1:14" x14ac:dyDescent="0.25">
      <c r="B27" s="118"/>
      <c r="C27" s="118"/>
      <c r="F27" s="118"/>
      <c r="H27" s="135"/>
      <c r="I27" s="135"/>
      <c r="J27" s="134"/>
      <c r="K27" s="134"/>
      <c r="L27" s="135"/>
      <c r="M27" s="158"/>
      <c r="N27" s="158"/>
    </row>
    <row r="28" spans="1:14" x14ac:dyDescent="0.25">
      <c r="H28" s="135"/>
      <c r="I28" s="135"/>
      <c r="J28" s="134"/>
      <c r="K28" s="134"/>
      <c r="L28" s="135"/>
      <c r="M28" s="158"/>
      <c r="N28" s="158"/>
    </row>
    <row r="29" spans="1:14" x14ac:dyDescent="0.25">
      <c r="A29" s="138" t="s">
        <v>289</v>
      </c>
      <c r="H29" s="140"/>
      <c r="I29" s="140"/>
      <c r="J29" s="172"/>
      <c r="K29" s="172"/>
      <c r="L29" s="172"/>
      <c r="M29" s="158"/>
      <c r="N29" s="158"/>
    </row>
    <row r="30" spans="1:14" x14ac:dyDescent="0.25">
      <c r="A30" s="138" t="s">
        <v>458</v>
      </c>
      <c r="H30" s="135"/>
      <c r="I30" s="135"/>
      <c r="J30" s="134"/>
      <c r="K30" s="134"/>
      <c r="L30" s="135"/>
      <c r="M30" s="158"/>
      <c r="N30" s="158"/>
    </row>
    <row r="31" spans="1:14" x14ac:dyDescent="0.25">
      <c r="A31" s="138" t="s">
        <v>459</v>
      </c>
      <c r="H31" s="203"/>
      <c r="I31" s="203"/>
      <c r="J31" s="203"/>
      <c r="K31" s="203"/>
      <c r="L31" s="203"/>
      <c r="M31" s="158"/>
      <c r="N31" s="158"/>
    </row>
    <row r="32" spans="1:14" x14ac:dyDescent="0.25">
      <c r="A32" s="138" t="s">
        <v>460</v>
      </c>
      <c r="H32" s="135"/>
      <c r="I32" s="135"/>
      <c r="J32" s="134"/>
      <c r="K32" s="134"/>
      <c r="L32" s="135"/>
      <c r="M32" s="158"/>
      <c r="N32" s="158"/>
    </row>
    <row r="33" spans="1:14" x14ac:dyDescent="0.25">
      <c r="A33" s="142" t="s">
        <v>461</v>
      </c>
      <c r="H33" s="135"/>
      <c r="I33" s="135"/>
      <c r="J33" s="134"/>
      <c r="K33" s="134"/>
      <c r="L33" s="135"/>
      <c r="M33" s="158"/>
      <c r="N33" s="158"/>
    </row>
    <row r="34" spans="1:14" x14ac:dyDescent="0.25">
      <c r="H34" s="135"/>
      <c r="I34" s="135"/>
      <c r="J34" s="134"/>
      <c r="K34" s="134"/>
      <c r="L34" s="135"/>
      <c r="M34" s="158"/>
      <c r="N34" s="158"/>
    </row>
    <row r="35" spans="1:14" x14ac:dyDescent="0.25">
      <c r="H35" s="203"/>
      <c r="I35" s="203"/>
      <c r="J35" s="203"/>
      <c r="K35" s="203"/>
      <c r="L35" s="203"/>
      <c r="M35" s="158"/>
      <c r="N35" s="158"/>
    </row>
    <row r="36" spans="1:14" x14ac:dyDescent="0.25">
      <c r="H36" s="143"/>
      <c r="I36" s="143"/>
      <c r="J36" s="143"/>
      <c r="K36" s="143"/>
      <c r="L36" s="143"/>
      <c r="M36" s="158"/>
      <c r="N36" s="158"/>
    </row>
    <row r="37" spans="1:14" x14ac:dyDescent="0.25">
      <c r="H37" s="143"/>
      <c r="I37" s="143"/>
      <c r="J37" s="143"/>
      <c r="K37" s="143"/>
      <c r="L37" s="143"/>
      <c r="M37" s="158"/>
      <c r="N37" s="158"/>
    </row>
    <row r="38" spans="1:14" x14ac:dyDescent="0.25">
      <c r="H38" s="158"/>
      <c r="I38" s="158"/>
      <c r="J38" s="136"/>
      <c r="K38" s="136"/>
      <c r="L38" s="158"/>
      <c r="M38" s="158"/>
      <c r="N38" s="158"/>
    </row>
    <row r="39" spans="1:14" x14ac:dyDescent="0.25">
      <c r="H39" s="145"/>
      <c r="I39" s="145"/>
      <c r="J39" s="146"/>
      <c r="K39" s="146"/>
      <c r="L39" s="147"/>
      <c r="M39" s="147"/>
      <c r="N39" s="147"/>
    </row>
    <row r="40" spans="1:14" x14ac:dyDescent="0.25">
      <c r="H40" s="147"/>
      <c r="I40" s="147"/>
      <c r="J40" s="146"/>
      <c r="K40" s="146"/>
      <c r="L40" s="147"/>
      <c r="M40" s="147"/>
      <c r="N40" s="147"/>
    </row>
    <row r="41" spans="1:14" x14ac:dyDescent="0.25">
      <c r="H41" s="147"/>
      <c r="I41" s="147"/>
      <c r="J41" s="146"/>
      <c r="K41" s="173"/>
      <c r="L41" s="147"/>
      <c r="M41" s="146"/>
      <c r="N41" s="149"/>
    </row>
    <row r="42" spans="1:14" x14ac:dyDescent="0.25">
      <c r="H42" s="147"/>
      <c r="I42" s="147"/>
      <c r="J42" s="146"/>
      <c r="K42" s="173"/>
      <c r="L42" s="147"/>
      <c r="M42" s="146"/>
      <c r="N42" s="149"/>
    </row>
    <row r="43" spans="1:14" x14ac:dyDescent="0.25">
      <c r="H43" s="147"/>
      <c r="I43" s="147"/>
      <c r="J43" s="146"/>
      <c r="K43" s="173"/>
      <c r="L43" s="147"/>
      <c r="M43" s="146"/>
      <c r="N43" s="149"/>
    </row>
    <row r="44" spans="1:14" x14ac:dyDescent="0.25">
      <c r="H44" s="158"/>
      <c r="I44" s="158"/>
      <c r="J44" s="136"/>
      <c r="K44" s="165"/>
      <c r="L44" s="158"/>
      <c r="M44" s="136"/>
      <c r="N44" s="159"/>
    </row>
    <row r="45" spans="1:14" x14ac:dyDescent="0.25">
      <c r="H45" s="158"/>
      <c r="I45" s="158"/>
      <c r="J45" s="136"/>
      <c r="K45" s="174"/>
      <c r="L45" s="162"/>
      <c r="M45" s="136"/>
      <c r="N45" s="175"/>
    </row>
    <row r="46" spans="1:14" x14ac:dyDescent="0.25">
      <c r="H46" s="158"/>
      <c r="I46" s="158"/>
      <c r="J46" s="136"/>
      <c r="K46" s="214"/>
      <c r="L46" s="215"/>
      <c r="M46" s="158"/>
      <c r="N46" s="158"/>
    </row>
  </sheetData>
  <sheetProtection password="E156" sheet="1" objects="1" scenarios="1"/>
  <mergeCells count="7">
    <mergeCell ref="A5:F5"/>
    <mergeCell ref="H5:N5"/>
    <mergeCell ref="C26:D26"/>
    <mergeCell ref="K46:L46"/>
    <mergeCell ref="A16:D16"/>
    <mergeCell ref="H31:L31"/>
    <mergeCell ref="H35:L35"/>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AH37"/>
  <sheetViews>
    <sheetView zoomScaleNormal="100" workbookViewId="0">
      <selection activeCell="G23" sqref="G23"/>
    </sheetView>
  </sheetViews>
  <sheetFormatPr defaultRowHeight="15" x14ac:dyDescent="0.25"/>
  <cols>
    <col min="1" max="1" width="32.85546875" style="119" customWidth="1"/>
    <col min="2" max="2" width="9.140625" style="117"/>
    <col min="3" max="3" width="31.28515625" style="166" customWidth="1"/>
    <col min="4" max="4" width="12.85546875" style="119" customWidth="1"/>
    <col min="5" max="6" width="9.140625" style="117"/>
    <col min="7" max="7" width="9.140625" style="118"/>
    <col min="8" max="8" width="33.7109375" style="118" customWidth="1"/>
    <col min="9" max="9" width="7.42578125" style="118" customWidth="1"/>
    <col min="10" max="10" width="4.7109375" style="117" customWidth="1"/>
    <col min="11" max="11" width="30.28515625" style="117" bestFit="1" customWidth="1"/>
    <col min="12" max="12" width="11.85546875" style="118" customWidth="1"/>
    <col min="13" max="16" width="9.140625" style="118"/>
    <col min="17" max="23" width="9.140625" style="117"/>
    <col min="24" max="29" width="9.140625" style="118"/>
    <col min="30" max="30" width="32.7109375" style="118" bestFit="1" customWidth="1"/>
    <col min="31" max="31" width="6" style="118" bestFit="1" customWidth="1"/>
    <col min="32" max="32" width="6.85546875" style="118" customWidth="1"/>
    <col min="33" max="33" width="41.28515625" style="118" bestFit="1" customWidth="1"/>
    <col min="34" max="34" width="5" style="118" bestFit="1" customWidth="1"/>
    <col min="35" max="16384" width="9.140625" style="118"/>
  </cols>
  <sheetData>
    <row r="1" spans="1:34" x14ac:dyDescent="0.25">
      <c r="A1" s="116" t="s">
        <v>453</v>
      </c>
    </row>
    <row r="5" spans="1:34" ht="33" customHeight="1" x14ac:dyDescent="0.25">
      <c r="A5" s="202" t="s">
        <v>437</v>
      </c>
      <c r="B5" s="202"/>
      <c r="C5" s="202"/>
      <c r="D5" s="202"/>
      <c r="E5" s="202"/>
      <c r="F5" s="202"/>
      <c r="H5" s="204" t="s">
        <v>438</v>
      </c>
      <c r="I5" s="204"/>
      <c r="J5" s="204"/>
      <c r="K5" s="204"/>
      <c r="L5" s="204"/>
      <c r="M5" s="204"/>
      <c r="N5" s="204"/>
    </row>
    <row r="6" spans="1:34" x14ac:dyDescent="0.25">
      <c r="A6" s="88"/>
      <c r="B6" s="6"/>
      <c r="C6" s="9"/>
      <c r="D6" s="88"/>
      <c r="E6" s="93"/>
      <c r="F6" s="93"/>
      <c r="H6" s="169"/>
      <c r="I6" s="169"/>
      <c r="J6" s="25"/>
      <c r="K6" s="27"/>
      <c r="L6" s="169"/>
      <c r="M6" s="121"/>
      <c r="N6" s="121"/>
      <c r="AD6" s="176" t="s">
        <v>382</v>
      </c>
      <c r="AE6" s="176" t="s">
        <v>1</v>
      </c>
      <c r="AG6" s="176" t="s">
        <v>396</v>
      </c>
      <c r="AH6" s="176" t="s">
        <v>6</v>
      </c>
    </row>
    <row r="7" spans="1:34" x14ac:dyDescent="0.25">
      <c r="A7" s="66" t="s">
        <v>132</v>
      </c>
      <c r="B7" s="6"/>
      <c r="C7" s="9"/>
      <c r="D7" s="88"/>
      <c r="E7" s="93"/>
      <c r="F7" s="93"/>
      <c r="H7" s="177" t="s">
        <v>300</v>
      </c>
      <c r="I7" s="169"/>
      <c r="J7" s="25"/>
      <c r="K7" s="27"/>
      <c r="L7" s="169"/>
      <c r="M7" s="121"/>
      <c r="N7" s="121"/>
      <c r="AD7" s="178" t="s">
        <v>375</v>
      </c>
      <c r="AE7" s="179">
        <v>0.2</v>
      </c>
      <c r="AG7" s="118" t="s">
        <v>397</v>
      </c>
      <c r="AH7" s="180">
        <v>2.5</v>
      </c>
    </row>
    <row r="8" spans="1:34" x14ac:dyDescent="0.25">
      <c r="A8" s="88"/>
      <c r="B8" s="6"/>
      <c r="C8" s="9"/>
      <c r="D8" s="88"/>
      <c r="E8" s="93"/>
      <c r="F8" s="93"/>
      <c r="H8" s="169" t="s">
        <v>383</v>
      </c>
      <c r="I8" s="25" t="s">
        <v>3</v>
      </c>
      <c r="J8" s="25" t="s">
        <v>2</v>
      </c>
      <c r="K8" s="27">
        <v>2</v>
      </c>
      <c r="L8" s="169" t="s">
        <v>133</v>
      </c>
      <c r="M8" s="121"/>
      <c r="N8" s="121"/>
      <c r="AD8" s="178" t="s">
        <v>376</v>
      </c>
      <c r="AE8" s="179">
        <v>0.2</v>
      </c>
      <c r="AG8" s="118" t="s">
        <v>398</v>
      </c>
      <c r="AH8" s="180">
        <v>2</v>
      </c>
    </row>
    <row r="9" spans="1:34" ht="16.5" x14ac:dyDescent="0.3">
      <c r="A9" s="88" t="s">
        <v>245</v>
      </c>
      <c r="B9" s="6" t="s">
        <v>2</v>
      </c>
      <c r="C9" s="9">
        <v>2</v>
      </c>
      <c r="D9" s="88" t="s">
        <v>133</v>
      </c>
      <c r="E9" s="93"/>
      <c r="F9" s="93"/>
      <c r="H9" s="169" t="s">
        <v>350</v>
      </c>
      <c r="I9" s="25" t="s">
        <v>354</v>
      </c>
      <c r="J9" s="25" t="s">
        <v>2</v>
      </c>
      <c r="K9" s="27">
        <v>5</v>
      </c>
      <c r="L9" s="169" t="s">
        <v>133</v>
      </c>
      <c r="M9" s="121"/>
      <c r="N9" s="121"/>
      <c r="AD9" s="118" t="s">
        <v>377</v>
      </c>
      <c r="AE9" s="179">
        <v>0.115</v>
      </c>
      <c r="AG9" s="118" t="s">
        <v>399</v>
      </c>
      <c r="AH9" s="180">
        <v>1.5</v>
      </c>
    </row>
    <row r="10" spans="1:34" ht="16.5" x14ac:dyDescent="0.3">
      <c r="A10" s="88" t="s">
        <v>237</v>
      </c>
      <c r="B10" s="6" t="s">
        <v>2</v>
      </c>
      <c r="C10" s="9">
        <v>5</v>
      </c>
      <c r="D10" s="88" t="s">
        <v>133</v>
      </c>
      <c r="E10" s="93"/>
      <c r="F10" s="93"/>
      <c r="H10" s="169" t="s">
        <v>367</v>
      </c>
      <c r="I10" s="25" t="s">
        <v>30</v>
      </c>
      <c r="J10" s="25" t="s">
        <v>2</v>
      </c>
      <c r="K10" s="27">
        <v>360</v>
      </c>
      <c r="L10" s="169" t="s">
        <v>168</v>
      </c>
      <c r="M10" s="121"/>
      <c r="N10" s="121"/>
      <c r="AD10" s="118" t="s">
        <v>378</v>
      </c>
      <c r="AE10" s="179">
        <v>6.6000000000000003E-2</v>
      </c>
      <c r="AG10" s="118" t="s">
        <v>400</v>
      </c>
      <c r="AH10" s="180">
        <v>1.4</v>
      </c>
    </row>
    <row r="11" spans="1:34" x14ac:dyDescent="0.25">
      <c r="A11" s="88" t="s">
        <v>240</v>
      </c>
      <c r="B11" s="6" t="s">
        <v>2</v>
      </c>
      <c r="C11" s="9">
        <v>360</v>
      </c>
      <c r="D11" s="88" t="s">
        <v>168</v>
      </c>
      <c r="E11" s="93"/>
      <c r="F11" s="93"/>
      <c r="H11" s="169" t="s">
        <v>346</v>
      </c>
      <c r="I11" s="25" t="s">
        <v>11</v>
      </c>
      <c r="J11" s="25" t="s">
        <v>2</v>
      </c>
      <c r="K11" s="27">
        <v>73</v>
      </c>
      <c r="L11" s="169" t="s">
        <v>22</v>
      </c>
      <c r="M11" s="121"/>
      <c r="N11" s="121"/>
      <c r="AD11" s="118" t="s">
        <v>379</v>
      </c>
      <c r="AE11" s="179">
        <v>0.04</v>
      </c>
      <c r="AG11" s="118" t="s">
        <v>401</v>
      </c>
      <c r="AH11" s="180">
        <v>1</v>
      </c>
    </row>
    <row r="12" spans="1:34" x14ac:dyDescent="0.25">
      <c r="A12" s="88" t="s">
        <v>241</v>
      </c>
      <c r="B12" s="6" t="s">
        <v>2</v>
      </c>
      <c r="C12" s="9">
        <v>73</v>
      </c>
      <c r="D12" s="88" t="s">
        <v>22</v>
      </c>
      <c r="E12" s="93"/>
      <c r="F12" s="93"/>
      <c r="H12" s="169" t="s">
        <v>384</v>
      </c>
      <c r="I12" s="25" t="s">
        <v>385</v>
      </c>
      <c r="J12" s="25" t="s">
        <v>2</v>
      </c>
      <c r="K12" s="27">
        <v>4.0259999999999998</v>
      </c>
      <c r="L12" s="169" t="s">
        <v>133</v>
      </c>
      <c r="M12" s="121"/>
      <c r="N12" s="121"/>
      <c r="AD12" s="118" t="s">
        <v>380</v>
      </c>
      <c r="AE12" s="179">
        <v>2.8000000000000001E-2</v>
      </c>
      <c r="AH12" s="117"/>
    </row>
    <row r="13" spans="1:34" x14ac:dyDescent="0.25">
      <c r="A13" s="88" t="s">
        <v>1</v>
      </c>
      <c r="B13" s="6" t="s">
        <v>2</v>
      </c>
      <c r="C13" s="9">
        <v>6.6000000000000003E-2</v>
      </c>
      <c r="D13" s="88"/>
      <c r="E13" s="45" t="s">
        <v>286</v>
      </c>
      <c r="F13" s="93"/>
      <c r="H13" s="169" t="s">
        <v>386</v>
      </c>
      <c r="I13" s="25" t="s">
        <v>387</v>
      </c>
      <c r="J13" s="25" t="s">
        <v>2</v>
      </c>
      <c r="K13" s="27">
        <v>6.0650000000000004</v>
      </c>
      <c r="L13" s="169" t="s">
        <v>133</v>
      </c>
      <c r="M13" s="121"/>
      <c r="N13" s="121"/>
      <c r="AD13" s="118" t="s">
        <v>381</v>
      </c>
      <c r="AE13" s="179">
        <v>2.1999999999999999E-2</v>
      </c>
      <c r="AH13" s="117"/>
    </row>
    <row r="14" spans="1:34" x14ac:dyDescent="0.25">
      <c r="A14" s="88" t="s">
        <v>6</v>
      </c>
      <c r="B14" s="6" t="s">
        <v>2</v>
      </c>
      <c r="C14" s="67">
        <v>1.5</v>
      </c>
      <c r="D14" s="88"/>
      <c r="E14" s="45" t="s">
        <v>286</v>
      </c>
      <c r="F14" s="93"/>
      <c r="H14" s="169" t="s">
        <v>388</v>
      </c>
      <c r="I14" s="25" t="s">
        <v>391</v>
      </c>
      <c r="J14" s="25" t="s">
        <v>2</v>
      </c>
      <c r="K14" s="27">
        <v>4</v>
      </c>
      <c r="L14" s="169" t="s">
        <v>170</v>
      </c>
      <c r="M14" s="121"/>
      <c r="N14" s="121"/>
    </row>
    <row r="15" spans="1:34" ht="16.5" x14ac:dyDescent="0.3">
      <c r="A15" s="88" t="s">
        <v>242</v>
      </c>
      <c r="B15" s="6" t="s">
        <v>2</v>
      </c>
      <c r="C15" s="9">
        <v>4</v>
      </c>
      <c r="D15" s="88" t="s">
        <v>170</v>
      </c>
      <c r="E15" s="93"/>
      <c r="F15" s="93"/>
      <c r="H15" s="169" t="s">
        <v>389</v>
      </c>
      <c r="I15" s="25" t="s">
        <v>390</v>
      </c>
      <c r="J15" s="25" t="s">
        <v>2</v>
      </c>
      <c r="K15" s="27">
        <v>20</v>
      </c>
      <c r="L15" s="169" t="s">
        <v>170</v>
      </c>
      <c r="M15" s="121"/>
      <c r="N15" s="121"/>
    </row>
    <row r="16" spans="1:34" ht="18.75" x14ac:dyDescent="0.3">
      <c r="A16" s="88" t="s">
        <v>243</v>
      </c>
      <c r="B16" s="6" t="s">
        <v>2</v>
      </c>
      <c r="C16" s="9">
        <v>20</v>
      </c>
      <c r="D16" s="88" t="s">
        <v>170</v>
      </c>
      <c r="E16" s="93"/>
      <c r="F16" s="93"/>
      <c r="H16" s="169" t="s">
        <v>370</v>
      </c>
      <c r="I16" s="25" t="s">
        <v>21</v>
      </c>
      <c r="J16" s="25" t="s">
        <v>2</v>
      </c>
      <c r="K16" s="27">
        <v>32.200000000000003</v>
      </c>
      <c r="L16" s="169" t="s">
        <v>233</v>
      </c>
      <c r="M16" s="121"/>
      <c r="N16" s="121"/>
    </row>
    <row r="17" spans="1:14" ht="18" x14ac:dyDescent="0.25">
      <c r="A17" s="88" t="s">
        <v>244</v>
      </c>
      <c r="B17" s="6" t="s">
        <v>2</v>
      </c>
      <c r="C17" s="9">
        <v>32.200000000000003</v>
      </c>
      <c r="D17" s="88" t="s">
        <v>233</v>
      </c>
      <c r="E17" s="93"/>
      <c r="F17" s="93"/>
      <c r="H17" s="177" t="s">
        <v>392</v>
      </c>
      <c r="I17" s="25"/>
      <c r="J17" s="25"/>
      <c r="K17" s="27"/>
      <c r="L17" s="169"/>
      <c r="M17" s="121"/>
      <c r="N17" s="121"/>
    </row>
    <row r="18" spans="1:14" x14ac:dyDescent="0.25">
      <c r="A18" s="88" t="s">
        <v>281</v>
      </c>
      <c r="B18" s="6" t="s">
        <v>2</v>
      </c>
      <c r="C18" s="9">
        <v>1.84</v>
      </c>
      <c r="D18" s="88" t="s">
        <v>283</v>
      </c>
      <c r="E18" s="93"/>
      <c r="F18" s="93"/>
      <c r="H18" s="169" t="s">
        <v>393</v>
      </c>
      <c r="I18" s="25"/>
      <c r="J18" s="25"/>
      <c r="K18" s="27" t="s">
        <v>378</v>
      </c>
      <c r="L18" s="169"/>
      <c r="M18" s="121"/>
      <c r="N18" s="121"/>
    </row>
    <row r="19" spans="1:14" x14ac:dyDescent="0.25">
      <c r="A19" s="88" t="s">
        <v>282</v>
      </c>
      <c r="B19" s="6" t="s">
        <v>2</v>
      </c>
      <c r="C19" s="9">
        <v>0.81</v>
      </c>
      <c r="D19" s="88" t="s">
        <v>283</v>
      </c>
      <c r="E19" s="93"/>
      <c r="F19" s="93"/>
      <c r="H19" s="169" t="s">
        <v>368</v>
      </c>
      <c r="I19" s="25" t="s">
        <v>1</v>
      </c>
      <c r="J19" s="25" t="s">
        <v>2</v>
      </c>
      <c r="K19" s="181">
        <f>VLOOKUP(K18,AD7:AE13,2,FALSE)</f>
        <v>6.6000000000000003E-2</v>
      </c>
      <c r="L19" s="169"/>
      <c r="M19" s="126" t="s">
        <v>410</v>
      </c>
      <c r="N19" s="124"/>
    </row>
    <row r="20" spans="1:14" x14ac:dyDescent="0.25">
      <c r="A20" s="88"/>
      <c r="B20" s="6"/>
      <c r="C20" s="9"/>
      <c r="D20" s="88"/>
      <c r="E20" s="93"/>
      <c r="F20" s="93"/>
      <c r="H20" s="169" t="s">
        <v>394</v>
      </c>
      <c r="I20" s="25"/>
      <c r="J20" s="25"/>
      <c r="K20" s="27" t="s">
        <v>399</v>
      </c>
      <c r="L20" s="169"/>
      <c r="M20" s="124"/>
      <c r="N20" s="124"/>
    </row>
    <row r="21" spans="1:14" x14ac:dyDescent="0.25">
      <c r="A21" s="85" t="s">
        <v>135</v>
      </c>
      <c r="B21" s="10"/>
      <c r="C21" s="62"/>
      <c r="D21" s="42"/>
      <c r="E21" s="10"/>
      <c r="F21" s="10"/>
      <c r="H21" s="169" t="s">
        <v>369</v>
      </c>
      <c r="I21" s="25" t="s">
        <v>6</v>
      </c>
      <c r="J21" s="25" t="s">
        <v>2</v>
      </c>
      <c r="K21" s="182">
        <f>VLOOKUP(K20,AG7:AH11,2,FALSE)</f>
        <v>1.5</v>
      </c>
      <c r="L21" s="169"/>
      <c r="M21" s="126" t="s">
        <v>410</v>
      </c>
      <c r="N21" s="124"/>
    </row>
    <row r="22" spans="1:14" x14ac:dyDescent="0.25">
      <c r="A22" s="68"/>
      <c r="B22" s="10"/>
      <c r="C22" s="62"/>
      <c r="D22" s="42"/>
      <c r="E22" s="10"/>
      <c r="F22" s="10"/>
      <c r="H22" s="177" t="s">
        <v>395</v>
      </c>
      <c r="I22" s="25"/>
      <c r="J22" s="25"/>
      <c r="K22" s="27"/>
      <c r="L22" s="169"/>
      <c r="M22" s="124"/>
      <c r="N22" s="124"/>
    </row>
    <row r="23" spans="1:14" ht="16.5" x14ac:dyDescent="0.3">
      <c r="A23" s="42" t="s">
        <v>169</v>
      </c>
      <c r="B23" s="10" t="s">
        <v>2</v>
      </c>
      <c r="C23" s="62" t="s">
        <v>287</v>
      </c>
      <c r="D23" s="10" t="s">
        <v>2</v>
      </c>
      <c r="E23" s="16">
        <f>(C15*C18*C11*C13)/(C14*C17)</f>
        <v>3.6205714285714286</v>
      </c>
      <c r="F23" s="69" t="s">
        <v>170</v>
      </c>
      <c r="H23" s="169" t="s">
        <v>402</v>
      </c>
      <c r="I23" s="25" t="s">
        <v>404</v>
      </c>
      <c r="J23" s="25" t="s">
        <v>2</v>
      </c>
      <c r="K23" s="38">
        <f>K11/(60*7.4805)/(PI()*(K12/24)^2)</f>
        <v>1.8397806722749053</v>
      </c>
      <c r="L23" s="169" t="s">
        <v>283</v>
      </c>
      <c r="M23" s="124"/>
      <c r="N23" s="124"/>
    </row>
    <row r="24" spans="1:14" x14ac:dyDescent="0.25">
      <c r="A24" s="42"/>
      <c r="B24" s="10"/>
      <c r="C24" s="62"/>
      <c r="D24" s="10"/>
      <c r="E24" s="12"/>
      <c r="F24" s="69"/>
      <c r="H24" s="169" t="s">
        <v>403</v>
      </c>
      <c r="I24" s="25" t="s">
        <v>405</v>
      </c>
      <c r="J24" s="25" t="s">
        <v>2</v>
      </c>
      <c r="K24" s="38">
        <f>K11/(60*7.4805)/(PI()*(K13/24)^2)</f>
        <v>0.8106847113937049</v>
      </c>
      <c r="L24" s="169" t="s">
        <v>283</v>
      </c>
      <c r="M24" s="124"/>
      <c r="N24" s="124"/>
    </row>
    <row r="25" spans="1:14" ht="16.5" x14ac:dyDescent="0.3">
      <c r="A25" s="42" t="s">
        <v>217</v>
      </c>
      <c r="B25" s="10" t="s">
        <v>2</v>
      </c>
      <c r="C25" s="62" t="s">
        <v>288</v>
      </c>
      <c r="D25" s="10" t="s">
        <v>2</v>
      </c>
      <c r="E25" s="16">
        <f>(C16*C19*C11*C13)/(C14*C17)</f>
        <v>7.9691925465838525</v>
      </c>
      <c r="F25" s="69" t="s">
        <v>170</v>
      </c>
      <c r="H25" s="177" t="s">
        <v>371</v>
      </c>
      <c r="I25" s="25"/>
      <c r="J25" s="25"/>
      <c r="K25" s="27"/>
      <c r="L25" s="169"/>
      <c r="M25" s="124"/>
      <c r="N25" s="124"/>
    </row>
    <row r="26" spans="1:14" x14ac:dyDescent="0.25">
      <c r="A26" s="42"/>
      <c r="B26" s="10"/>
      <c r="C26" s="62"/>
      <c r="D26" s="10"/>
      <c r="E26" s="12"/>
      <c r="F26" s="70"/>
      <c r="H26" s="183"/>
      <c r="I26" s="25"/>
      <c r="J26" s="25"/>
      <c r="K26" s="27"/>
      <c r="L26" s="169"/>
      <c r="M26" s="124"/>
      <c r="N26" s="124"/>
    </row>
    <row r="27" spans="1:14" ht="16.5" x14ac:dyDescent="0.3">
      <c r="A27" s="20" t="s">
        <v>218</v>
      </c>
      <c r="B27" s="93" t="s">
        <v>2</v>
      </c>
      <c r="C27" s="71" t="s">
        <v>219</v>
      </c>
      <c r="D27" s="93" t="s">
        <v>2</v>
      </c>
      <c r="E27" s="22">
        <f>E23+E25</f>
        <v>11.589763975155281</v>
      </c>
      <c r="F27" s="64" t="s">
        <v>170</v>
      </c>
      <c r="H27" s="169" t="s">
        <v>373</v>
      </c>
      <c r="I27" s="25" t="s">
        <v>406</v>
      </c>
      <c r="J27" s="25" t="s">
        <v>2</v>
      </c>
      <c r="K27" s="38">
        <f>K14*K23*K10*K19/(K21*K16)</f>
        <v>3.6201398569980747</v>
      </c>
      <c r="L27" s="169" t="s">
        <v>170</v>
      </c>
      <c r="M27" s="126" t="s">
        <v>409</v>
      </c>
      <c r="N27" s="124"/>
    </row>
    <row r="28" spans="1:14" x14ac:dyDescent="0.25">
      <c r="A28" s="20"/>
      <c r="B28" s="93"/>
      <c r="C28" s="212"/>
      <c r="D28" s="213"/>
      <c r="E28" s="93"/>
      <c r="F28" s="93"/>
      <c r="H28" s="169" t="s">
        <v>374</v>
      </c>
      <c r="I28" s="25" t="s">
        <v>407</v>
      </c>
      <c r="J28" s="25" t="s">
        <v>2</v>
      </c>
      <c r="K28" s="38">
        <f>K15*K24*K10*K19/(K21*K16)</f>
        <v>7.9759290860101135</v>
      </c>
      <c r="L28" s="169" t="s">
        <v>170</v>
      </c>
      <c r="M28" s="126" t="s">
        <v>409</v>
      </c>
      <c r="N28" s="124"/>
    </row>
    <row r="29" spans="1:14" ht="15" customHeight="1" x14ac:dyDescent="0.3">
      <c r="H29" s="169" t="s">
        <v>408</v>
      </c>
      <c r="I29" s="25" t="s">
        <v>372</v>
      </c>
      <c r="J29" s="25" t="s">
        <v>2</v>
      </c>
      <c r="K29" s="184">
        <f>SUM(K27:K28)</f>
        <v>11.596068943008188</v>
      </c>
      <c r="L29" s="169" t="s">
        <v>170</v>
      </c>
      <c r="M29" s="124"/>
      <c r="N29" s="124"/>
    </row>
    <row r="30" spans="1:14" x14ac:dyDescent="0.25">
      <c r="H30" s="169"/>
      <c r="I30" s="169"/>
      <c r="J30" s="25"/>
      <c r="K30" s="27"/>
      <c r="L30" s="169"/>
      <c r="M30" s="121"/>
      <c r="N30" s="121"/>
    </row>
    <row r="31" spans="1:14" ht="14.25" customHeight="1" x14ac:dyDescent="0.25">
      <c r="A31" s="165"/>
      <c r="B31" s="136"/>
      <c r="C31" s="214"/>
      <c r="D31" s="215"/>
      <c r="E31" s="136"/>
      <c r="F31" s="136"/>
    </row>
    <row r="33" spans="1:1" x14ac:dyDescent="0.25">
      <c r="A33" s="138" t="s">
        <v>289</v>
      </c>
    </row>
    <row r="34" spans="1:1" x14ac:dyDescent="0.25">
      <c r="A34" s="138" t="s">
        <v>458</v>
      </c>
    </row>
    <row r="35" spans="1:1" x14ac:dyDescent="0.25">
      <c r="A35" s="138" t="s">
        <v>459</v>
      </c>
    </row>
    <row r="36" spans="1:1" x14ac:dyDescent="0.25">
      <c r="A36" s="138" t="s">
        <v>460</v>
      </c>
    </row>
    <row r="37" spans="1:1" x14ac:dyDescent="0.25">
      <c r="A37" s="142" t="s">
        <v>461</v>
      </c>
    </row>
  </sheetData>
  <sheetProtection password="E156" sheet="1" objects="1" scenarios="1"/>
  <mergeCells count="4">
    <mergeCell ref="C31:D31"/>
    <mergeCell ref="H5:N5"/>
    <mergeCell ref="A5:F5"/>
    <mergeCell ref="C28:D28"/>
  </mergeCells>
  <dataValidations count="2">
    <dataValidation type="list" allowBlank="1" showInputMessage="1" showErrorMessage="1" sqref="K18">
      <formula1>$AD$7:$AD$13</formula1>
    </dataValidation>
    <dataValidation type="list" allowBlank="1" showInputMessage="1" showErrorMessage="1" sqref="K20">
      <formula1>$AG$7:$AG$11</formula1>
    </dataValidation>
  </dataValidations>
  <pageMargins left="0.7" right="0.7" top="0.75" bottom="0.75" header="0.3" footer="0.3"/>
  <pageSetup orientation="portrait" r:id="rId1"/>
  <ignoredErrors>
    <ignoredError sqref="K21 K23:K24" unlocked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Q39"/>
  <sheetViews>
    <sheetView zoomScaleNormal="100" workbookViewId="0">
      <selection activeCell="H4" sqref="H4"/>
    </sheetView>
  </sheetViews>
  <sheetFormatPr defaultRowHeight="15" x14ac:dyDescent="0.25"/>
  <cols>
    <col min="1" max="1" width="45.5703125" style="118" customWidth="1"/>
    <col min="2" max="2" width="9.140625" style="117"/>
    <col min="3" max="3" width="28" style="117" bestFit="1" customWidth="1"/>
    <col min="4" max="4" width="12.85546875" style="128" customWidth="1"/>
    <col min="5" max="5" width="9.140625" style="117"/>
    <col min="6" max="6" width="9.140625" style="119"/>
    <col min="7" max="7" width="11.7109375" style="119" bestFit="1" customWidth="1"/>
    <col min="8" max="8" width="4.7109375" style="118" customWidth="1"/>
    <col min="9" max="9" width="41.5703125" style="118" customWidth="1"/>
    <col min="10" max="10" width="16.5703125" style="118" customWidth="1"/>
    <col min="11" max="11" width="3.28515625" style="117" customWidth="1"/>
    <col min="12" max="12" width="28" style="117" bestFit="1" customWidth="1"/>
    <col min="13" max="13" width="11.85546875" style="118" customWidth="1"/>
    <col min="14" max="15" width="9.140625" style="118"/>
    <col min="16" max="16" width="11.7109375" style="118" bestFit="1" customWidth="1"/>
    <col min="17" max="16384" width="9.140625" style="118"/>
  </cols>
  <sheetData>
    <row r="1" spans="1:17" x14ac:dyDescent="0.25">
      <c r="A1" s="116" t="s">
        <v>453</v>
      </c>
    </row>
    <row r="5" spans="1:17" x14ac:dyDescent="0.25">
      <c r="A5" s="202" t="s">
        <v>450</v>
      </c>
      <c r="B5" s="202"/>
      <c r="C5" s="202"/>
      <c r="D5" s="202"/>
      <c r="E5" s="202"/>
      <c r="F5" s="20"/>
      <c r="G5" s="20"/>
      <c r="I5" s="204" t="s">
        <v>449</v>
      </c>
      <c r="J5" s="204"/>
      <c r="K5" s="204"/>
      <c r="L5" s="204"/>
      <c r="M5" s="204"/>
      <c r="N5" s="204"/>
      <c r="O5" s="122"/>
      <c r="P5" s="122"/>
    </row>
    <row r="6" spans="1:17" ht="6.75" customHeight="1" x14ac:dyDescent="0.25">
      <c r="A6" s="5"/>
      <c r="B6" s="6"/>
      <c r="C6" s="6"/>
      <c r="D6" s="59"/>
      <c r="E6" s="93"/>
      <c r="F6" s="20"/>
      <c r="G6" s="20"/>
      <c r="I6" s="120"/>
      <c r="J6" s="120"/>
      <c r="K6" s="25"/>
      <c r="L6" s="25"/>
      <c r="M6" s="185"/>
      <c r="N6" s="121"/>
      <c r="O6" s="122"/>
      <c r="P6" s="122"/>
    </row>
    <row r="7" spans="1:17" x14ac:dyDescent="0.25">
      <c r="A7" s="44" t="s">
        <v>132</v>
      </c>
      <c r="B7" s="6"/>
      <c r="C7" s="6"/>
      <c r="D7" s="59"/>
      <c r="E7" s="93"/>
      <c r="F7" s="20"/>
      <c r="G7" s="20"/>
      <c r="I7" s="177" t="s">
        <v>300</v>
      </c>
      <c r="J7" s="177"/>
      <c r="K7" s="25"/>
      <c r="L7" s="25"/>
      <c r="M7" s="185"/>
      <c r="N7" s="121"/>
      <c r="O7" s="122"/>
      <c r="P7" s="122"/>
    </row>
    <row r="8" spans="1:17" ht="16.5" x14ac:dyDescent="0.3">
      <c r="A8" s="5" t="s">
        <v>246</v>
      </c>
      <c r="B8" s="6" t="s">
        <v>2</v>
      </c>
      <c r="C8" s="6">
        <v>1000</v>
      </c>
      <c r="D8" s="59" t="s">
        <v>22</v>
      </c>
      <c r="E8" s="93"/>
      <c r="F8" s="20"/>
      <c r="G8" s="20"/>
      <c r="I8" s="120" t="s">
        <v>411</v>
      </c>
      <c r="J8" s="27" t="s">
        <v>415</v>
      </c>
      <c r="K8" s="27" t="s">
        <v>2</v>
      </c>
      <c r="L8" s="40">
        <v>1000</v>
      </c>
      <c r="M8" s="185" t="s">
        <v>22</v>
      </c>
      <c r="N8" s="121"/>
      <c r="O8" s="122"/>
      <c r="P8" s="122"/>
    </row>
    <row r="9" spans="1:17" ht="16.5" x14ac:dyDescent="0.3">
      <c r="A9" s="5" t="s">
        <v>247</v>
      </c>
      <c r="B9" s="6" t="s">
        <v>2</v>
      </c>
      <c r="C9" s="6">
        <v>110</v>
      </c>
      <c r="D9" s="59" t="s">
        <v>139</v>
      </c>
      <c r="E9" s="93"/>
      <c r="F9" s="20"/>
      <c r="G9" s="20"/>
      <c r="I9" s="120" t="s">
        <v>412</v>
      </c>
      <c r="J9" s="27" t="s">
        <v>416</v>
      </c>
      <c r="K9" s="27" t="s">
        <v>2</v>
      </c>
      <c r="L9" s="40">
        <v>110</v>
      </c>
      <c r="M9" s="185" t="s">
        <v>139</v>
      </c>
      <c r="N9" s="121"/>
      <c r="O9" s="122"/>
      <c r="P9" s="122"/>
    </row>
    <row r="10" spans="1:17" ht="16.5" x14ac:dyDescent="0.25">
      <c r="A10" s="5" t="s">
        <v>171</v>
      </c>
      <c r="B10" s="6" t="s">
        <v>2</v>
      </c>
      <c r="C10" s="72">
        <v>1</v>
      </c>
      <c r="D10" s="59"/>
      <c r="E10" s="93"/>
      <c r="F10" s="20"/>
      <c r="G10" s="20"/>
      <c r="I10" s="120" t="s">
        <v>171</v>
      </c>
      <c r="J10" s="27" t="s">
        <v>420</v>
      </c>
      <c r="K10" s="27" t="s">
        <v>2</v>
      </c>
      <c r="L10" s="38">
        <v>1</v>
      </c>
      <c r="M10" s="185"/>
      <c r="N10" s="121"/>
      <c r="O10" s="122"/>
      <c r="P10" s="122"/>
    </row>
    <row r="11" spans="1:17" ht="16.5" x14ac:dyDescent="0.25">
      <c r="A11" s="73" t="s">
        <v>172</v>
      </c>
      <c r="B11" s="6" t="s">
        <v>2</v>
      </c>
      <c r="C11" s="6">
        <v>1.7</v>
      </c>
      <c r="D11" s="59" t="s">
        <v>35</v>
      </c>
      <c r="E11" s="93"/>
      <c r="F11" s="20"/>
      <c r="G11" s="20"/>
      <c r="I11" s="186" t="s">
        <v>172</v>
      </c>
      <c r="J11" s="187" t="s">
        <v>421</v>
      </c>
      <c r="K11" s="27" t="s">
        <v>2</v>
      </c>
      <c r="L11" s="27">
        <v>1.7</v>
      </c>
      <c r="M11" s="185" t="s">
        <v>35</v>
      </c>
      <c r="N11" s="121"/>
      <c r="O11" s="122"/>
      <c r="P11" s="122"/>
    </row>
    <row r="12" spans="1:17" ht="16.5" x14ac:dyDescent="0.3">
      <c r="A12" s="5" t="s">
        <v>248</v>
      </c>
      <c r="B12" s="6" t="s">
        <v>2</v>
      </c>
      <c r="C12" s="6">
        <v>1000</v>
      </c>
      <c r="D12" s="59" t="s">
        <v>22</v>
      </c>
      <c r="E12" s="93"/>
      <c r="F12" s="20"/>
      <c r="G12" s="20"/>
      <c r="I12" s="120" t="s">
        <v>413</v>
      </c>
      <c r="J12" s="27" t="s">
        <v>417</v>
      </c>
      <c r="K12" s="27" t="s">
        <v>2</v>
      </c>
      <c r="L12" s="40">
        <v>1000</v>
      </c>
      <c r="M12" s="185" t="s">
        <v>22</v>
      </c>
      <c r="N12" s="121"/>
      <c r="O12" s="122"/>
      <c r="P12" s="122"/>
    </row>
    <row r="13" spans="1:17" ht="16.5" x14ac:dyDescent="0.3">
      <c r="A13" s="5" t="s">
        <v>249</v>
      </c>
      <c r="B13" s="6" t="s">
        <v>2</v>
      </c>
      <c r="C13" s="7">
        <v>160</v>
      </c>
      <c r="D13" s="74" t="s">
        <v>134</v>
      </c>
      <c r="E13" s="93"/>
      <c r="F13" s="20"/>
      <c r="G13" s="20"/>
      <c r="I13" s="120" t="s">
        <v>414</v>
      </c>
      <c r="J13" s="27" t="s">
        <v>418</v>
      </c>
      <c r="K13" s="27" t="s">
        <v>2</v>
      </c>
      <c r="L13" s="40">
        <v>160</v>
      </c>
      <c r="M13" s="188" t="s">
        <v>134</v>
      </c>
      <c r="N13" s="121"/>
      <c r="O13" s="122"/>
      <c r="P13" s="122"/>
    </row>
    <row r="14" spans="1:17" ht="16.5" x14ac:dyDescent="0.25">
      <c r="A14" s="5" t="s">
        <v>230</v>
      </c>
      <c r="B14" s="6" t="s">
        <v>2</v>
      </c>
      <c r="C14" s="75">
        <v>1.01</v>
      </c>
      <c r="D14" s="74"/>
      <c r="E14" s="76"/>
      <c r="F14" s="45"/>
      <c r="G14" s="45"/>
      <c r="I14" s="120" t="s">
        <v>230</v>
      </c>
      <c r="J14" s="27" t="s">
        <v>419</v>
      </c>
      <c r="K14" s="27" t="s">
        <v>2</v>
      </c>
      <c r="L14" s="41">
        <v>1.01</v>
      </c>
      <c r="M14" s="188"/>
      <c r="N14" s="124"/>
      <c r="O14" s="125"/>
      <c r="P14" s="125"/>
      <c r="Q14" s="189"/>
    </row>
    <row r="15" spans="1:17" ht="16.5" x14ac:dyDescent="0.25">
      <c r="A15" s="73" t="s">
        <v>173</v>
      </c>
      <c r="B15" s="6" t="s">
        <v>2</v>
      </c>
      <c r="C15" s="6">
        <v>75</v>
      </c>
      <c r="D15" s="59" t="s">
        <v>36</v>
      </c>
      <c r="E15" s="76" t="s">
        <v>2</v>
      </c>
      <c r="F15" s="45">
        <f>C15+14.7</f>
        <v>89.7</v>
      </c>
      <c r="G15" s="45" t="s">
        <v>35</v>
      </c>
      <c r="I15" s="186" t="s">
        <v>173</v>
      </c>
      <c r="J15" s="187" t="s">
        <v>308</v>
      </c>
      <c r="K15" s="27" t="s">
        <v>2</v>
      </c>
      <c r="L15" s="27">
        <v>75</v>
      </c>
      <c r="M15" s="185" t="s">
        <v>36</v>
      </c>
      <c r="N15" s="124" t="s">
        <v>2</v>
      </c>
      <c r="O15" s="125">
        <f>L15+14.7</f>
        <v>89.7</v>
      </c>
      <c r="P15" s="125" t="s">
        <v>35</v>
      </c>
      <c r="Q15" s="189"/>
    </row>
    <row r="16" spans="1:17" ht="16.5" x14ac:dyDescent="0.25">
      <c r="A16" s="73" t="s">
        <v>174</v>
      </c>
      <c r="B16" s="6" t="s">
        <v>2</v>
      </c>
      <c r="C16" s="6">
        <v>985</v>
      </c>
      <c r="D16" s="59" t="s">
        <v>36</v>
      </c>
      <c r="E16" s="76" t="s">
        <v>2</v>
      </c>
      <c r="F16" s="45">
        <f>C16+14.7</f>
        <v>999.7</v>
      </c>
      <c r="G16" s="45" t="s">
        <v>35</v>
      </c>
      <c r="I16" s="186" t="s">
        <v>174</v>
      </c>
      <c r="J16" s="187" t="s">
        <v>327</v>
      </c>
      <c r="K16" s="27" t="s">
        <v>2</v>
      </c>
      <c r="L16" s="40">
        <v>985</v>
      </c>
      <c r="M16" s="185" t="s">
        <v>36</v>
      </c>
      <c r="N16" s="124" t="s">
        <v>2</v>
      </c>
      <c r="O16" s="125">
        <f>L16+14.7</f>
        <v>999.7</v>
      </c>
      <c r="P16" s="125" t="s">
        <v>35</v>
      </c>
      <c r="Q16" s="189"/>
    </row>
    <row r="17" spans="1:17" x14ac:dyDescent="0.25">
      <c r="A17" s="73" t="s">
        <v>175</v>
      </c>
      <c r="B17" s="6" t="s">
        <v>2</v>
      </c>
      <c r="C17" s="6">
        <v>960</v>
      </c>
      <c r="D17" s="59" t="s">
        <v>36</v>
      </c>
      <c r="E17" s="76" t="s">
        <v>2</v>
      </c>
      <c r="F17" s="45">
        <f>C17+14.7</f>
        <v>974.7</v>
      </c>
      <c r="G17" s="45" t="s">
        <v>35</v>
      </c>
      <c r="I17" s="186" t="s">
        <v>175</v>
      </c>
      <c r="J17" s="187"/>
      <c r="K17" s="27" t="s">
        <v>2</v>
      </c>
      <c r="L17" s="40">
        <v>960</v>
      </c>
      <c r="M17" s="185" t="s">
        <v>36</v>
      </c>
      <c r="N17" s="124" t="s">
        <v>2</v>
      </c>
      <c r="O17" s="125">
        <f>L17+14.7</f>
        <v>974.7</v>
      </c>
      <c r="P17" s="125" t="s">
        <v>35</v>
      </c>
      <c r="Q17" s="189"/>
    </row>
    <row r="18" spans="1:17" x14ac:dyDescent="0.25">
      <c r="A18" s="73" t="s">
        <v>176</v>
      </c>
      <c r="B18" s="6" t="s">
        <v>2</v>
      </c>
      <c r="C18" s="6">
        <v>85</v>
      </c>
      <c r="D18" s="59" t="s">
        <v>36</v>
      </c>
      <c r="E18" s="76" t="s">
        <v>2</v>
      </c>
      <c r="F18" s="45">
        <f>C18+14.7</f>
        <v>99.7</v>
      </c>
      <c r="G18" s="45" t="s">
        <v>35</v>
      </c>
      <c r="I18" s="186" t="s">
        <v>176</v>
      </c>
      <c r="J18" s="187"/>
      <c r="K18" s="27" t="s">
        <v>2</v>
      </c>
      <c r="L18" s="27">
        <v>85</v>
      </c>
      <c r="M18" s="185" t="s">
        <v>36</v>
      </c>
      <c r="N18" s="124" t="s">
        <v>2</v>
      </c>
      <c r="O18" s="125">
        <f>L18+14.7</f>
        <v>99.7</v>
      </c>
      <c r="P18" s="125" t="s">
        <v>35</v>
      </c>
      <c r="Q18" s="189"/>
    </row>
    <row r="19" spans="1:17" x14ac:dyDescent="0.25">
      <c r="A19" s="73" t="s">
        <v>220</v>
      </c>
      <c r="B19" s="6" t="s">
        <v>2</v>
      </c>
      <c r="C19" s="6">
        <v>5</v>
      </c>
      <c r="D19" s="59" t="s">
        <v>221</v>
      </c>
      <c r="E19" s="76"/>
      <c r="F19" s="45"/>
      <c r="G19" s="45"/>
      <c r="I19" s="186"/>
      <c r="J19" s="187"/>
      <c r="K19" s="27"/>
      <c r="L19" s="27"/>
      <c r="M19" s="185"/>
      <c r="N19" s="124"/>
      <c r="O19" s="125"/>
      <c r="P19" s="125"/>
      <c r="Q19" s="189"/>
    </row>
    <row r="20" spans="1:17" x14ac:dyDescent="0.25">
      <c r="A20" s="73" t="s">
        <v>222</v>
      </c>
      <c r="B20" s="6" t="s">
        <v>2</v>
      </c>
      <c r="C20" s="6">
        <v>3</v>
      </c>
      <c r="D20" s="59" t="s">
        <v>221</v>
      </c>
      <c r="E20" s="76"/>
      <c r="F20" s="45"/>
      <c r="G20" s="45"/>
      <c r="I20" s="186" t="s">
        <v>220</v>
      </c>
      <c r="J20" s="187"/>
      <c r="K20" s="27" t="s">
        <v>2</v>
      </c>
      <c r="L20" s="27">
        <v>5</v>
      </c>
      <c r="M20" s="185" t="s">
        <v>221</v>
      </c>
      <c r="N20" s="124"/>
      <c r="O20" s="125"/>
      <c r="P20" s="125"/>
      <c r="Q20" s="189"/>
    </row>
    <row r="21" spans="1:17" ht="16.5" x14ac:dyDescent="0.25">
      <c r="A21" s="73"/>
      <c r="B21" s="6"/>
      <c r="C21" s="6"/>
      <c r="D21" s="59"/>
      <c r="E21" s="76"/>
      <c r="F21" s="45"/>
      <c r="G21" s="45"/>
      <c r="I21" s="186" t="s">
        <v>342</v>
      </c>
      <c r="J21" s="187" t="s">
        <v>422</v>
      </c>
      <c r="K21" s="27" t="s">
        <v>2</v>
      </c>
      <c r="L21" s="27">
        <v>0.78500000000000003</v>
      </c>
      <c r="M21" s="185"/>
      <c r="N21" s="124"/>
      <c r="O21" s="125"/>
      <c r="P21" s="125" t="s">
        <v>253</v>
      </c>
      <c r="Q21" s="189"/>
    </row>
    <row r="22" spans="1:17" ht="16.5" x14ac:dyDescent="0.3">
      <c r="A22" s="5" t="s">
        <v>28</v>
      </c>
      <c r="B22" s="6" t="s">
        <v>2</v>
      </c>
      <c r="C22" s="6" t="s">
        <v>178</v>
      </c>
      <c r="D22" s="59"/>
      <c r="E22" s="76"/>
      <c r="F22" s="45"/>
      <c r="G22" s="45" t="s">
        <v>179</v>
      </c>
      <c r="I22" s="186" t="s">
        <v>222</v>
      </c>
      <c r="J22" s="187"/>
      <c r="K22" s="27" t="s">
        <v>2</v>
      </c>
      <c r="L22" s="27">
        <v>3</v>
      </c>
      <c r="M22" s="185" t="s">
        <v>221</v>
      </c>
      <c r="N22" s="124"/>
      <c r="O22" s="125"/>
      <c r="P22" s="125"/>
      <c r="Q22" s="189"/>
    </row>
    <row r="23" spans="1:17" ht="15" customHeight="1" x14ac:dyDescent="0.3">
      <c r="A23" s="5" t="s">
        <v>4</v>
      </c>
      <c r="B23" s="6" t="s">
        <v>2</v>
      </c>
      <c r="C23" s="6" t="s">
        <v>180</v>
      </c>
      <c r="D23" s="59"/>
      <c r="E23" s="76"/>
      <c r="F23" s="45"/>
      <c r="G23" s="45" t="s">
        <v>183</v>
      </c>
      <c r="I23" s="186" t="s">
        <v>423</v>
      </c>
      <c r="J23" s="187" t="s">
        <v>424</v>
      </c>
      <c r="K23" s="27" t="s">
        <v>2</v>
      </c>
      <c r="L23" s="27">
        <v>0.76</v>
      </c>
      <c r="M23" s="185"/>
      <c r="N23" s="124"/>
      <c r="O23" s="125"/>
      <c r="P23" s="125" t="s">
        <v>254</v>
      </c>
      <c r="Q23" s="189"/>
    </row>
    <row r="24" spans="1:17" x14ac:dyDescent="0.25">
      <c r="A24" s="5" t="s">
        <v>17</v>
      </c>
      <c r="B24" s="6" t="s">
        <v>2</v>
      </c>
      <c r="C24" s="6" t="s">
        <v>223</v>
      </c>
      <c r="D24" s="59"/>
      <c r="E24" s="93"/>
      <c r="F24" s="20"/>
      <c r="G24" s="46"/>
      <c r="I24" s="186"/>
      <c r="J24" s="186"/>
      <c r="K24" s="25"/>
      <c r="L24" s="25"/>
      <c r="M24" s="185"/>
      <c r="N24" s="124"/>
      <c r="O24" s="125"/>
      <c r="P24" s="125"/>
      <c r="Q24" s="189"/>
    </row>
    <row r="25" spans="1:17" x14ac:dyDescent="0.25">
      <c r="A25" s="81" t="s">
        <v>135</v>
      </c>
      <c r="B25" s="10"/>
      <c r="C25" s="10"/>
      <c r="D25" s="77"/>
      <c r="E25" s="10"/>
      <c r="F25" s="42"/>
      <c r="G25" s="88"/>
      <c r="I25" s="123" t="s">
        <v>428</v>
      </c>
      <c r="J25" s="120"/>
      <c r="K25" s="25"/>
      <c r="L25" s="25"/>
      <c r="M25" s="185"/>
      <c r="N25" s="124"/>
      <c r="O25" s="125"/>
      <c r="P25" s="125"/>
      <c r="Q25" s="189"/>
    </row>
    <row r="26" spans="1:17" x14ac:dyDescent="0.25">
      <c r="A26" s="11" t="s">
        <v>224</v>
      </c>
      <c r="B26" s="10" t="s">
        <v>2</v>
      </c>
      <c r="C26" s="10" t="s">
        <v>284</v>
      </c>
      <c r="D26" s="77"/>
      <c r="E26" s="10" t="s">
        <v>2</v>
      </c>
      <c r="F26" s="78">
        <f>(2.31*(F15-C11))/C10</f>
        <v>203.28</v>
      </c>
      <c r="G26" s="70" t="s">
        <v>170</v>
      </c>
      <c r="I26" s="185"/>
      <c r="J26" s="185"/>
      <c r="K26" s="190"/>
      <c r="L26" s="191"/>
      <c r="M26" s="190"/>
      <c r="N26" s="124"/>
      <c r="O26" s="125"/>
      <c r="P26" s="125"/>
      <c r="Q26" s="189"/>
    </row>
    <row r="27" spans="1:17" ht="16.5" x14ac:dyDescent="0.3">
      <c r="A27" s="11" t="s">
        <v>225</v>
      </c>
      <c r="B27" s="10" t="s">
        <v>2</v>
      </c>
      <c r="C27" s="10" t="s">
        <v>285</v>
      </c>
      <c r="D27" s="77"/>
      <c r="E27" s="10" t="s">
        <v>2</v>
      </c>
      <c r="F27" s="78">
        <f>(2.31*(C16-C15))/C10</f>
        <v>2102.1</v>
      </c>
      <c r="G27" s="70" t="s">
        <v>170</v>
      </c>
      <c r="I27" s="120" t="s">
        <v>429</v>
      </c>
      <c r="J27" s="25" t="s">
        <v>427</v>
      </c>
      <c r="K27" s="25" t="s">
        <v>2</v>
      </c>
      <c r="L27" s="192">
        <f>2.31*(L15+14.7-L11)/L10</f>
        <v>203.28</v>
      </c>
      <c r="M27" s="185" t="s">
        <v>170</v>
      </c>
      <c r="N27" s="124"/>
      <c r="O27" s="125"/>
      <c r="P27" s="125" t="s">
        <v>179</v>
      </c>
      <c r="Q27" s="189"/>
    </row>
    <row r="28" spans="1:17" ht="16.5" x14ac:dyDescent="0.3">
      <c r="A28" s="11" t="s">
        <v>452</v>
      </c>
      <c r="B28" s="10" t="s">
        <v>2</v>
      </c>
      <c r="C28" s="10">
        <v>0.78500000000000003</v>
      </c>
      <c r="D28" s="77"/>
      <c r="E28" s="10"/>
      <c r="F28" s="78"/>
      <c r="G28" s="86" t="s">
        <v>253</v>
      </c>
      <c r="I28" s="120" t="s">
        <v>430</v>
      </c>
      <c r="J28" s="25" t="s">
        <v>426</v>
      </c>
      <c r="K28" s="25" t="s">
        <v>2</v>
      </c>
      <c r="L28" s="192">
        <f>2.31*(L16-L15)/L10</f>
        <v>2102.1</v>
      </c>
      <c r="M28" s="185" t="s">
        <v>170</v>
      </c>
      <c r="N28" s="124"/>
      <c r="O28" s="125"/>
      <c r="P28" s="125" t="s">
        <v>183</v>
      </c>
      <c r="Q28" s="189"/>
    </row>
    <row r="29" spans="1:17" ht="16.5" x14ac:dyDescent="0.3">
      <c r="A29" s="11" t="s">
        <v>226</v>
      </c>
      <c r="B29" s="10" t="s">
        <v>2</v>
      </c>
      <c r="C29" s="6" t="s">
        <v>227</v>
      </c>
      <c r="D29" s="77"/>
      <c r="E29" s="10" t="s">
        <v>2</v>
      </c>
      <c r="F29" s="78">
        <f>(C8*F27*C10)/(3960*C28)</f>
        <v>676.22080679405519</v>
      </c>
      <c r="G29" s="70" t="s">
        <v>148</v>
      </c>
      <c r="I29" s="120" t="s">
        <v>433</v>
      </c>
      <c r="J29" s="25" t="s">
        <v>425</v>
      </c>
      <c r="K29" s="25" t="s">
        <v>2</v>
      </c>
      <c r="L29" s="192">
        <f>L8*L28*L10/(3960*L21)</f>
        <v>676.22080679405519</v>
      </c>
      <c r="M29" s="185" t="s">
        <v>148</v>
      </c>
      <c r="N29" s="124"/>
      <c r="O29" s="125"/>
      <c r="P29" s="193"/>
      <c r="Q29" s="189"/>
    </row>
    <row r="30" spans="1:17" x14ac:dyDescent="0.25">
      <c r="A30" s="11" t="s">
        <v>228</v>
      </c>
      <c r="B30" s="10" t="s">
        <v>2</v>
      </c>
      <c r="C30" s="6" t="s">
        <v>229</v>
      </c>
      <c r="D30" s="77"/>
      <c r="E30" s="10" t="s">
        <v>2</v>
      </c>
      <c r="F30" s="78">
        <f>(2.31*(C17-C18))/C14</f>
        <v>2001.2376237623762</v>
      </c>
      <c r="G30" s="70" t="s">
        <v>170</v>
      </c>
      <c r="I30" s="168"/>
      <c r="J30" s="168"/>
      <c r="K30" s="121"/>
      <c r="L30" s="121"/>
      <c r="M30" s="132"/>
      <c r="N30" s="121"/>
      <c r="O30" s="122"/>
      <c r="P30" s="169"/>
    </row>
    <row r="31" spans="1:17" ht="16.5" x14ac:dyDescent="0.3">
      <c r="A31" s="11" t="s">
        <v>451</v>
      </c>
      <c r="B31" s="10" t="s">
        <v>2</v>
      </c>
      <c r="C31" s="10">
        <v>0.76</v>
      </c>
      <c r="D31" s="77"/>
      <c r="E31" s="10"/>
      <c r="F31" s="78"/>
      <c r="G31" s="86" t="s">
        <v>254</v>
      </c>
      <c r="I31" s="120" t="s">
        <v>431</v>
      </c>
      <c r="J31" s="25" t="s">
        <v>432</v>
      </c>
      <c r="K31" s="25" t="s">
        <v>2</v>
      </c>
      <c r="L31" s="192">
        <f>2.31*(L17-L18)/L14</f>
        <v>2001.2376237623762</v>
      </c>
      <c r="M31" s="185" t="s">
        <v>170</v>
      </c>
      <c r="N31" s="25"/>
      <c r="O31" s="169"/>
      <c r="P31" s="169"/>
    </row>
    <row r="32" spans="1:17" ht="16.5" x14ac:dyDescent="0.3">
      <c r="A32" s="4" t="s">
        <v>231</v>
      </c>
      <c r="B32" s="93" t="s">
        <v>2</v>
      </c>
      <c r="C32" s="71" t="s">
        <v>232</v>
      </c>
      <c r="D32" s="94"/>
      <c r="E32" s="93" t="s">
        <v>2</v>
      </c>
      <c r="F32" s="79">
        <f>(C12*F30*C14*C31)/3960</f>
        <v>387.91666666666669</v>
      </c>
      <c r="G32" s="64" t="s">
        <v>148</v>
      </c>
      <c r="I32" s="120" t="s">
        <v>434</v>
      </c>
      <c r="J32" s="25" t="s">
        <v>435</v>
      </c>
      <c r="K32" s="25" t="s">
        <v>2</v>
      </c>
      <c r="L32" s="192">
        <f>L12*L31*L14*L23/3960</f>
        <v>387.91666666666669</v>
      </c>
      <c r="M32" s="185" t="s">
        <v>148</v>
      </c>
      <c r="N32" s="25"/>
      <c r="O32" s="169"/>
      <c r="P32" s="169"/>
    </row>
    <row r="33" spans="1:16" x14ac:dyDescent="0.25">
      <c r="A33" s="4"/>
      <c r="B33" s="93"/>
      <c r="C33" s="93"/>
      <c r="D33" s="94"/>
      <c r="E33" s="93"/>
      <c r="F33" s="20"/>
      <c r="G33" s="20"/>
      <c r="I33" s="158"/>
      <c r="J33" s="158"/>
      <c r="K33" s="136"/>
      <c r="L33" s="136"/>
      <c r="M33" s="137"/>
      <c r="N33" s="136"/>
      <c r="O33" s="165"/>
      <c r="P33" s="143"/>
    </row>
    <row r="34" spans="1:16" x14ac:dyDescent="0.25">
      <c r="B34" s="118"/>
      <c r="C34" s="118"/>
      <c r="D34" s="118"/>
      <c r="E34" s="118"/>
      <c r="F34" s="118"/>
      <c r="G34" s="118"/>
      <c r="I34" s="147"/>
      <c r="J34" s="147"/>
      <c r="K34" s="146"/>
      <c r="L34" s="146"/>
      <c r="M34" s="148"/>
      <c r="N34" s="146"/>
      <c r="O34" s="173"/>
      <c r="P34" s="173"/>
    </row>
    <row r="35" spans="1:16" x14ac:dyDescent="0.25">
      <c r="A35" s="138" t="s">
        <v>289</v>
      </c>
    </row>
    <row r="36" spans="1:16" x14ac:dyDescent="0.25">
      <c r="A36" s="138" t="s">
        <v>458</v>
      </c>
    </row>
    <row r="37" spans="1:16" x14ac:dyDescent="0.25">
      <c r="A37" s="138" t="s">
        <v>459</v>
      </c>
    </row>
    <row r="38" spans="1:16" x14ac:dyDescent="0.25">
      <c r="A38" s="138" t="s">
        <v>460</v>
      </c>
    </row>
    <row r="39" spans="1:16" x14ac:dyDescent="0.25">
      <c r="A39" s="142" t="s">
        <v>461</v>
      </c>
    </row>
  </sheetData>
  <sheetProtection password="E156" sheet="1" objects="1" scenarios="1"/>
  <mergeCells count="2">
    <mergeCell ref="I5:N5"/>
    <mergeCell ref="A5:E5"/>
  </mergeCells>
  <pageMargins left="0.7" right="0.7" top="0.75" bottom="0.75" header="0.3" footer="0.3"/>
  <pageSetup orientation="portrait" r:id="rId1"/>
  <ignoredErrors>
    <ignoredError sqref="O15:O18" unlocked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
  <sheetViews>
    <sheetView showGridLines="0" zoomScaleNormal="100" workbookViewId="0">
      <selection sqref="A1:XFD1048576"/>
    </sheetView>
  </sheetViews>
  <sheetFormatPr defaultRowHeight="15" x14ac:dyDescent="0.25"/>
  <cols>
    <col min="1" max="16384" width="9.140625" style="194"/>
  </cols>
  <sheetData>
    <row r="1" spans="1:1" x14ac:dyDescent="0.25">
      <c r="A1" s="95" t="s">
        <v>453</v>
      </c>
    </row>
  </sheetData>
  <sheetProtection password="E156" sheet="1" objects="1" scenarios="1"/>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Revisions</vt:lpstr>
      <vt:lpstr>Nomenclature</vt:lpstr>
      <vt:lpstr>Example 12-1</vt:lpstr>
      <vt:lpstr>Example 12-2</vt:lpstr>
      <vt:lpstr>Example 12-3</vt:lpstr>
      <vt:lpstr>Example 12-4</vt:lpstr>
      <vt:lpstr>Example 12-5</vt:lpstr>
      <vt:lpstr>Figures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Hamilton, Stuart</dc:creator>
  <cp:lastModifiedBy>Hamilton, Stuart</cp:lastModifiedBy>
  <dcterms:created xsi:type="dcterms:W3CDTF">2008-10-22T14:23:07Z</dcterms:created>
  <dcterms:modified xsi:type="dcterms:W3CDTF">2017-04-09T00:10:23Z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