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005" yWindow="15" windowWidth="11235" windowHeight="9810" activeTab="1"/>
  </bookViews>
  <sheets>
    <sheet name="Revisions" sheetId="7" r:id="rId1"/>
    <sheet name="Nomenclature" sheetId="1" r:id="rId2"/>
    <sheet name="Example 17-1" sheetId="2" r:id="rId3"/>
    <sheet name="Example 17-2" sheetId="3" r:id="rId4"/>
    <sheet name="Example 17-3" sheetId="4" r:id="rId5"/>
    <sheet name="Example 17-4" sheetId="5" r:id="rId6"/>
    <sheet name="Limits" sheetId="6" r:id="rId7"/>
  </sheets>
  <calcPr calcId="145621"/>
  <customWorkbookViews>
    <customWorkbookView name="Lopez, David J. - Personal View" guid="{4A4D9229-7CAB-4D88-8487-AD510F689FCA}" mergeInterval="0" personalView="1" maximized="1" windowWidth="792" windowHeight="663" activeSheetId="1"/>
  </customWorkbookViews>
</workbook>
</file>

<file path=xl/calcChain.xml><?xml version="1.0" encoding="utf-8"?>
<calcChain xmlns="http://schemas.openxmlformats.org/spreadsheetml/2006/main">
  <c r="I17" i="2" l="1"/>
  <c r="I24" i="5" l="1"/>
  <c r="I26" i="5" s="1"/>
  <c r="I50" i="5"/>
  <c r="I19" i="4"/>
  <c r="J16" i="3"/>
  <c r="I25" i="5" l="1"/>
  <c r="I20" i="2"/>
  <c r="I47" i="5" l="1"/>
  <c r="I46" i="5"/>
  <c r="I40" i="5"/>
  <c r="I20" i="5"/>
  <c r="I17" i="4"/>
  <c r="I18" i="4" s="1"/>
  <c r="I21" i="4"/>
  <c r="I21" i="5" l="1"/>
  <c r="I22" i="5"/>
  <c r="I23" i="5"/>
  <c r="I30" i="5"/>
  <c r="I33" i="5"/>
  <c r="I45" i="5"/>
  <c r="I44" i="5"/>
  <c r="I20" i="4"/>
  <c r="I22" i="4" s="1"/>
  <c r="J18" i="3"/>
  <c r="J21" i="3"/>
  <c r="I23" i="4"/>
  <c r="I48" i="5" l="1"/>
  <c r="I27" i="5"/>
  <c r="I28" i="5" s="1"/>
  <c r="I31" i="5" l="1"/>
  <c r="I34" i="5"/>
  <c r="I36" i="5" s="1"/>
  <c r="I38" i="5" s="1"/>
  <c r="I41" i="5" s="1"/>
  <c r="I42" i="5" s="1"/>
</calcChain>
</file>

<file path=xl/sharedStrings.xml><?xml version="1.0" encoding="utf-8"?>
<sst xmlns="http://schemas.openxmlformats.org/spreadsheetml/2006/main" count="881" uniqueCount="354">
  <si>
    <t>Nomenclature</t>
  </si>
  <si>
    <t>=</t>
  </si>
  <si>
    <t>A</t>
  </si>
  <si>
    <t>c</t>
  </si>
  <si>
    <t>C</t>
  </si>
  <si>
    <t>d</t>
  </si>
  <si>
    <t>D</t>
  </si>
  <si>
    <t>E</t>
  </si>
  <si>
    <t>E'</t>
  </si>
  <si>
    <t>E"</t>
  </si>
  <si>
    <t>F"</t>
  </si>
  <si>
    <t>g</t>
  </si>
  <si>
    <t>L</t>
  </si>
  <si>
    <t>MW</t>
  </si>
  <si>
    <r>
      <t>C</t>
    </r>
    <r>
      <rPr>
        <vertAlign val="subscript"/>
        <sz val="10"/>
        <rFont val="Times New Roman"/>
        <family val="1"/>
      </rPr>
      <t>1</t>
    </r>
  </si>
  <si>
    <r>
      <t>C</t>
    </r>
    <r>
      <rPr>
        <vertAlign val="subscript"/>
        <sz val="10"/>
        <rFont val="Times New Roman"/>
        <family val="1"/>
      </rPr>
      <t>2</t>
    </r>
  </si>
  <si>
    <r>
      <t>d</t>
    </r>
    <r>
      <rPr>
        <vertAlign val="subscript"/>
        <sz val="10"/>
        <rFont val="Times New Roman"/>
        <family val="1"/>
      </rPr>
      <t>o</t>
    </r>
  </si>
  <si>
    <r>
      <t>f</t>
    </r>
    <r>
      <rPr>
        <vertAlign val="subscript"/>
        <sz val="10"/>
        <rFont val="Times New Roman"/>
        <family val="1"/>
      </rPr>
      <t>f</t>
    </r>
  </si>
  <si>
    <r>
      <t>f</t>
    </r>
    <r>
      <rPr>
        <vertAlign val="subscript"/>
        <sz val="10"/>
        <rFont val="Times New Roman"/>
        <family val="1"/>
      </rPr>
      <t>m</t>
    </r>
  </si>
  <si>
    <r>
      <t>f</t>
    </r>
    <r>
      <rPr>
        <vertAlign val="subscript"/>
        <sz val="10"/>
        <rFont val="Times New Roman"/>
        <family val="1"/>
      </rPr>
      <t>n</t>
    </r>
  </si>
  <si>
    <r>
      <t>f</t>
    </r>
    <r>
      <rPr>
        <vertAlign val="subscript"/>
        <sz val="10"/>
        <rFont val="Times New Roman"/>
        <family val="1"/>
      </rPr>
      <t>tpr</t>
    </r>
  </si>
  <si>
    <r>
      <t>F</t>
    </r>
    <r>
      <rPr>
        <vertAlign val="subscript"/>
        <sz val="10"/>
        <rFont val="Times New Roman"/>
        <family val="1"/>
      </rPr>
      <t>pv</t>
    </r>
  </si>
  <si>
    <r>
      <t>(1/f</t>
    </r>
    <r>
      <rPr>
        <vertAlign val="subscript"/>
        <sz val="10"/>
        <rFont val="Times New Roman"/>
        <family val="1"/>
      </rPr>
      <t>f</t>
    </r>
    <r>
      <rPr>
        <sz val="10"/>
        <rFont val="Times New Roman"/>
        <family val="1"/>
      </rPr>
      <t>)</t>
    </r>
    <r>
      <rPr>
        <vertAlign val="superscript"/>
        <sz val="10"/>
        <rFont val="Times New Roman"/>
        <family val="1"/>
      </rPr>
      <t>1/2</t>
    </r>
  </si>
  <si>
    <r>
      <t>g</t>
    </r>
    <r>
      <rPr>
        <vertAlign val="subscript"/>
        <sz val="10"/>
        <rFont val="Times New Roman"/>
        <family val="1"/>
      </rPr>
      <t>c</t>
    </r>
  </si>
  <si>
    <r>
      <t>h</t>
    </r>
    <r>
      <rPr>
        <vertAlign val="subscript"/>
        <sz val="10"/>
        <rFont val="Times New Roman"/>
        <family val="1"/>
      </rPr>
      <t>L</t>
    </r>
  </si>
  <si>
    <t>H</t>
  </si>
  <si>
    <r>
      <t>H</t>
    </r>
    <r>
      <rPr>
        <vertAlign val="subscript"/>
        <sz val="10"/>
        <rFont val="Times New Roman"/>
        <family val="1"/>
      </rPr>
      <t>Ld</t>
    </r>
  </si>
  <si>
    <r>
      <t>H</t>
    </r>
    <r>
      <rPr>
        <vertAlign val="subscript"/>
        <sz val="10"/>
        <rFont val="Times New Roman"/>
        <family val="1"/>
      </rPr>
      <t>Le</t>
    </r>
  </si>
  <si>
    <r>
      <t>H</t>
    </r>
    <r>
      <rPr>
        <vertAlign val="subscript"/>
        <sz val="10"/>
        <rFont val="Times New Roman"/>
        <family val="1"/>
      </rPr>
      <t>Lf</t>
    </r>
  </si>
  <si>
    <r>
      <t>I</t>
    </r>
    <r>
      <rPr>
        <vertAlign val="subscript"/>
        <sz val="10"/>
        <rFont val="Times New Roman"/>
        <family val="1"/>
      </rPr>
      <t>L</t>
    </r>
  </si>
  <si>
    <r>
      <t>L</t>
    </r>
    <r>
      <rPr>
        <vertAlign val="subscript"/>
        <sz val="10"/>
        <rFont val="Times New Roman"/>
        <family val="1"/>
      </rPr>
      <t>m</t>
    </r>
  </si>
  <si>
    <r>
      <t>N</t>
    </r>
    <r>
      <rPr>
        <vertAlign val="subscript"/>
        <sz val="10"/>
        <rFont val="Times New Roman"/>
        <family val="1"/>
      </rPr>
      <t>x</t>
    </r>
  </si>
  <si>
    <r>
      <t>N</t>
    </r>
    <r>
      <rPr>
        <vertAlign val="subscript"/>
        <sz val="10"/>
        <rFont val="Times New Roman"/>
        <family val="1"/>
      </rPr>
      <t>y</t>
    </r>
  </si>
  <si>
    <t>design parameter used in Hazen and Williams formula, Eq 17-33</t>
  </si>
  <si>
    <t>discharge factor from Fig 17-8</t>
  </si>
  <si>
    <t>size factor from Fig 17-9</t>
  </si>
  <si>
    <t>internal diameter of pipe, in.</t>
  </si>
  <si>
    <t>outside pipe diameter, in.</t>
  </si>
  <si>
    <t>internal diameter of pipe, feet</t>
  </si>
  <si>
    <t>pipeline efficiency factor (fraction)</t>
  </si>
  <si>
    <t>Fanning friction factor</t>
  </si>
  <si>
    <r>
      <t>Moody friction factor (f</t>
    </r>
    <r>
      <rPr>
        <vertAlign val="subscript"/>
        <sz val="10"/>
        <rFont val="Times New Roman"/>
        <family val="1"/>
      </rPr>
      <t>m</t>
    </r>
    <r>
      <rPr>
        <sz val="10"/>
        <rFont val="Times New Roman"/>
        <family val="1"/>
      </rPr>
      <t xml:space="preserve"> = 4.0 f</t>
    </r>
    <r>
      <rPr>
        <vertAlign val="subscript"/>
        <sz val="10"/>
        <rFont val="Times New Roman"/>
        <family val="1"/>
      </rPr>
      <t>f</t>
    </r>
    <r>
      <rPr>
        <sz val="10"/>
        <rFont val="Times New Roman"/>
        <family val="1"/>
      </rPr>
      <t>)</t>
    </r>
  </si>
  <si>
    <t>friction factor ratio for Dukler calculation, Fig 17-17</t>
  </si>
  <si>
    <t>construction type design factor used in ANSI B31.8, Fig 17-24</t>
  </si>
  <si>
    <t>volume correction for a non-ideal fluid due to compressibility from Eq 17-13</t>
  </si>
  <si>
    <t>transmission factor</t>
  </si>
  <si>
    <r>
      <t>acceleration due to gravity, 32.2 ft/sec</t>
    </r>
    <r>
      <rPr>
        <vertAlign val="superscript"/>
        <sz val="10"/>
        <rFont val="Times New Roman"/>
        <family val="1"/>
      </rPr>
      <t>2</t>
    </r>
  </si>
  <si>
    <r>
      <t>gravitational constant, 32.2 (ft • lbm)/(lbf • sec</t>
    </r>
    <r>
      <rPr>
        <vertAlign val="superscript"/>
        <sz val="10"/>
        <rFont val="Times New Roman"/>
        <family val="1"/>
      </rPr>
      <t>2</t>
    </r>
    <r>
      <rPr>
        <sz val="10"/>
        <rFont val="Times New Roman"/>
        <family val="1"/>
      </rPr>
      <t>)</t>
    </r>
  </si>
  <si>
    <t>loss of static pressure head due to fluid flow, feet of fluid</t>
  </si>
  <si>
    <t>total energy of a fluid at a point above a datum, from Eq 17-1</t>
  </si>
  <si>
    <t>liquid holdup fraction (Dukler), Fig 17-18</t>
  </si>
  <si>
    <t>liquid holdup faction (Eaton), Fig 17-20</t>
  </si>
  <si>
    <t>liquid holdup fraction (Flanigan), Fig 17-19</t>
  </si>
  <si>
    <t>length of line, feet</t>
  </si>
  <si>
    <t>length of line, miles</t>
  </si>
  <si>
    <t>molecular weight</t>
  </si>
  <si>
    <t>Fig 17-16 horizontal coordinate, ft/sec</t>
  </si>
  <si>
    <t>Fig 17-16 vertical coordinate, ft/sec</t>
  </si>
  <si>
    <t>P</t>
  </si>
  <si>
    <r>
      <t>N</t>
    </r>
    <r>
      <rPr>
        <vertAlign val="subscript"/>
        <sz val="10"/>
        <rFont val="Times New Roman"/>
        <family val="1"/>
      </rPr>
      <t>E</t>
    </r>
  </si>
  <si>
    <r>
      <t>N</t>
    </r>
    <r>
      <rPr>
        <vertAlign val="subscript"/>
        <sz val="10"/>
        <rFont val="Times New Roman"/>
        <family val="1"/>
      </rPr>
      <t>Lv</t>
    </r>
  </si>
  <si>
    <r>
      <t>N</t>
    </r>
    <r>
      <rPr>
        <vertAlign val="subscript"/>
        <sz val="10"/>
        <rFont val="Times New Roman"/>
        <family val="1"/>
      </rPr>
      <t>gv</t>
    </r>
  </si>
  <si>
    <r>
      <t>N</t>
    </r>
    <r>
      <rPr>
        <vertAlign val="subscript"/>
        <sz val="10"/>
        <rFont val="Times New Roman"/>
        <family val="1"/>
      </rPr>
      <t>d</t>
    </r>
  </si>
  <si>
    <r>
      <t>P</t>
    </r>
    <r>
      <rPr>
        <vertAlign val="subscript"/>
        <sz val="10"/>
        <rFont val="Times New Roman"/>
        <family val="1"/>
      </rPr>
      <t>1</t>
    </r>
  </si>
  <si>
    <r>
      <t>P</t>
    </r>
    <r>
      <rPr>
        <vertAlign val="subscript"/>
        <sz val="10"/>
        <rFont val="Times New Roman"/>
        <family val="1"/>
      </rPr>
      <t>2</t>
    </r>
  </si>
  <si>
    <r>
      <t>P</t>
    </r>
    <r>
      <rPr>
        <vertAlign val="subscript"/>
        <sz val="10"/>
        <rFont val="Times New Roman"/>
        <family val="1"/>
      </rPr>
      <t>avg</t>
    </r>
  </si>
  <si>
    <r>
      <t>P</t>
    </r>
    <r>
      <rPr>
        <vertAlign val="subscript"/>
        <sz val="10"/>
        <rFont val="Times New Roman"/>
        <family val="1"/>
      </rPr>
      <t>b</t>
    </r>
  </si>
  <si>
    <r>
      <t>P</t>
    </r>
    <r>
      <rPr>
        <vertAlign val="subscript"/>
        <sz val="10"/>
        <rFont val="Times New Roman"/>
        <family val="1"/>
      </rPr>
      <t>i</t>
    </r>
  </si>
  <si>
    <t>abscissa of Eaton correlation, Fig 17-20</t>
  </si>
  <si>
    <t>pressure, psia</t>
  </si>
  <si>
    <t>inlet pressure, psia</t>
  </si>
  <si>
    <t>outlet pressure, psia</t>
  </si>
  <si>
    <t>average pressure, psia, from Eq 17-16</t>
  </si>
  <si>
    <r>
      <t>base absolute pressure, psia (ANSI 2530 specification:  P</t>
    </r>
    <r>
      <rPr>
        <vertAlign val="subscript"/>
        <sz val="10"/>
        <rFont val="Times New Roman"/>
        <family val="1"/>
      </rPr>
      <t>b</t>
    </r>
    <r>
      <rPr>
        <sz val="10"/>
        <rFont val="Times New Roman"/>
        <family val="1"/>
      </rPr>
      <t xml:space="preserve"> = 14.73 psia)</t>
    </r>
  </si>
  <si>
    <t>internal design pressure, psig</t>
  </si>
  <si>
    <t>q</t>
  </si>
  <si>
    <t>Q</t>
  </si>
  <si>
    <t>Re</t>
  </si>
  <si>
    <t>S</t>
  </si>
  <si>
    <t>S'</t>
  </si>
  <si>
    <t>S"</t>
  </si>
  <si>
    <t>t</t>
  </si>
  <si>
    <t>T</t>
  </si>
  <si>
    <t>T"</t>
  </si>
  <si>
    <t>V</t>
  </si>
  <si>
    <t>W</t>
  </si>
  <si>
    <t>Y'</t>
  </si>
  <si>
    <t>ε</t>
  </si>
  <si>
    <t>λ</t>
  </si>
  <si>
    <t>ρ</t>
  </si>
  <si>
    <t>σ</t>
  </si>
  <si>
    <r>
      <t>Q</t>
    </r>
    <r>
      <rPr>
        <vertAlign val="subscript"/>
        <sz val="10"/>
        <rFont val="Times New Roman"/>
        <family val="1"/>
      </rPr>
      <t>L</t>
    </r>
  </si>
  <si>
    <r>
      <t>Q</t>
    </r>
    <r>
      <rPr>
        <vertAlign val="subscript"/>
        <sz val="10"/>
        <rFont val="Times New Roman"/>
        <family val="1"/>
      </rPr>
      <t>g</t>
    </r>
  </si>
  <si>
    <r>
      <t>Re</t>
    </r>
    <r>
      <rPr>
        <vertAlign val="subscript"/>
        <sz val="10"/>
        <rFont val="Times New Roman"/>
        <family val="1"/>
      </rPr>
      <t>y</t>
    </r>
  </si>
  <si>
    <r>
      <t>t</t>
    </r>
    <r>
      <rPr>
        <vertAlign val="subscript"/>
        <sz val="10"/>
        <rFont val="Times New Roman"/>
        <family val="1"/>
      </rPr>
      <t>m</t>
    </r>
  </si>
  <si>
    <r>
      <t>T</t>
    </r>
    <r>
      <rPr>
        <vertAlign val="subscript"/>
        <sz val="10"/>
        <rFont val="Times New Roman"/>
        <family val="1"/>
      </rPr>
      <t>avg</t>
    </r>
  </si>
  <si>
    <r>
      <t>V</t>
    </r>
    <r>
      <rPr>
        <vertAlign val="subscript"/>
        <sz val="10"/>
        <rFont val="Times New Roman"/>
        <family val="1"/>
      </rPr>
      <t>sg</t>
    </r>
  </si>
  <si>
    <r>
      <t>V</t>
    </r>
    <r>
      <rPr>
        <vertAlign val="subscript"/>
        <sz val="10"/>
        <rFont val="Times New Roman"/>
        <family val="1"/>
      </rPr>
      <t>sL</t>
    </r>
  </si>
  <si>
    <r>
      <t>V</t>
    </r>
    <r>
      <rPr>
        <vertAlign val="subscript"/>
        <sz val="10"/>
        <rFont val="Times New Roman"/>
        <family val="1"/>
      </rPr>
      <t>m</t>
    </r>
  </si>
  <si>
    <r>
      <t>X</t>
    </r>
    <r>
      <rPr>
        <vertAlign val="subscript"/>
        <sz val="10"/>
        <rFont val="Times New Roman"/>
        <family val="1"/>
      </rPr>
      <t>A</t>
    </r>
  </si>
  <si>
    <r>
      <t>Y</t>
    </r>
    <r>
      <rPr>
        <vertAlign val="subscript"/>
        <sz val="10"/>
        <rFont val="Times New Roman"/>
        <family val="1"/>
      </rPr>
      <t>A</t>
    </r>
  </si>
  <si>
    <r>
      <t>Z</t>
    </r>
    <r>
      <rPr>
        <vertAlign val="subscript"/>
        <sz val="10"/>
        <rFont val="Times New Roman"/>
        <family val="1"/>
      </rPr>
      <t>avg</t>
    </r>
  </si>
  <si>
    <t>Greek</t>
  </si>
  <si>
    <t>pressure drop, psi/100 ft equivalent pipe length</t>
  </si>
  <si>
    <t>elevation component of pressure drop, psi</t>
  </si>
  <si>
    <t>frictional component of pressure drop, psi</t>
  </si>
  <si>
    <t>total pressure drop, psi</t>
  </si>
  <si>
    <t>flow rate, gal/min</t>
  </si>
  <si>
    <t>flow rate of gas, cubic feet per day at base conditions</t>
  </si>
  <si>
    <r>
      <t>liquid volumetric flow rate at flowing conditions, ft</t>
    </r>
    <r>
      <rPr>
        <vertAlign val="superscript"/>
        <sz val="10"/>
        <rFont val="Times New Roman"/>
        <family val="1"/>
      </rPr>
      <t>3</t>
    </r>
    <r>
      <rPr>
        <sz val="10"/>
        <rFont val="Times New Roman"/>
        <family val="1"/>
      </rPr>
      <t>/sec</t>
    </r>
  </si>
  <si>
    <r>
      <t>gas volumetric flow rate at flowing conditions, ft</t>
    </r>
    <r>
      <rPr>
        <vertAlign val="superscript"/>
        <sz val="10"/>
        <rFont val="Times New Roman"/>
        <family val="1"/>
      </rPr>
      <t>3</t>
    </r>
    <r>
      <rPr>
        <sz val="10"/>
        <rFont val="Times New Roman"/>
        <family val="1"/>
      </rPr>
      <t>/sec</t>
    </r>
  </si>
  <si>
    <t>Reynolds number</t>
  </si>
  <si>
    <t>specific gravity of flowing gas (air = 1.0)</t>
  </si>
  <si>
    <r>
      <t>T</t>
    </r>
    <r>
      <rPr>
        <vertAlign val="subscript"/>
        <sz val="10"/>
        <rFont val="Times New Roman"/>
        <family val="1"/>
      </rPr>
      <t>b</t>
    </r>
  </si>
  <si>
    <t>single phase fluid velocity, ft/sec</t>
  </si>
  <si>
    <t>mass flow, lb/hr</t>
  </si>
  <si>
    <t>Aziz fluid property correction factor (horizontal axis, Fig 17-16)</t>
  </si>
  <si>
    <t>Aziz fluid property correction factor (vertical axis, Fig 17-16)</t>
  </si>
  <si>
    <t>average compressibility factor</t>
  </si>
  <si>
    <t>pipeline vertical elevation rise, ft</t>
  </si>
  <si>
    <t>absolute roughness, ft</t>
  </si>
  <si>
    <t>flowing liquid volume fraction</t>
  </si>
  <si>
    <r>
      <t>single phase fluid viscosity, lb</t>
    </r>
    <r>
      <rPr>
        <vertAlign val="subscript"/>
        <sz val="10"/>
        <rFont val="Times New Roman"/>
        <family val="1"/>
      </rPr>
      <t>m</t>
    </r>
    <r>
      <rPr>
        <sz val="10"/>
        <rFont val="Times New Roman"/>
        <family val="1"/>
      </rPr>
      <t>/(ft • sec)</t>
    </r>
  </si>
  <si>
    <t>μ</t>
  </si>
  <si>
    <t>single phase fluid viscosity, cp</t>
  </si>
  <si>
    <t>gas viscosity, cp</t>
  </si>
  <si>
    <t>liquid viscosity, cp</t>
  </si>
  <si>
    <t>mixture viscosity for Dukler calculation, cp</t>
  </si>
  <si>
    <r>
      <t>single phase fluid density, lb/ft</t>
    </r>
    <r>
      <rPr>
        <vertAlign val="superscript"/>
        <sz val="10"/>
        <rFont val="Times New Roman"/>
        <family val="1"/>
      </rPr>
      <t>3</t>
    </r>
  </si>
  <si>
    <r>
      <t>gas density, lb/ft</t>
    </r>
    <r>
      <rPr>
        <vertAlign val="superscript"/>
        <sz val="10"/>
        <rFont val="Times New Roman"/>
        <family val="1"/>
      </rPr>
      <t>3</t>
    </r>
  </si>
  <si>
    <r>
      <t>liquid density, lb/ft</t>
    </r>
    <r>
      <rPr>
        <vertAlign val="superscript"/>
        <sz val="10"/>
        <rFont val="Times New Roman"/>
        <family val="1"/>
      </rPr>
      <t>3</t>
    </r>
  </si>
  <si>
    <r>
      <t>two phase mixture density for Dukler calculation, lb/ft</t>
    </r>
    <r>
      <rPr>
        <vertAlign val="superscript"/>
        <sz val="10"/>
        <rFont val="Times New Roman"/>
        <family val="1"/>
      </rPr>
      <t>3</t>
    </r>
  </si>
  <si>
    <t>interfacial tension at flowing conditions, dyne/cm</t>
  </si>
  <si>
    <t>psi</t>
  </si>
  <si>
    <t>psia</t>
  </si>
  <si>
    <t>°F</t>
  </si>
  <si>
    <t>lb/hr</t>
  </si>
  <si>
    <t>Nominal Pipe Size</t>
  </si>
  <si>
    <t>Schedule Number</t>
  </si>
  <si>
    <t>psi/100 ft</t>
  </si>
  <si>
    <t>in</t>
  </si>
  <si>
    <t>&lt;=</t>
  </si>
  <si>
    <t>dynes/cm</t>
  </si>
  <si>
    <t>ft/sec</t>
  </si>
  <si>
    <t>Use Fig 17-16 and Nx, Ny to determine what flow regime should be expected</t>
  </si>
  <si>
    <t>(5.60, 0.64)</t>
  </si>
  <si>
    <r>
      <t>psia ft</t>
    </r>
    <r>
      <rPr>
        <vertAlign val="superscript"/>
        <sz val="11"/>
        <rFont val="Times New Roman"/>
        <family val="1"/>
      </rPr>
      <t>3</t>
    </r>
    <r>
      <rPr>
        <sz val="11"/>
        <rFont val="Times New Roman"/>
        <family val="1"/>
      </rPr>
      <t>/lbmol °R</t>
    </r>
  </si>
  <si>
    <r>
      <t>ΔP</t>
    </r>
    <r>
      <rPr>
        <vertAlign val="subscript"/>
        <sz val="11"/>
        <rFont val="Times New Roman"/>
        <family val="1"/>
      </rPr>
      <t>100</t>
    </r>
  </si>
  <si>
    <t>miles</t>
  </si>
  <si>
    <t>feet</t>
  </si>
  <si>
    <t>cp</t>
  </si>
  <si>
    <r>
      <t>lb/ft</t>
    </r>
    <r>
      <rPr>
        <vertAlign val="superscript"/>
        <sz val="11"/>
        <rFont val="Times New Roman"/>
        <family val="1"/>
      </rPr>
      <t>3</t>
    </r>
  </si>
  <si>
    <t>absolute temperature of flowing gas, °R</t>
  </si>
  <si>
    <t>interfacial tension of air and water at 60 °F and 14.7 psia, 72.4 dyne/cm</t>
  </si>
  <si>
    <r>
      <t>pipe cross sectional area, ft</t>
    </r>
    <r>
      <rPr>
        <vertAlign val="superscript"/>
        <sz val="10"/>
        <rFont val="Times New Roman"/>
        <family val="1"/>
      </rPr>
      <t>2</t>
    </r>
    <r>
      <rPr>
        <sz val="10"/>
        <rFont val="Times New Roman"/>
        <family val="1"/>
      </rPr>
      <t xml:space="preserve"> (A=πD</t>
    </r>
    <r>
      <rPr>
        <vertAlign val="superscript"/>
        <sz val="10"/>
        <rFont val="Times New Roman"/>
        <family val="1"/>
      </rPr>
      <t>2</t>
    </r>
    <r>
      <rPr>
        <sz val="10"/>
        <rFont val="Times New Roman"/>
        <family val="1"/>
      </rPr>
      <t>/4)</t>
    </r>
  </si>
  <si>
    <r>
      <t>ΔP</t>
    </r>
    <r>
      <rPr>
        <vertAlign val="subscript"/>
        <sz val="10"/>
        <rFont val="Times New Roman"/>
        <family val="1"/>
      </rPr>
      <t>100</t>
    </r>
  </si>
  <si>
    <r>
      <t>ΔP</t>
    </r>
    <r>
      <rPr>
        <vertAlign val="subscript"/>
        <sz val="10"/>
        <rFont val="Times New Roman"/>
        <family val="1"/>
      </rPr>
      <t>e</t>
    </r>
  </si>
  <si>
    <r>
      <t>ΔP</t>
    </r>
    <r>
      <rPr>
        <vertAlign val="subscript"/>
        <sz val="10"/>
        <rFont val="Times New Roman"/>
        <family val="1"/>
      </rPr>
      <t>f</t>
    </r>
  </si>
  <si>
    <r>
      <t>ΔP</t>
    </r>
    <r>
      <rPr>
        <vertAlign val="subscript"/>
        <sz val="10"/>
        <rFont val="Times New Roman"/>
        <family val="1"/>
      </rPr>
      <t>t</t>
    </r>
  </si>
  <si>
    <r>
      <t>average temperature, °R [T</t>
    </r>
    <r>
      <rPr>
        <vertAlign val="subscript"/>
        <sz val="10"/>
        <rFont val="Times New Roman"/>
        <family val="1"/>
      </rPr>
      <t>avg</t>
    </r>
    <r>
      <rPr>
        <sz val="10"/>
        <rFont val="Times New Roman"/>
        <family val="1"/>
      </rPr>
      <t>=1/2(T</t>
    </r>
    <r>
      <rPr>
        <vertAlign val="subscript"/>
        <sz val="10"/>
        <rFont val="Times New Roman"/>
        <family val="1"/>
      </rPr>
      <t>in</t>
    </r>
    <r>
      <rPr>
        <sz val="10"/>
        <rFont val="Times New Roman"/>
        <family val="1"/>
      </rPr>
      <t>+T</t>
    </r>
    <r>
      <rPr>
        <vertAlign val="subscript"/>
        <sz val="10"/>
        <rFont val="Times New Roman"/>
        <family val="1"/>
      </rPr>
      <t>out</t>
    </r>
    <r>
      <rPr>
        <sz val="10"/>
        <rFont val="Times New Roman"/>
        <family val="1"/>
      </rPr>
      <t>)]</t>
    </r>
  </si>
  <si>
    <r>
      <t>base absolute temperature, °R (ANSI 2530 specification:  T</t>
    </r>
    <r>
      <rPr>
        <vertAlign val="subscript"/>
        <sz val="10"/>
        <rFont val="Times New Roman"/>
        <family val="1"/>
      </rPr>
      <t>b</t>
    </r>
    <r>
      <rPr>
        <sz val="10"/>
        <rFont val="Times New Roman"/>
        <family val="1"/>
      </rPr>
      <t>= 520 °R)</t>
    </r>
  </si>
  <si>
    <r>
      <t>Z</t>
    </r>
    <r>
      <rPr>
        <vertAlign val="subscript"/>
        <sz val="10"/>
        <rFont val="Times New Roman"/>
        <family val="1"/>
      </rPr>
      <t>e</t>
    </r>
  </si>
  <si>
    <r>
      <t>μ</t>
    </r>
    <r>
      <rPr>
        <vertAlign val="subscript"/>
        <sz val="10"/>
        <rFont val="Times New Roman"/>
        <family val="1"/>
      </rPr>
      <t>e</t>
    </r>
  </si>
  <si>
    <r>
      <t>μ</t>
    </r>
    <r>
      <rPr>
        <vertAlign val="subscript"/>
        <sz val="10"/>
        <rFont val="Times New Roman"/>
        <family val="1"/>
      </rPr>
      <t>g</t>
    </r>
  </si>
  <si>
    <r>
      <t>μ</t>
    </r>
    <r>
      <rPr>
        <vertAlign val="subscript"/>
        <sz val="10"/>
        <rFont val="Times New Roman"/>
        <family val="1"/>
      </rPr>
      <t>L</t>
    </r>
  </si>
  <si>
    <r>
      <t>μ</t>
    </r>
    <r>
      <rPr>
        <vertAlign val="subscript"/>
        <sz val="10"/>
        <rFont val="Times New Roman"/>
        <family val="1"/>
      </rPr>
      <t>n</t>
    </r>
  </si>
  <si>
    <r>
      <t>ρ</t>
    </r>
    <r>
      <rPr>
        <vertAlign val="subscript"/>
        <sz val="10"/>
        <rFont val="Times New Roman"/>
        <family val="1"/>
      </rPr>
      <t>avg</t>
    </r>
  </si>
  <si>
    <r>
      <t>average density, lb/ft</t>
    </r>
    <r>
      <rPr>
        <vertAlign val="superscript"/>
        <sz val="10"/>
        <rFont val="Times New Roman"/>
        <family val="1"/>
      </rPr>
      <t>3</t>
    </r>
    <r>
      <rPr>
        <sz val="10"/>
        <rFont val="Times New Roman"/>
        <family val="1"/>
      </rPr>
      <t xml:space="preserve"> [ρ</t>
    </r>
    <r>
      <rPr>
        <vertAlign val="subscript"/>
        <sz val="10"/>
        <rFont val="Times New Roman"/>
        <family val="1"/>
      </rPr>
      <t>avg</t>
    </r>
    <r>
      <rPr>
        <sz val="10"/>
        <rFont val="Times New Roman"/>
        <family val="1"/>
      </rPr>
      <t>=1/2(ρ</t>
    </r>
    <r>
      <rPr>
        <vertAlign val="subscript"/>
        <sz val="10"/>
        <rFont val="Times New Roman"/>
        <family val="1"/>
      </rPr>
      <t>in</t>
    </r>
    <r>
      <rPr>
        <sz val="10"/>
        <rFont val="Times New Roman"/>
        <family val="1"/>
      </rPr>
      <t>+ρ</t>
    </r>
    <r>
      <rPr>
        <vertAlign val="subscript"/>
        <sz val="10"/>
        <rFont val="Times New Roman"/>
        <family val="1"/>
      </rPr>
      <t>out</t>
    </r>
    <r>
      <rPr>
        <sz val="10"/>
        <rFont val="Times New Roman"/>
        <family val="1"/>
      </rPr>
      <t>)]</t>
    </r>
  </si>
  <si>
    <r>
      <t>ρ</t>
    </r>
    <r>
      <rPr>
        <vertAlign val="subscript"/>
        <sz val="10"/>
        <rFont val="Times New Roman"/>
        <family val="1"/>
      </rPr>
      <t>a</t>
    </r>
  </si>
  <si>
    <r>
      <t>air density at 60 °F and 14.7 psia, 0.0764 lb/ft</t>
    </r>
    <r>
      <rPr>
        <vertAlign val="superscript"/>
        <sz val="10"/>
        <rFont val="Times New Roman"/>
        <family val="1"/>
      </rPr>
      <t>3</t>
    </r>
  </si>
  <si>
    <r>
      <t>ρ</t>
    </r>
    <r>
      <rPr>
        <vertAlign val="subscript"/>
        <sz val="10"/>
        <rFont val="Times New Roman"/>
        <family val="1"/>
      </rPr>
      <t>w</t>
    </r>
  </si>
  <si>
    <r>
      <t>water density at 60 °F and 14.7 psia, 62.4 lb/ft</t>
    </r>
    <r>
      <rPr>
        <vertAlign val="superscript"/>
        <sz val="10"/>
        <rFont val="Times New Roman"/>
        <family val="1"/>
      </rPr>
      <t>3</t>
    </r>
  </si>
  <si>
    <r>
      <t>ρ</t>
    </r>
    <r>
      <rPr>
        <vertAlign val="subscript"/>
        <sz val="10"/>
        <rFont val="Times New Roman"/>
        <family val="1"/>
      </rPr>
      <t>g</t>
    </r>
  </si>
  <si>
    <r>
      <t>ρ</t>
    </r>
    <r>
      <rPr>
        <vertAlign val="subscript"/>
        <sz val="10"/>
        <rFont val="Times New Roman"/>
        <family val="1"/>
      </rPr>
      <t>L</t>
    </r>
  </si>
  <si>
    <r>
      <t>ρ</t>
    </r>
    <r>
      <rPr>
        <vertAlign val="subscript"/>
        <sz val="10"/>
        <rFont val="Times New Roman"/>
        <family val="1"/>
      </rPr>
      <t>k</t>
    </r>
  </si>
  <si>
    <r>
      <t>σ</t>
    </r>
    <r>
      <rPr>
        <vertAlign val="subscript"/>
        <sz val="10"/>
        <rFont val="Times New Roman"/>
        <family val="1"/>
      </rPr>
      <t>wa</t>
    </r>
  </si>
  <si>
    <r>
      <t>N</t>
    </r>
    <r>
      <rPr>
        <vertAlign val="subscript"/>
        <sz val="10"/>
        <rFont val="Times New Roman"/>
        <family val="1"/>
      </rPr>
      <t>L</t>
    </r>
  </si>
  <si>
    <t>sum of allowances for corrosion, erosion, etc., in., Fig 17-22</t>
  </si>
  <si>
    <t>longitudinal weld joint factor from ANSI B31.3, Fig 17-22</t>
  </si>
  <si>
    <t>longitudinal joint factor from ANSI B31.8, Fig 17-23</t>
  </si>
  <si>
    <t>allowable stress, psi, Fig 17-22</t>
  </si>
  <si>
    <t>specified minimum yield strength, psi, Fig 17-23</t>
  </si>
  <si>
    <t>thickness, in., Figs 17-22, 17-23</t>
  </si>
  <si>
    <t>minimum required wall thickness, in., Fig 17-22</t>
  </si>
  <si>
    <t>temperature derating factor used in ANSI B31.8, Fig 17-23</t>
  </si>
  <si>
    <t>coefficient found in Table 304.1.1, ANSI B31.3, Fig 17-22</t>
  </si>
  <si>
    <t>LIMITS</t>
  </si>
  <si>
    <t>Calculations of pressure drop due to multiple elevation changes in hilly terrain should use the sum of the uphill pipe runs.  Pressure recovery in downhill sections is mostly ignored by the various correlations.</t>
  </si>
  <si>
    <t xml:space="preserve">C2 factor (Fig. 17-9) is based on clean steel pipe.  Internal pipe roughness in old or used pipe can significantly increase pressure drop.  </t>
  </si>
  <si>
    <t>For short runs of pipe where pressure drop is less than 10% of total pressure, such as within plant or battery limits, use the simplified Darcy formula, Eq. 17-31.</t>
  </si>
  <si>
    <t>Temperature</t>
  </si>
  <si>
    <t xml:space="preserve"> Pressure</t>
  </si>
  <si>
    <t>Compressibility Factor  Z</t>
  </si>
  <si>
    <t>Molecular Weight</t>
  </si>
  <si>
    <t>Gas Constant</t>
  </si>
  <si>
    <t>inch</t>
  </si>
  <si>
    <t>Given:</t>
  </si>
  <si>
    <r>
      <t>C</t>
    </r>
    <r>
      <rPr>
        <vertAlign val="subscript"/>
        <sz val="11"/>
        <rFont val="Times New Roman"/>
        <family val="1"/>
      </rPr>
      <t>1</t>
    </r>
  </si>
  <si>
    <t>Calculations:</t>
  </si>
  <si>
    <t>(from Eq. 17-31)</t>
  </si>
  <si>
    <r>
      <t>C</t>
    </r>
    <r>
      <rPr>
        <vertAlign val="subscript"/>
        <sz val="11"/>
        <rFont val="Times New Roman"/>
        <family val="1"/>
      </rPr>
      <t>2</t>
    </r>
    <r>
      <rPr>
        <sz val="11"/>
        <color theme="1"/>
        <rFont val="Arial Narrow"/>
        <family val="2"/>
      </rPr>
      <t/>
    </r>
  </si>
  <si>
    <t>Flowrate</t>
  </si>
  <si>
    <t>Compressibility Factor Z</t>
  </si>
  <si>
    <t>Mass Flowrate</t>
  </si>
  <si>
    <r>
      <t>lb/ft</t>
    </r>
    <r>
      <rPr>
        <vertAlign val="superscript"/>
        <sz val="11"/>
        <color theme="1"/>
        <rFont val="Times New Roman"/>
        <family val="1"/>
      </rPr>
      <t>3</t>
    </r>
  </si>
  <si>
    <r>
      <t>C</t>
    </r>
    <r>
      <rPr>
        <vertAlign val="subscript"/>
        <sz val="11"/>
        <color theme="1"/>
        <rFont val="Times New Roman"/>
        <family val="1"/>
      </rPr>
      <t>1</t>
    </r>
  </si>
  <si>
    <r>
      <t>psia ft</t>
    </r>
    <r>
      <rPr>
        <vertAlign val="superscript"/>
        <sz val="11"/>
        <color theme="1"/>
        <rFont val="Times New Roman"/>
        <family val="1"/>
      </rPr>
      <t>3</t>
    </r>
    <r>
      <rPr>
        <sz val="11"/>
        <color theme="1"/>
        <rFont val="Times New Roman"/>
        <family val="1"/>
      </rPr>
      <t xml:space="preserve">/lbmol </t>
    </r>
    <r>
      <rPr>
        <sz val="11"/>
        <color theme="1"/>
        <rFont val="Calibri"/>
        <family val="2"/>
      </rPr>
      <t>°</t>
    </r>
    <r>
      <rPr>
        <sz val="11"/>
        <color theme="1"/>
        <rFont val="Times New Roman"/>
        <family val="1"/>
      </rPr>
      <t>R</t>
    </r>
  </si>
  <si>
    <t>(from Fig. 17-8)</t>
  </si>
  <si>
    <r>
      <t xml:space="preserve">Actual </t>
    </r>
    <r>
      <rPr>
        <sz val="11"/>
        <color theme="1"/>
        <rFont val="Calibri"/>
        <family val="2"/>
      </rPr>
      <t>Δ</t>
    </r>
    <r>
      <rPr>
        <sz val="11"/>
        <color theme="1"/>
        <rFont val="Times New Roman"/>
        <family val="1"/>
      </rPr>
      <t>P</t>
    </r>
    <r>
      <rPr>
        <vertAlign val="subscript"/>
        <sz val="11"/>
        <color theme="1"/>
        <rFont val="Times New Roman"/>
        <family val="1"/>
      </rPr>
      <t>100</t>
    </r>
  </si>
  <si>
    <r>
      <t>Minimum C</t>
    </r>
    <r>
      <rPr>
        <vertAlign val="subscript"/>
        <sz val="11"/>
        <color theme="1"/>
        <rFont val="Times New Roman"/>
        <family val="1"/>
      </rPr>
      <t>2</t>
    </r>
    <r>
      <rPr>
        <sz val="11"/>
        <color theme="1"/>
        <rFont val="Times New Roman"/>
        <family val="1"/>
      </rPr>
      <t xml:space="preserve"> value</t>
    </r>
  </si>
  <si>
    <t>(from Fig. 17-9)</t>
  </si>
  <si>
    <t>Nominal pipe size</t>
  </si>
  <si>
    <r>
      <t>Actual C</t>
    </r>
    <r>
      <rPr>
        <vertAlign val="subscript"/>
        <sz val="11"/>
        <color theme="1"/>
        <rFont val="Times New Roman"/>
        <family val="1"/>
      </rPr>
      <t>2</t>
    </r>
    <r>
      <rPr>
        <sz val="11"/>
        <color theme="1"/>
        <rFont val="Times New Roman"/>
        <family val="1"/>
      </rPr>
      <t xml:space="preserve"> value</t>
    </r>
  </si>
  <si>
    <r>
      <rPr>
        <sz val="11"/>
        <color theme="1"/>
        <rFont val="Calibri"/>
        <family val="2"/>
      </rPr>
      <t>ρ</t>
    </r>
    <r>
      <rPr>
        <vertAlign val="subscript"/>
        <sz val="11"/>
        <color theme="1"/>
        <rFont val="Times New Roman"/>
        <family val="1"/>
      </rPr>
      <t>L</t>
    </r>
  </si>
  <si>
    <r>
      <rPr>
        <sz val="11"/>
        <color theme="1"/>
        <rFont val="Calibri"/>
        <family val="2"/>
      </rPr>
      <t>ρ</t>
    </r>
    <r>
      <rPr>
        <vertAlign val="subscript"/>
        <sz val="11"/>
        <color theme="1"/>
        <rFont val="Times New Roman"/>
        <family val="1"/>
      </rPr>
      <t>g</t>
    </r>
  </si>
  <si>
    <r>
      <t>Q</t>
    </r>
    <r>
      <rPr>
        <vertAlign val="subscript"/>
        <sz val="11"/>
        <color theme="1"/>
        <rFont val="Times New Roman"/>
        <family val="1"/>
      </rPr>
      <t>L</t>
    </r>
  </si>
  <si>
    <r>
      <t>ft</t>
    </r>
    <r>
      <rPr>
        <vertAlign val="superscript"/>
        <sz val="11"/>
        <color theme="1"/>
        <rFont val="Times New Roman"/>
        <family val="1"/>
      </rPr>
      <t>3</t>
    </r>
    <r>
      <rPr>
        <sz val="11"/>
        <color theme="1"/>
        <rFont val="Times New Roman"/>
        <family val="1"/>
      </rPr>
      <t>/sec</t>
    </r>
  </si>
  <si>
    <r>
      <t>Q</t>
    </r>
    <r>
      <rPr>
        <vertAlign val="subscript"/>
        <sz val="11"/>
        <color theme="1"/>
        <rFont val="Times New Roman"/>
        <family val="1"/>
      </rPr>
      <t>g</t>
    </r>
  </si>
  <si>
    <r>
      <t>V</t>
    </r>
    <r>
      <rPr>
        <vertAlign val="subscript"/>
        <sz val="11"/>
        <color theme="1"/>
        <rFont val="Times New Roman"/>
        <family val="1"/>
      </rPr>
      <t>sg</t>
    </r>
  </si>
  <si>
    <r>
      <t>V</t>
    </r>
    <r>
      <rPr>
        <vertAlign val="subscript"/>
        <sz val="11"/>
        <color theme="1"/>
        <rFont val="Times New Roman"/>
        <family val="1"/>
      </rPr>
      <t>sL</t>
    </r>
  </si>
  <si>
    <r>
      <t>N</t>
    </r>
    <r>
      <rPr>
        <vertAlign val="subscript"/>
        <sz val="11"/>
        <color theme="1"/>
        <rFont val="Times New Roman"/>
        <family val="1"/>
      </rPr>
      <t>x</t>
    </r>
  </si>
  <si>
    <r>
      <t>N</t>
    </r>
    <r>
      <rPr>
        <vertAlign val="subscript"/>
        <sz val="11"/>
        <color theme="1"/>
        <rFont val="Times New Roman"/>
        <family val="1"/>
      </rPr>
      <t>y</t>
    </r>
  </si>
  <si>
    <r>
      <t>ft</t>
    </r>
    <r>
      <rPr>
        <vertAlign val="superscript"/>
        <sz val="11"/>
        <color theme="1"/>
        <rFont val="Times New Roman"/>
        <family val="1"/>
      </rPr>
      <t>2</t>
    </r>
  </si>
  <si>
    <r>
      <t>(N</t>
    </r>
    <r>
      <rPr>
        <vertAlign val="subscript"/>
        <sz val="11"/>
        <color theme="1"/>
        <rFont val="Times New Roman"/>
        <family val="1"/>
      </rPr>
      <t>x</t>
    </r>
    <r>
      <rPr>
        <sz val="11"/>
        <color theme="1"/>
        <rFont val="Times New Roman"/>
        <family val="1"/>
      </rPr>
      <t>, N</t>
    </r>
    <r>
      <rPr>
        <vertAlign val="subscript"/>
        <sz val="11"/>
        <color theme="1"/>
        <rFont val="Times New Roman"/>
        <family val="1"/>
      </rPr>
      <t>y</t>
    </r>
    <r>
      <rPr>
        <sz val="11"/>
        <color theme="1"/>
        <rFont val="Times New Roman"/>
        <family val="1"/>
      </rPr>
      <t>)</t>
    </r>
  </si>
  <si>
    <r>
      <t>ρ</t>
    </r>
    <r>
      <rPr>
        <vertAlign val="subscript"/>
        <sz val="11"/>
        <color theme="1"/>
        <rFont val="Times New Roman"/>
        <family val="1"/>
      </rPr>
      <t>L</t>
    </r>
  </si>
  <si>
    <r>
      <t>ρ</t>
    </r>
    <r>
      <rPr>
        <vertAlign val="subscript"/>
        <sz val="11"/>
        <color theme="1"/>
        <rFont val="Times New Roman"/>
        <family val="1"/>
      </rPr>
      <t>g</t>
    </r>
  </si>
  <si>
    <r>
      <t>ρ</t>
    </r>
    <r>
      <rPr>
        <vertAlign val="subscript"/>
        <sz val="11"/>
        <color theme="1"/>
        <rFont val="Times New Roman"/>
        <family val="1"/>
      </rPr>
      <t>w</t>
    </r>
  </si>
  <si>
    <r>
      <t>ρ</t>
    </r>
    <r>
      <rPr>
        <vertAlign val="subscript"/>
        <sz val="11"/>
        <color theme="1"/>
        <rFont val="Times New Roman"/>
        <family val="1"/>
      </rPr>
      <t>a</t>
    </r>
  </si>
  <si>
    <r>
      <t>σ</t>
    </r>
    <r>
      <rPr>
        <vertAlign val="subscript"/>
        <sz val="11"/>
        <color theme="1"/>
        <rFont val="Times New Roman"/>
        <family val="1"/>
      </rPr>
      <t>wa</t>
    </r>
  </si>
  <si>
    <r>
      <t>Y</t>
    </r>
    <r>
      <rPr>
        <vertAlign val="subscript"/>
        <sz val="11"/>
        <color theme="1"/>
        <rFont val="Times New Roman"/>
        <family val="1"/>
      </rPr>
      <t>A</t>
    </r>
  </si>
  <si>
    <r>
      <t>X</t>
    </r>
    <r>
      <rPr>
        <vertAlign val="subscript"/>
        <sz val="11"/>
        <color theme="1"/>
        <rFont val="Times New Roman"/>
        <family val="1"/>
      </rPr>
      <t>A</t>
    </r>
  </si>
  <si>
    <r>
      <t>[(2/0.0764)</t>
    </r>
    <r>
      <rPr>
        <vertAlign val="superscript"/>
        <sz val="11"/>
        <color theme="1"/>
        <rFont val="Times New Roman"/>
        <family val="1"/>
      </rPr>
      <t>0.333</t>
    </r>
    <r>
      <rPr>
        <sz val="11"/>
        <color theme="1"/>
        <rFont val="Times New Roman"/>
        <family val="1"/>
      </rPr>
      <t>] •1.32=3.91</t>
    </r>
  </si>
  <si>
    <t>0.5/0.35=1.43</t>
  </si>
  <si>
    <t>0.17/0.35=0.49</t>
  </si>
  <si>
    <t>Flow regime</t>
  </si>
  <si>
    <t>Slug</t>
  </si>
  <si>
    <r>
      <t>L</t>
    </r>
    <r>
      <rPr>
        <vertAlign val="subscript"/>
        <sz val="11"/>
        <color theme="1"/>
        <rFont val="Times New Roman"/>
        <family val="1"/>
      </rPr>
      <t>m</t>
    </r>
  </si>
  <si>
    <r>
      <t>P</t>
    </r>
    <r>
      <rPr>
        <vertAlign val="subscript"/>
        <sz val="11"/>
        <color theme="1"/>
        <rFont val="Times New Roman"/>
        <family val="1"/>
      </rPr>
      <t>1</t>
    </r>
  </si>
  <si>
    <r>
      <rPr>
        <sz val="11"/>
        <color theme="1"/>
        <rFont val="Calibri"/>
        <family val="2"/>
      </rPr>
      <t>μ</t>
    </r>
    <r>
      <rPr>
        <vertAlign val="subscript"/>
        <sz val="11"/>
        <color theme="1"/>
        <rFont val="Times New Roman"/>
        <family val="1"/>
      </rPr>
      <t>L</t>
    </r>
  </si>
  <si>
    <r>
      <rPr>
        <sz val="11"/>
        <color theme="1"/>
        <rFont val="Calibri"/>
        <family val="2"/>
      </rPr>
      <t>μ</t>
    </r>
    <r>
      <rPr>
        <vertAlign val="subscript"/>
        <sz val="11"/>
        <color theme="1"/>
        <rFont val="Times New Roman"/>
        <family val="1"/>
      </rPr>
      <t>g</t>
    </r>
  </si>
  <si>
    <r>
      <t>ft</t>
    </r>
    <r>
      <rPr>
        <vertAlign val="superscript"/>
        <sz val="11"/>
        <color theme="1"/>
        <rFont val="Times New Roman"/>
        <family val="1"/>
      </rPr>
      <t>3</t>
    </r>
    <r>
      <rPr>
        <sz val="11"/>
        <color theme="1"/>
        <rFont val="Times New Roman"/>
        <family val="1"/>
      </rPr>
      <t>/min</t>
    </r>
  </si>
  <si>
    <r>
      <t>P</t>
    </r>
    <r>
      <rPr>
        <vertAlign val="subscript"/>
        <sz val="11"/>
        <color theme="1"/>
        <rFont val="Times New Roman"/>
        <family val="1"/>
      </rPr>
      <t>b</t>
    </r>
  </si>
  <si>
    <r>
      <rPr>
        <sz val="11"/>
        <color theme="1"/>
        <rFont val="Calibri"/>
        <family val="2"/>
      </rPr>
      <t>μ</t>
    </r>
    <r>
      <rPr>
        <vertAlign val="subscript"/>
        <sz val="11"/>
        <color theme="1"/>
        <rFont val="Times New Roman"/>
        <family val="1"/>
      </rPr>
      <t>n</t>
    </r>
  </si>
  <si>
    <r>
      <rPr>
        <sz val="11"/>
        <color theme="1"/>
        <rFont val="Calibri"/>
        <family val="2"/>
      </rPr>
      <t>ρ</t>
    </r>
    <r>
      <rPr>
        <vertAlign val="subscript"/>
        <sz val="11"/>
        <color theme="1"/>
        <rFont val="Times New Roman"/>
        <family val="1"/>
      </rPr>
      <t>k</t>
    </r>
  </si>
  <si>
    <r>
      <t>V</t>
    </r>
    <r>
      <rPr>
        <vertAlign val="subscript"/>
        <sz val="11"/>
        <color theme="1"/>
        <rFont val="Times New Roman"/>
        <family val="1"/>
      </rPr>
      <t>m</t>
    </r>
  </si>
  <si>
    <r>
      <t>Re</t>
    </r>
    <r>
      <rPr>
        <vertAlign val="subscript"/>
        <sz val="11"/>
        <color theme="1"/>
        <rFont val="Times New Roman"/>
        <family val="1"/>
      </rPr>
      <t>y</t>
    </r>
  </si>
  <si>
    <r>
      <t>Mixture Re</t>
    </r>
    <r>
      <rPr>
        <vertAlign val="subscript"/>
        <sz val="11"/>
        <color theme="1"/>
        <rFont val="Times New Roman"/>
        <family val="1"/>
      </rPr>
      <t>y</t>
    </r>
  </si>
  <si>
    <r>
      <t>f</t>
    </r>
    <r>
      <rPr>
        <vertAlign val="subscript"/>
        <sz val="11"/>
        <color theme="1"/>
        <rFont val="Times New Roman"/>
        <family val="1"/>
      </rPr>
      <t>n</t>
    </r>
  </si>
  <si>
    <r>
      <t>f</t>
    </r>
    <r>
      <rPr>
        <vertAlign val="subscript"/>
        <sz val="11"/>
        <color theme="1"/>
        <rFont val="Times New Roman"/>
        <family val="1"/>
      </rPr>
      <t>tpr</t>
    </r>
  </si>
  <si>
    <r>
      <rPr>
        <sz val="11"/>
        <color theme="1"/>
        <rFont val="Calibri"/>
        <family val="2"/>
      </rPr>
      <t>Δ</t>
    </r>
    <r>
      <rPr>
        <sz val="11"/>
        <color theme="1"/>
        <rFont val="Times New Roman"/>
        <family val="1"/>
      </rPr>
      <t>P</t>
    </r>
    <r>
      <rPr>
        <vertAlign val="subscript"/>
        <sz val="11"/>
        <color theme="1"/>
        <rFont val="Times New Roman"/>
        <family val="1"/>
      </rPr>
      <t>f</t>
    </r>
  </si>
  <si>
    <r>
      <t>H</t>
    </r>
    <r>
      <rPr>
        <vertAlign val="subscript"/>
        <sz val="11"/>
        <color theme="1"/>
        <rFont val="Times New Roman"/>
        <family val="1"/>
      </rPr>
      <t>Lf</t>
    </r>
  </si>
  <si>
    <r>
      <rPr>
        <sz val="11"/>
        <color theme="1"/>
        <rFont val="Calibri"/>
        <family val="2"/>
      </rPr>
      <t>Δ</t>
    </r>
    <r>
      <rPr>
        <sz val="11"/>
        <color theme="1"/>
        <rFont val="Times New Roman"/>
        <family val="1"/>
      </rPr>
      <t>P</t>
    </r>
    <r>
      <rPr>
        <vertAlign val="subscript"/>
        <sz val="11"/>
        <color theme="1"/>
        <rFont val="Times New Roman"/>
        <family val="1"/>
      </rPr>
      <t>e</t>
    </r>
  </si>
  <si>
    <r>
      <rPr>
        <sz val="11"/>
        <color theme="1"/>
        <rFont val="Calibri"/>
        <family val="2"/>
      </rPr>
      <t>Δ</t>
    </r>
    <r>
      <rPr>
        <sz val="11"/>
        <color theme="1"/>
        <rFont val="Times New Roman"/>
        <family val="1"/>
      </rPr>
      <t>P</t>
    </r>
    <r>
      <rPr>
        <vertAlign val="subscript"/>
        <sz val="11"/>
        <color theme="1"/>
        <rFont val="Times New Roman"/>
        <family val="1"/>
      </rPr>
      <t>t</t>
    </r>
  </si>
  <si>
    <r>
      <t>N</t>
    </r>
    <r>
      <rPr>
        <vertAlign val="subscript"/>
        <sz val="11"/>
        <color theme="1"/>
        <rFont val="Times New Roman"/>
        <family val="1"/>
      </rPr>
      <t>Lv</t>
    </r>
  </si>
  <si>
    <r>
      <t>N</t>
    </r>
    <r>
      <rPr>
        <vertAlign val="subscript"/>
        <sz val="11"/>
        <color theme="1"/>
        <rFont val="Times New Roman"/>
        <family val="1"/>
      </rPr>
      <t>gv</t>
    </r>
  </si>
  <si>
    <r>
      <t>N</t>
    </r>
    <r>
      <rPr>
        <vertAlign val="subscript"/>
        <sz val="11"/>
        <color theme="1"/>
        <rFont val="Times New Roman"/>
        <family val="1"/>
      </rPr>
      <t>d</t>
    </r>
  </si>
  <si>
    <r>
      <t>N</t>
    </r>
    <r>
      <rPr>
        <vertAlign val="subscript"/>
        <sz val="11"/>
        <color theme="1"/>
        <rFont val="Times New Roman"/>
        <family val="1"/>
      </rPr>
      <t>L</t>
    </r>
  </si>
  <si>
    <r>
      <t>N</t>
    </r>
    <r>
      <rPr>
        <vertAlign val="subscript"/>
        <sz val="11"/>
        <color theme="1"/>
        <rFont val="Times New Roman"/>
        <family val="1"/>
      </rPr>
      <t>E</t>
    </r>
  </si>
  <si>
    <r>
      <t>H</t>
    </r>
    <r>
      <rPr>
        <vertAlign val="subscript"/>
        <sz val="11"/>
        <color theme="1"/>
        <rFont val="Times New Roman"/>
        <family val="1"/>
      </rPr>
      <t>Le</t>
    </r>
  </si>
  <si>
    <r>
      <t>ft</t>
    </r>
    <r>
      <rPr>
        <vertAlign val="superscript"/>
        <sz val="11"/>
        <color theme="1"/>
        <rFont val="Times New Roman"/>
        <family val="1"/>
      </rPr>
      <t>3</t>
    </r>
  </si>
  <si>
    <r>
      <t>Assumed H</t>
    </r>
    <r>
      <rPr>
        <vertAlign val="subscript"/>
        <sz val="11"/>
        <color theme="1"/>
        <rFont val="Times New Roman"/>
        <family val="1"/>
      </rPr>
      <t>Ld</t>
    </r>
  </si>
  <si>
    <t>(from Fig 17-18)</t>
  </si>
  <si>
    <t>(from Fig 17-17)</t>
  </si>
  <si>
    <t>(from Fig 17-19)</t>
  </si>
  <si>
    <t>(from Fig 17-20)</t>
  </si>
  <si>
    <r>
      <t>Liquid inventory I</t>
    </r>
    <r>
      <rPr>
        <vertAlign val="subscript"/>
        <sz val="11"/>
        <color theme="1"/>
        <rFont val="Times New Roman"/>
        <family val="1"/>
      </rPr>
      <t>L</t>
    </r>
  </si>
  <si>
    <r>
      <t>Exit pressure P</t>
    </r>
    <r>
      <rPr>
        <vertAlign val="subscript"/>
        <sz val="11"/>
        <color theme="1"/>
        <rFont val="Times New Roman"/>
        <family val="1"/>
      </rPr>
      <t>2</t>
    </r>
  </si>
  <si>
    <r>
      <t>actual ft</t>
    </r>
    <r>
      <rPr>
        <vertAlign val="superscript"/>
        <sz val="11"/>
        <color theme="1"/>
        <rFont val="Times New Roman"/>
        <family val="1"/>
      </rPr>
      <t>3</t>
    </r>
    <r>
      <rPr>
        <sz val="11"/>
        <color theme="1"/>
        <rFont val="Times New Roman"/>
        <family val="1"/>
      </rPr>
      <t>/min</t>
    </r>
  </si>
  <si>
    <t>10/(250 + 10)=0.038</t>
  </si>
  <si>
    <t>46.75 + 4.97=51.71</t>
  </si>
  <si>
    <t>400-51.71=348</t>
  </si>
  <si>
    <t>Pipe Schedule Number</t>
  </si>
  <si>
    <r>
      <t>Max. ΔP</t>
    </r>
    <r>
      <rPr>
        <vertAlign val="subscript"/>
        <sz val="11"/>
        <color theme="1"/>
        <rFont val="Times New Roman"/>
        <family val="1"/>
      </rPr>
      <t>100</t>
    </r>
  </si>
  <si>
    <r>
      <rPr>
        <sz val="11"/>
        <color theme="1"/>
        <rFont val="Symbol"/>
        <family val="1"/>
        <charset val="2"/>
      </rPr>
      <t>D</t>
    </r>
    <r>
      <rPr>
        <sz val="11"/>
        <color theme="1"/>
        <rFont val="Times New Roman"/>
        <family val="1"/>
      </rPr>
      <t>Z</t>
    </r>
    <r>
      <rPr>
        <vertAlign val="subscript"/>
        <sz val="11"/>
        <color theme="1"/>
        <rFont val="Times New Roman"/>
        <family val="1"/>
      </rPr>
      <t>e</t>
    </r>
  </si>
  <si>
    <t>liquid velocity number, from Eq 17-54</t>
  </si>
  <si>
    <t>gas velocity number, from Eq 17-55</t>
  </si>
  <si>
    <t>pipe diameter number, from Eq 17-56</t>
  </si>
  <si>
    <t>liquid viscosity number, from Eq 17-57</t>
  </si>
  <si>
    <t>single phase friction factor for Dukler calculation, from Eq 17-45</t>
  </si>
  <si>
    <t>mixture Reynolds number for Dukler calculation, from Eq 17-46</t>
  </si>
  <si>
    <r>
      <t>ΔP</t>
    </r>
    <r>
      <rPr>
        <vertAlign val="subscript"/>
        <sz val="10"/>
        <rFont val="Times New Roman"/>
        <family val="1"/>
      </rPr>
      <t>wh</t>
    </r>
  </si>
  <si>
    <t>pressure increase due to water hammer, psi</t>
  </si>
  <si>
    <r>
      <t>liquid inventory in pipe, ft</t>
    </r>
    <r>
      <rPr>
        <vertAlign val="superscript"/>
        <sz val="10"/>
        <rFont val="Times New Roman"/>
        <family val="1"/>
      </rPr>
      <t>3</t>
    </r>
    <r>
      <rPr>
        <sz val="10"/>
        <rFont val="Times New Roman"/>
        <family val="1"/>
      </rPr>
      <t>, from Eq 17-58</t>
    </r>
  </si>
  <si>
    <t>superficial gas velocity, ft/sec, from Eq 17-37</t>
  </si>
  <si>
    <t>superficial liquid velocity, ft/sec, from Eq 17-36</t>
  </si>
  <si>
    <t>mixture velocity, ft/sec, from Eq 17-47</t>
  </si>
  <si>
    <r>
      <t>V</t>
    </r>
    <r>
      <rPr>
        <vertAlign val="subscript"/>
        <sz val="10"/>
        <rFont val="Times New Roman"/>
        <family val="1"/>
      </rPr>
      <t>a</t>
    </r>
  </si>
  <si>
    <t>acoustic velocity of fluid, ft/sec</t>
  </si>
  <si>
    <t>Example 17-1 -- Calculate the pressure drop in a 10-in., Schedule 40 pipe for a flow of 150,000 lb/hr of methane (MW=16.043).  Temperature is 60 °F and pressure is 750 psia.  The compressibility factor is 0.905 (from Fig 23-5).</t>
  </si>
  <si>
    <t>(16.043*750)/(10.73*520*0.905)=2.38</t>
  </si>
  <si>
    <t>(using Fig. 17-8)</t>
  </si>
  <si>
    <t>(using Fig. 17-9)</t>
  </si>
  <si>
    <t>(22.5*0.0447)/2.38=0.422</t>
  </si>
  <si>
    <r>
      <t xml:space="preserve">Example 17-2 -- Calculate the required line size (of Schedule 40 pipe) to give </t>
    </r>
    <r>
      <rPr>
        <b/>
        <sz val="11"/>
        <color theme="1"/>
        <rFont val="Calibri"/>
        <family val="2"/>
      </rPr>
      <t>Δ</t>
    </r>
    <r>
      <rPr>
        <b/>
        <sz val="11"/>
        <color theme="1"/>
        <rFont val="Times New Roman"/>
        <family val="1"/>
      </rPr>
      <t>P</t>
    </r>
    <r>
      <rPr>
        <b/>
        <vertAlign val="subscript"/>
        <sz val="11"/>
        <color theme="1"/>
        <rFont val="Times New Roman"/>
        <family val="1"/>
      </rPr>
      <t>100</t>
    </r>
    <r>
      <rPr>
        <b/>
        <sz val="11"/>
        <color theme="1"/>
        <rFont val="Times New Roman"/>
        <family val="1"/>
      </rPr>
      <t xml:space="preserve"> = 1 psi or less when flowing 75,000 lb/hr of methane (MW=16.043) at 400 psia and 100 </t>
    </r>
    <r>
      <rPr>
        <b/>
        <sz val="11"/>
        <color theme="1"/>
        <rFont val="Calibri"/>
        <family val="2"/>
      </rPr>
      <t>°</t>
    </r>
    <r>
      <rPr>
        <b/>
        <sz val="11"/>
        <color theme="1"/>
        <rFont val="Times New Roman"/>
        <family val="1"/>
      </rPr>
      <t>F.  The compressibility factor is 0.96 (from Fig 23-5).</t>
    </r>
  </si>
  <si>
    <t>(5.6*0.146)/1.11=0.73</t>
  </si>
  <si>
    <t>(1*1.11)/5.6=0.20</t>
  </si>
  <si>
    <t>(16.043*400)/(10.73*560*0.96)=1.11</t>
  </si>
  <si>
    <r>
      <t>Example 17-3 -- A vapor-liquid mixture is flowing vertically upward in a pipe having an inside diameter of 8.0 inches.  The fluid is a hydrocarbon liquid-hydrocarbon vapor mixture.  The liquid density is 52 lb/ft</t>
    </r>
    <r>
      <rPr>
        <b/>
        <vertAlign val="superscript"/>
        <sz val="11"/>
        <rFont val="Times New Roman"/>
        <family val="1"/>
      </rPr>
      <t>3</t>
    </r>
    <r>
      <rPr>
        <b/>
        <sz val="11"/>
        <rFont val="Times New Roman"/>
        <family val="1"/>
      </rPr>
      <t xml:space="preserve"> and the vapor density is 2.0 lb/ft</t>
    </r>
    <r>
      <rPr>
        <b/>
        <vertAlign val="superscript"/>
        <sz val="11"/>
        <rFont val="Times New Roman"/>
        <family val="1"/>
      </rPr>
      <t>3</t>
    </r>
    <r>
      <rPr>
        <b/>
        <sz val="11"/>
        <rFont val="Times New Roman"/>
        <family val="1"/>
      </rPr>
      <t>.  The interfacial surface tension is 20 dynes/cm.  The liquid volumetric flow rate is 0.17 ft</t>
    </r>
    <r>
      <rPr>
        <b/>
        <vertAlign val="superscript"/>
        <sz val="11"/>
        <rFont val="Times New Roman"/>
        <family val="1"/>
      </rPr>
      <t>3</t>
    </r>
    <r>
      <rPr>
        <b/>
        <sz val="11"/>
        <rFont val="Times New Roman"/>
        <family val="1"/>
      </rPr>
      <t>/sec and the vapor flow rate is 0.5 ft</t>
    </r>
    <r>
      <rPr>
        <b/>
        <vertAlign val="superscript"/>
        <sz val="11"/>
        <rFont val="Times New Roman"/>
        <family val="1"/>
      </rPr>
      <t>3</t>
    </r>
    <r>
      <rPr>
        <b/>
        <sz val="11"/>
        <rFont val="Times New Roman"/>
        <family val="1"/>
      </rPr>
      <t>/sec measured at actual conditions.  What flow regime is to be expected?</t>
    </r>
  </si>
  <si>
    <t>Solution:</t>
  </si>
  <si>
    <t>[(52*72.4)/(62.4*20)]0.25=1.32</t>
  </si>
  <si>
    <t>(π*(0.667)2)/4=0.35</t>
  </si>
  <si>
    <t>1.43*3.91=5.60</t>
  </si>
  <si>
    <t>0.49*1.32=0.64</t>
  </si>
  <si>
    <t>(20*0.038) + (0.015*(1-0.038))=0.784</t>
  </si>
  <si>
    <t>(124*3.365*22.07*6)/0.784=70514</t>
  </si>
  <si>
    <t>(124*2.044*22.07*6)/0.784=42824</t>
  </si>
  <si>
    <t>(124*1.939*22.07*6)/0.784=40635</t>
  </si>
  <si>
    <t>0.0056 + 0.5*(40635)-0.32=0.022</t>
  </si>
  <si>
    <t>[(55*0.13)/144]*100=4.97</t>
  </si>
  <si>
    <t>1.938*0.849*(55/15)0.25=2.28</t>
  </si>
  <si>
    <t>1.938*21.22*(55/15)0.25=56.91</t>
  </si>
  <si>
    <t>10.073*6*(55/15)0.5=116</t>
  </si>
  <si>
    <t>0.15726*20*(1/(55*153))0.25=0.152</t>
  </si>
  <si>
    <t>[1.84*(2.276)0.575*(400/14.73)0.05*(0.152)0.1]/[56.91*(115.73)0.0277]=0.044</t>
  </si>
  <si>
    <t>28.80*0.14*62*0.75=109</t>
  </si>
  <si>
    <r>
      <t>Example 17-4 -- A pipeline segment with a 6-inch inside diameter, 0.75 miles long, transports a mixture of gas and oil.  The pipeline has a gradual upward slope and rises 100 feet over the 0.75 mile length.  The inlet pressure of the pipeline is 400 psia, liquid viscosity is 20 cp, the vapor viscosity is 0.015 cp, and the interfacial surface tension is 15 dynes/cm.  The liquid flow rate is 10 ft</t>
    </r>
    <r>
      <rPr>
        <b/>
        <vertAlign val="superscript"/>
        <sz val="11"/>
        <color theme="1"/>
        <rFont val="Times New Roman"/>
        <family val="1"/>
      </rPr>
      <t>3</t>
    </r>
    <r>
      <rPr>
        <b/>
        <sz val="11"/>
        <color theme="1"/>
        <rFont val="Times New Roman"/>
        <family val="1"/>
      </rPr>
      <t>/min and the vapor flow rate is 250 actual ft</t>
    </r>
    <r>
      <rPr>
        <b/>
        <vertAlign val="superscript"/>
        <sz val="11"/>
        <color theme="1"/>
        <rFont val="Times New Roman"/>
        <family val="1"/>
      </rPr>
      <t>3</t>
    </r>
    <r>
      <rPr>
        <b/>
        <sz val="11"/>
        <color theme="1"/>
        <rFont val="Times New Roman"/>
        <family val="1"/>
      </rPr>
      <t>/min.  The density of the liquid phase is 55 lb/ft</t>
    </r>
    <r>
      <rPr>
        <b/>
        <vertAlign val="superscript"/>
        <sz val="11"/>
        <color theme="1"/>
        <rFont val="Times New Roman"/>
        <family val="1"/>
      </rPr>
      <t>3</t>
    </r>
    <r>
      <rPr>
        <b/>
        <sz val="11"/>
        <color theme="1"/>
        <rFont val="Times New Roman"/>
        <family val="1"/>
      </rPr>
      <t>, and the density of the gas phase is 1.3 lb/ft</t>
    </r>
    <r>
      <rPr>
        <b/>
        <vertAlign val="superscript"/>
        <sz val="11"/>
        <color theme="1"/>
        <rFont val="Times New Roman"/>
        <family val="1"/>
      </rPr>
      <t>3</t>
    </r>
    <r>
      <rPr>
        <b/>
        <sz val="11"/>
        <color theme="1"/>
        <rFont val="Times New Roman"/>
        <family val="1"/>
      </rPr>
      <t xml:space="preserve"> at operating conditions.  What is the pressure at the downstream end of the line segment, and what is the liquid inventory of the line?</t>
    </r>
  </si>
  <si>
    <t>(from Eq.17-44)</t>
  </si>
  <si>
    <r>
      <t>[(55*0.0382)/0.038] + [(1.3*(1-0.038)</t>
    </r>
    <r>
      <rPr>
        <vertAlign val="superscript"/>
        <sz val="11"/>
        <color theme="1"/>
        <rFont val="Times New Roman"/>
        <family val="1"/>
      </rPr>
      <t>2</t>
    </r>
    <r>
      <rPr>
        <sz val="11"/>
        <color theme="1"/>
        <rFont val="Times New Roman"/>
        <family val="1"/>
      </rPr>
      <t>)/(1-0.038)]=3.37</t>
    </r>
  </si>
  <si>
    <r>
      <t>(π*(6/12)</t>
    </r>
    <r>
      <rPr>
        <vertAlign val="superscript"/>
        <sz val="11"/>
        <color theme="1"/>
        <rFont val="Times New Roman"/>
        <family val="1"/>
      </rPr>
      <t>2</t>
    </r>
    <r>
      <rPr>
        <sz val="11"/>
        <color theme="1"/>
        <rFont val="Times New Roman"/>
        <family val="1"/>
      </rPr>
      <t>)/4=0.196</t>
    </r>
  </si>
  <si>
    <t>0.1667/0.196=0.85</t>
  </si>
  <si>
    <t>4.1667/0.196=21.22</t>
  </si>
  <si>
    <t>0.849 + 21.22=22.07</t>
  </si>
  <si>
    <r>
      <t>[(55*0.0382)/0.12] + [(1.3*(1-0.038)</t>
    </r>
    <r>
      <rPr>
        <vertAlign val="superscript"/>
        <sz val="11"/>
        <color theme="1"/>
        <rFont val="Times New Roman"/>
        <family val="1"/>
      </rPr>
      <t>2</t>
    </r>
    <r>
      <rPr>
        <sz val="11"/>
        <color theme="1"/>
        <rFont val="Times New Roman"/>
        <family val="1"/>
      </rPr>
      <t>)/(1-0.12)]=2.04</t>
    </r>
  </si>
  <si>
    <r>
      <t>[(55*0.0382)/0.16] + [(1.3*(1-0.038)</t>
    </r>
    <r>
      <rPr>
        <vertAlign val="superscript"/>
        <sz val="11"/>
        <color theme="1"/>
        <rFont val="Times New Roman"/>
        <family val="1"/>
      </rPr>
      <t>2</t>
    </r>
    <r>
      <rPr>
        <sz val="11"/>
        <color theme="1"/>
        <rFont val="Times New Roman"/>
        <family val="1"/>
      </rPr>
      <t>)/(1-0.16)]=1.94</t>
    </r>
  </si>
  <si>
    <r>
      <t>Final H</t>
    </r>
    <r>
      <rPr>
        <vertAlign val="subscript"/>
        <sz val="11"/>
        <color theme="1"/>
        <rFont val="Times New Roman"/>
        <family val="1"/>
      </rPr>
      <t>Ld</t>
    </r>
  </si>
  <si>
    <r>
      <t>Trial H</t>
    </r>
    <r>
      <rPr>
        <vertAlign val="subscript"/>
        <sz val="11"/>
        <color theme="1"/>
        <rFont val="Times New Roman"/>
        <family val="1"/>
      </rPr>
      <t>Ld</t>
    </r>
  </si>
  <si>
    <t>(from Eq.17-42)</t>
  </si>
  <si>
    <r>
      <t>(0.0224*2.59*1.939*(22.07)</t>
    </r>
    <r>
      <rPr>
        <vertAlign val="superscript"/>
        <sz val="11"/>
        <color theme="1"/>
        <rFont val="Times New Roman"/>
        <family val="1"/>
      </rPr>
      <t>2</t>
    </r>
    <r>
      <rPr>
        <sz val="11"/>
        <color theme="1"/>
        <rFont val="Times New Roman"/>
        <family val="1"/>
      </rPr>
      <t>*0.75)/(0.14623*6)=46.7</t>
    </r>
  </si>
  <si>
    <t>(from Eq.17-54)</t>
  </si>
  <si>
    <t>(from Eq.17-55)</t>
  </si>
  <si>
    <t>(from Eq.17-56)</t>
  </si>
  <si>
    <t>(from Eq.17-57)</t>
  </si>
  <si>
    <t>(from Eq.17-53)</t>
  </si>
  <si>
    <t>(from Eq.17-58)</t>
  </si>
  <si>
    <t>(from Eq.17-45)</t>
  </si>
  <si>
    <t>(from Eq.17-46)</t>
  </si>
  <si>
    <t>(from Eq.17-50)</t>
  </si>
  <si>
    <t>(from Eq.17-52)</t>
  </si>
  <si>
    <t>(from Eq.17-43)</t>
  </si>
  <si>
    <t>(from Eq.17-48)</t>
  </si>
  <si>
    <t>(from Eq.17-36)</t>
  </si>
  <si>
    <t>(from Eq.17-37)</t>
  </si>
  <si>
    <t>(from Eq.17-47)</t>
  </si>
  <si>
    <t>GPSA Engineering Data Book 14th Edition</t>
  </si>
  <si>
    <t>REVISION</t>
  </si>
  <si>
    <t>DATE</t>
  </si>
  <si>
    <t>REASON(S) FOR REVISION</t>
  </si>
  <si>
    <t xml:space="preserve">Initial release </t>
  </si>
  <si>
    <t>FIG. 17-1</t>
  </si>
  <si>
    <t>The sample calculations, equations and spreadsheets presented herein were developed using examples published in the Engineering Data Book as published by the Gas Processors Suppliers Association as a service to the gas processing industry.  All information and calculation formulae has been compiled and edited in cooperation with Gas Processors Association (GPA).</t>
  </si>
  <si>
    <t>While every effort has been made to present accurate and reliable technical information and calculation spreadsheets based on the GPSA Engineering Data Book sample calculations, the use of such information is voluntary and the GPA and GPSA do not guarantee the accuracy, completeness, efficacy, or timeliness of such information.  Reference herein to any specific commercial product, calculation method, process, or service by trade-name, trademark, and service mark manufacturer or otherwise does not constitute or imply endorsement, recommendation or favoring by the GPA and/or GPSA.</t>
  </si>
  <si>
    <t>The Calculation Spreadsheets are provided without warranty of any kind including warranties of accuracy or reasonableness of factual or scientific assumptions, studies or conclusions, or merchantability, fitness for a particular purpose, or non-infringement of intellectual property.</t>
  </si>
  <si>
    <t>In no event will the GPA or GPSA and their members be liable for any damages whatsoever (including without limitation, those resulting from lost profits, lost data or business interruption) arising from the use, inability to, reference to or reliance on the information in this Publication, whether based on warranty, contract, tort or any other legal theory and whether or not advised of the possibility of such damages.</t>
  </si>
  <si>
    <t>These calculation spreadsheets are provided to provide an “Operational level” of accuracy calculation based on rather broad assumptions (including but not limited to: temperatures, pressures, compositions, imperial curves, site conditions etc) and do not replace detailed and accurate Design Engineering taking into account actual process conditions, fluid properties, equipment condition or fowling and actual control set-point dead-band limitations.</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</si>
</sst>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0.000"/>
    <numFmt numFmtId="165" formatCode="0.0"/>
    <numFmt numFmtId="166" formatCode="#,##0.000"/>
    <numFmt numFmtId="167" formatCode="#,##0.0"/>
    <numFmt numFmtId="168" formatCode="#,##0.00\ ;&quot; (&quot;#,##0.00\);&quot; -&quot;#\ ;@\ "/>
  </numFmts>
  <fonts count="37">
    <font>
      <sz val="11"/>
      <color theme="1"/>
      <name val="Calibri"/>
      <family val="2"/>
      <scheme val="minor"/>
    </font>
    <font>
      <sz val="11"/>
      <color theme="1"/>
      <name val="Arial Narrow"/>
      <family val="2"/>
    </font>
    <font>
      <sz val="10"/>
      <name val="Times New Roman"/>
      <family val="1"/>
    </font>
    <font>
      <b/>
      <sz val="10"/>
      <name val="Times New Roman"/>
      <family val="1"/>
    </font>
    <font>
      <vertAlign val="subscript"/>
      <sz val="10"/>
      <name val="Times New Roman"/>
      <family val="1"/>
    </font>
    <font>
      <vertAlign val="superscript"/>
      <sz val="10"/>
      <name val="Times New Roman"/>
      <family val="1"/>
    </font>
    <font>
      <b/>
      <sz val="11"/>
      <name val="Times New Roman"/>
      <family val="1"/>
    </font>
    <font>
      <sz val="11"/>
      <name val="Times New Roman"/>
      <family val="1"/>
    </font>
    <font>
      <sz val="11"/>
      <color indexed="18"/>
      <name val="Times New Roman"/>
      <family val="1"/>
    </font>
    <font>
      <b/>
      <u/>
      <sz val="11"/>
      <color indexed="16"/>
      <name val="Times New Roman"/>
      <family val="1"/>
    </font>
    <font>
      <sz val="11"/>
      <color indexed="16"/>
      <name val="Times New Roman"/>
      <family val="1"/>
    </font>
    <font>
      <sz val="10"/>
      <color indexed="18"/>
      <name val="Arial"/>
      <family val="2"/>
    </font>
    <font>
      <b/>
      <sz val="11"/>
      <color indexed="18"/>
      <name val="Times New Roman"/>
      <family val="1"/>
    </font>
    <font>
      <sz val="11"/>
      <color indexed="17"/>
      <name val="Times New Roman"/>
      <family val="1"/>
    </font>
    <font>
      <sz val="10"/>
      <color indexed="17"/>
      <name val="Arial"/>
      <family val="2"/>
    </font>
    <font>
      <b/>
      <sz val="11"/>
      <color indexed="17"/>
      <name val="Times New Roman"/>
      <family val="1"/>
    </font>
    <font>
      <vertAlign val="subscript"/>
      <sz val="11"/>
      <name val="Times New Roman"/>
      <family val="1"/>
    </font>
    <font>
      <vertAlign val="superscript"/>
      <sz val="11"/>
      <name val="Times New Roman"/>
      <family val="1"/>
    </font>
    <font>
      <sz val="10"/>
      <color indexed="18"/>
      <name val="Times New Roman"/>
      <family val="1"/>
    </font>
    <font>
      <sz val="10"/>
      <color indexed="17"/>
      <name val="Times New Roman"/>
      <family val="1"/>
    </font>
    <font>
      <u/>
      <sz val="11"/>
      <name val="Times New Roman"/>
      <family val="1"/>
    </font>
    <font>
      <sz val="11"/>
      <color theme="1"/>
      <name val="Times New Roman"/>
      <family val="1"/>
    </font>
    <font>
      <sz val="11"/>
      <color rgb="FFC00000"/>
      <name val="Times New Roman"/>
      <family val="1"/>
    </font>
    <font>
      <sz val="11"/>
      <color theme="1"/>
      <name val="Calibri"/>
      <family val="2"/>
    </font>
    <font>
      <vertAlign val="superscript"/>
      <sz val="11"/>
      <color theme="1"/>
      <name val="Times New Roman"/>
      <family val="1"/>
    </font>
    <font>
      <vertAlign val="subscript"/>
      <sz val="11"/>
      <color theme="1"/>
      <name val="Times New Roman"/>
      <family val="1"/>
    </font>
    <font>
      <b/>
      <sz val="11"/>
      <color theme="1"/>
      <name val="Times New Roman"/>
      <family val="1"/>
    </font>
    <font>
      <u/>
      <sz val="11"/>
      <color theme="1"/>
      <name val="Times New Roman"/>
      <family val="1"/>
    </font>
    <font>
      <sz val="11"/>
      <color theme="1"/>
      <name val="Times New Roman"/>
      <family val="2"/>
    </font>
    <font>
      <sz val="11"/>
      <color theme="1"/>
      <name val="Symbol"/>
      <family val="1"/>
      <charset val="2"/>
    </font>
    <font>
      <sz val="11"/>
      <color theme="1"/>
      <name val="Times New Roman"/>
      <family val="1"/>
      <charset val="2"/>
    </font>
    <font>
      <b/>
      <sz val="11"/>
      <color theme="1"/>
      <name val="Calibri"/>
      <family val="2"/>
    </font>
    <font>
      <b/>
      <vertAlign val="subscript"/>
      <sz val="11"/>
      <color theme="1"/>
      <name val="Times New Roman"/>
      <family val="1"/>
    </font>
    <font>
      <b/>
      <vertAlign val="superscript"/>
      <sz val="11"/>
      <name val="Times New Roman"/>
      <family val="1"/>
    </font>
    <font>
      <b/>
      <vertAlign val="superscript"/>
      <sz val="11"/>
      <color theme="1"/>
      <name val="Times New Roman"/>
      <family val="1"/>
    </font>
    <font>
      <sz val="10"/>
      <name val="Arial"/>
      <family val="2"/>
    </font>
    <font>
      <sz val="11"/>
      <color indexed="8"/>
      <name val="Calibri"/>
      <family val="2"/>
    </font>
  </fonts>
  <fills count="6">
    <fill>
      <patternFill patternType="none"/>
    </fill>
    <fill>
      <patternFill patternType="gray125"/>
    </fill>
    <fill>
      <patternFill patternType="solid">
        <fgColor theme="9" tint="0.59999389629810485"/>
        <bgColor indexed="64"/>
      </patternFill>
    </fill>
    <fill>
      <patternFill patternType="solid">
        <fgColor theme="6" tint="0.59999389629810485"/>
        <bgColor indexed="64"/>
      </patternFill>
    </fill>
    <fill>
      <patternFill patternType="solid">
        <fgColor theme="9" tint="0.39997558519241921"/>
        <bgColor indexed="64"/>
      </patternFill>
    </fill>
    <fill>
      <patternFill patternType="solid">
        <fgColor theme="0" tint="-0.14999847407452621"/>
        <bgColor indexed="64"/>
      </patternFill>
    </fill>
  </fills>
  <borders count="3">
    <border>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35" fillId="0" borderId="0"/>
    <xf numFmtId="168" fontId="36" fillId="0" borderId="0"/>
    <xf numFmtId="0" fontId="36" fillId="0" borderId="0"/>
  </cellStyleXfs>
  <cellXfs count="162">
    <xf numFmtId="0" fontId="0" fillId="0" borderId="0" xfId="0"/>
    <xf numFmtId="0" fontId="7" fillId="3" borderId="0" xfId="0" applyFont="1" applyFill="1" applyBorder="1" applyProtection="1"/>
    <xf numFmtId="0" fontId="20" fillId="3" borderId="0" xfId="0" applyFont="1" applyFill="1" applyBorder="1" applyProtection="1"/>
    <xf numFmtId="0" fontId="7" fillId="3" borderId="0" xfId="0" applyFont="1" applyFill="1" applyBorder="1" applyAlignment="1" applyProtection="1">
      <alignment horizontal="right"/>
    </xf>
    <xf numFmtId="0" fontId="8" fillId="3" borderId="0" xfId="0" applyFont="1" applyFill="1" applyBorder="1" applyProtection="1"/>
    <xf numFmtId="3" fontId="8" fillId="3" borderId="0" xfId="0" applyNumberFormat="1" applyFont="1" applyFill="1" applyBorder="1" applyAlignment="1" applyProtection="1"/>
    <xf numFmtId="165" fontId="12" fillId="3" borderId="0" xfId="0" applyNumberFormat="1" applyFont="1" applyFill="1" applyBorder="1" applyAlignment="1" applyProtection="1">
      <alignment horizontal="center"/>
    </xf>
    <xf numFmtId="0" fontId="7" fillId="3" borderId="0" xfId="0" applyFont="1" applyFill="1" applyBorder="1" applyAlignment="1" applyProtection="1">
      <alignment horizontal="left"/>
    </xf>
    <xf numFmtId="3" fontId="7" fillId="3" borderId="0" xfId="0" applyNumberFormat="1" applyFont="1" applyFill="1" applyBorder="1" applyAlignment="1" applyProtection="1">
      <alignment horizontal="center"/>
    </xf>
    <xf numFmtId="0" fontId="7" fillId="3" borderId="0" xfId="0" applyFont="1" applyFill="1" applyBorder="1" applyAlignment="1" applyProtection="1">
      <alignment horizontal="center"/>
    </xf>
    <xf numFmtId="3" fontId="7" fillId="3" borderId="0" xfId="0" applyNumberFormat="1" applyFont="1" applyFill="1" applyBorder="1" applyAlignment="1" applyProtection="1"/>
    <xf numFmtId="0" fontId="2" fillId="3" borderId="0" xfId="0" applyFont="1" applyFill="1" applyBorder="1" applyAlignment="1" applyProtection="1"/>
    <xf numFmtId="0" fontId="7" fillId="4" borderId="0" xfId="0" applyFont="1" applyFill="1" applyBorder="1" applyAlignment="1" applyProtection="1">
      <alignment horizontal="center"/>
      <protection locked="0"/>
    </xf>
    <xf numFmtId="3" fontId="7" fillId="4" borderId="0" xfId="0" applyNumberFormat="1" applyFont="1" applyFill="1" applyBorder="1" applyAlignment="1" applyProtection="1">
      <alignment horizontal="center"/>
      <protection locked="0"/>
    </xf>
    <xf numFmtId="0" fontId="23" fillId="3" borderId="0" xfId="0" applyFont="1" applyFill="1" applyBorder="1" applyAlignment="1" applyProtection="1">
      <alignment horizontal="right"/>
    </xf>
    <xf numFmtId="0" fontId="21" fillId="3" borderId="0" xfId="0" applyFont="1" applyFill="1" applyBorder="1" applyAlignment="1" applyProtection="1">
      <alignment horizontal="center"/>
    </xf>
    <xf numFmtId="2" fontId="21" fillId="3" borderId="0" xfId="0" applyNumberFormat="1" applyFont="1" applyFill="1" applyBorder="1" applyAlignment="1" applyProtection="1">
      <alignment horizontal="center"/>
    </xf>
    <xf numFmtId="0" fontId="21" fillId="0" borderId="0" xfId="0" applyFont="1" applyProtection="1"/>
    <xf numFmtId="0" fontId="21" fillId="3" borderId="0" xfId="0" applyFont="1" applyFill="1" applyBorder="1" applyProtection="1"/>
    <xf numFmtId="0" fontId="21" fillId="3" borderId="0" xfId="0" applyFont="1" applyFill="1" applyBorder="1" applyAlignment="1" applyProtection="1">
      <alignment horizontal="right"/>
    </xf>
    <xf numFmtId="0" fontId="21" fillId="3" borderId="0" xfId="0" applyFont="1" applyFill="1" applyBorder="1" applyAlignment="1" applyProtection="1">
      <alignment horizontal="left"/>
    </xf>
    <xf numFmtId="164" fontId="26" fillId="3" borderId="0" xfId="0" applyNumberFormat="1" applyFont="1" applyFill="1" applyBorder="1" applyAlignment="1" applyProtection="1">
      <alignment horizontal="center"/>
    </xf>
    <xf numFmtId="3" fontId="21" fillId="3" borderId="0" xfId="0" applyNumberFormat="1" applyFont="1" applyFill="1" applyBorder="1" applyAlignment="1" applyProtection="1">
      <alignment horizontal="center"/>
    </xf>
    <xf numFmtId="0" fontId="27" fillId="3" borderId="0" xfId="0" applyFont="1" applyFill="1" applyBorder="1" applyProtection="1"/>
    <xf numFmtId="0" fontId="21" fillId="4" borderId="0" xfId="0" applyFont="1" applyFill="1" applyBorder="1" applyAlignment="1" applyProtection="1">
      <alignment horizontal="center"/>
      <protection locked="0"/>
    </xf>
    <xf numFmtId="0" fontId="21" fillId="3" borderId="0" xfId="0" applyFont="1" applyFill="1" applyBorder="1" applyAlignment="1" applyProtection="1"/>
    <xf numFmtId="0" fontId="26" fillId="3" borderId="0" xfId="0" applyFont="1" applyFill="1" applyBorder="1" applyAlignment="1" applyProtection="1">
      <alignment horizontal="center"/>
    </xf>
    <xf numFmtId="164" fontId="21" fillId="3" borderId="0" xfId="0" applyNumberFormat="1" applyFont="1" applyFill="1" applyBorder="1" applyAlignment="1" applyProtection="1">
      <alignment horizontal="left"/>
    </xf>
    <xf numFmtId="0" fontId="21" fillId="3" borderId="0" xfId="0" applyFont="1" applyFill="1" applyBorder="1" applyAlignment="1" applyProtection="1">
      <alignment horizontal="center" vertical="center"/>
    </xf>
    <xf numFmtId="0" fontId="21" fillId="3" borderId="0" xfId="0" applyFont="1" applyFill="1" applyBorder="1" applyAlignment="1" applyProtection="1">
      <alignment horizontal="right" vertical="center"/>
    </xf>
    <xf numFmtId="0" fontId="21" fillId="3" borderId="0" xfId="0" applyFont="1" applyFill="1" applyBorder="1" applyAlignment="1" applyProtection="1">
      <alignment horizontal="right" wrapText="1"/>
    </xf>
    <xf numFmtId="3" fontId="21" fillId="4" borderId="0" xfId="0" applyNumberFormat="1" applyFont="1" applyFill="1" applyBorder="1" applyAlignment="1" applyProtection="1">
      <protection locked="0"/>
    </xf>
    <xf numFmtId="0" fontId="28" fillId="3" borderId="0" xfId="0" applyFont="1" applyFill="1" applyBorder="1" applyAlignment="1" applyProtection="1">
      <alignment horizontal="right"/>
    </xf>
    <xf numFmtId="3" fontId="21" fillId="4" borderId="0" xfId="0" applyNumberFormat="1" applyFont="1" applyFill="1" applyBorder="1" applyAlignment="1" applyProtection="1">
      <alignment horizontal="center"/>
      <protection locked="0"/>
    </xf>
    <xf numFmtId="165" fontId="21" fillId="3" borderId="0" xfId="0" applyNumberFormat="1" applyFont="1" applyFill="1" applyBorder="1" applyAlignment="1" applyProtection="1">
      <alignment horizontal="center"/>
    </xf>
    <xf numFmtId="2" fontId="21" fillId="4" borderId="0" xfId="0" applyNumberFormat="1" applyFont="1" applyFill="1" applyBorder="1" applyAlignment="1" applyProtection="1">
      <alignment horizontal="center"/>
      <protection locked="0"/>
    </xf>
    <xf numFmtId="164" fontId="21" fillId="4" borderId="0" xfId="0" applyNumberFormat="1" applyFont="1" applyFill="1" applyBorder="1" applyAlignment="1" applyProtection="1">
      <alignment horizontal="center"/>
      <protection locked="0"/>
    </xf>
    <xf numFmtId="0" fontId="2" fillId="0" borderId="0" xfId="0" applyFont="1" applyProtection="1"/>
    <xf numFmtId="0" fontId="2" fillId="0" borderId="0" xfId="0" applyFont="1" applyAlignment="1" applyProtection="1">
      <alignment horizontal="center" vertical="top"/>
    </xf>
    <xf numFmtId="0" fontId="2" fillId="0" borderId="0" xfId="0" applyFont="1" applyFill="1" applyAlignment="1" applyProtection="1">
      <alignment vertical="top" wrapText="1"/>
    </xf>
    <xf numFmtId="0" fontId="2" fillId="0" borderId="0" xfId="0" applyFont="1" applyFill="1" applyProtection="1"/>
    <xf numFmtId="0" fontId="2" fillId="0" borderId="0" xfId="0" applyFont="1" applyFill="1" applyAlignment="1" applyProtection="1">
      <alignment horizontal="center" vertical="top"/>
    </xf>
    <xf numFmtId="0" fontId="2" fillId="0" borderId="0" xfId="0" applyFont="1" applyFill="1" applyAlignment="1" applyProtection="1">
      <alignment vertical="top"/>
    </xf>
    <xf numFmtId="0" fontId="3" fillId="0" borderId="0" xfId="0" applyFont="1" applyFill="1" applyAlignment="1" applyProtection="1">
      <alignment vertical="top"/>
    </xf>
    <xf numFmtId="0" fontId="21" fillId="0" borderId="0" xfId="0" applyFont="1" applyFill="1" applyAlignment="1" applyProtection="1">
      <alignment horizontal="center" vertical="top"/>
    </xf>
    <xf numFmtId="0" fontId="21" fillId="0" borderId="0" xfId="0" applyFont="1" applyAlignment="1" applyProtection="1">
      <alignment horizontal="center" vertical="top"/>
    </xf>
    <xf numFmtId="165" fontId="21" fillId="4" borderId="0" xfId="0" applyNumberFormat="1" applyFont="1" applyFill="1" applyBorder="1" applyAlignment="1" applyProtection="1">
      <alignment horizontal="center"/>
      <protection locked="0"/>
    </xf>
    <xf numFmtId="0" fontId="6" fillId="3" borderId="0" xfId="0" applyFont="1" applyFill="1" applyBorder="1" applyAlignment="1" applyProtection="1">
      <alignment horizontal="center"/>
    </xf>
    <xf numFmtId="0" fontId="30" fillId="3" borderId="0" xfId="0" applyFont="1" applyFill="1" applyBorder="1" applyAlignment="1" applyProtection="1">
      <alignment horizontal="right"/>
    </xf>
    <xf numFmtId="0" fontId="6" fillId="3" borderId="0" xfId="0" applyFont="1" applyFill="1" applyBorder="1" applyAlignment="1" applyProtection="1"/>
    <xf numFmtId="0" fontId="21" fillId="4" borderId="0" xfId="0" applyNumberFormat="1" applyFont="1" applyFill="1" applyBorder="1" applyAlignment="1" applyProtection="1">
      <alignment horizontal="center"/>
      <protection locked="0"/>
    </xf>
    <xf numFmtId="0" fontId="21" fillId="3" borderId="0" xfId="0" applyFont="1" applyFill="1" applyProtection="1"/>
    <xf numFmtId="167" fontId="21" fillId="3" borderId="0" xfId="0" applyNumberFormat="1" applyFont="1" applyFill="1" applyBorder="1" applyAlignment="1" applyProtection="1">
      <alignment horizontal="center"/>
    </xf>
    <xf numFmtId="167" fontId="21" fillId="4" borderId="0" xfId="0" applyNumberFormat="1" applyFont="1" applyFill="1" applyBorder="1" applyAlignment="1" applyProtection="1">
      <alignment horizontal="center"/>
      <protection locked="0"/>
    </xf>
    <xf numFmtId="0" fontId="8" fillId="3" borderId="0" xfId="0" applyFont="1" applyFill="1" applyBorder="1" applyAlignment="1" applyProtection="1">
      <alignment horizontal="center"/>
    </xf>
    <xf numFmtId="0" fontId="11" fillId="3" borderId="0" xfId="0" applyFont="1" applyFill="1" applyBorder="1" applyAlignment="1" applyProtection="1"/>
    <xf numFmtId="0" fontId="6" fillId="3" borderId="0" xfId="0" applyFont="1" applyFill="1" applyBorder="1" applyAlignment="1" applyProtection="1">
      <alignment horizontal="left" vertical="top" wrapText="1"/>
    </xf>
    <xf numFmtId="0" fontId="26" fillId="3" borderId="0" xfId="0" applyFont="1" applyFill="1" applyBorder="1" applyAlignment="1" applyProtection="1">
      <alignment horizontal="left" wrapText="1"/>
    </xf>
    <xf numFmtId="0" fontId="8" fillId="3" borderId="0" xfId="0" applyFont="1" applyFill="1" applyBorder="1" applyAlignment="1" applyProtection="1">
      <alignment horizontal="center"/>
    </xf>
    <xf numFmtId="0" fontId="11" fillId="3" borderId="0" xfId="0" applyFont="1" applyFill="1" applyBorder="1" applyAlignment="1" applyProtection="1"/>
    <xf numFmtId="164" fontId="21" fillId="3" borderId="0" xfId="0" applyNumberFormat="1" applyFont="1" applyFill="1" applyBorder="1" applyAlignment="1" applyProtection="1">
      <alignment horizontal="left" vertical="top" wrapText="1"/>
    </xf>
    <xf numFmtId="0" fontId="26" fillId="3" borderId="0" xfId="0" applyFont="1" applyFill="1" applyBorder="1" applyAlignment="1" applyProtection="1">
      <alignment horizontal="left" vertical="top" wrapText="1"/>
    </xf>
    <xf numFmtId="0" fontId="6" fillId="0" borderId="1" xfId="0" applyFont="1" applyBorder="1" applyAlignment="1" applyProtection="1">
      <alignment horizontal="center" vertical="top" wrapText="1"/>
    </xf>
    <xf numFmtId="0" fontId="21" fillId="0" borderId="1" xfId="0" applyFont="1" applyBorder="1" applyAlignment="1" applyProtection="1">
      <alignment horizontal="center"/>
    </xf>
    <xf numFmtId="0" fontId="6" fillId="0" borderId="0" xfId="0" applyFont="1" applyAlignment="1" applyProtection="1">
      <alignment horizontal="center" vertical="top"/>
    </xf>
    <xf numFmtId="0" fontId="7" fillId="0" borderId="0" xfId="0" applyFont="1" applyAlignment="1" applyProtection="1">
      <alignment horizontal="center"/>
      <protection locked="0"/>
    </xf>
    <xf numFmtId="0" fontId="7" fillId="0" borderId="0" xfId="0" applyFont="1" applyProtection="1">
      <protection locked="0"/>
    </xf>
    <xf numFmtId="0" fontId="35" fillId="0" borderId="0" xfId="1"/>
    <xf numFmtId="0" fontId="7" fillId="0" borderId="0" xfId="1" applyFont="1" applyProtection="1"/>
    <xf numFmtId="0" fontId="3" fillId="5" borderId="2" xfId="1" applyFont="1" applyFill="1" applyBorder="1" applyAlignment="1" applyProtection="1">
      <alignment horizontal="center"/>
    </xf>
    <xf numFmtId="0" fontId="3" fillId="5" borderId="2" xfId="1" applyFont="1" applyFill="1" applyBorder="1" applyAlignment="1" applyProtection="1">
      <alignment horizontal="left"/>
    </xf>
    <xf numFmtId="0" fontId="7" fillId="0" borderId="2" xfId="1" applyFont="1" applyBorder="1" applyAlignment="1" applyProtection="1">
      <alignment horizontal="center"/>
    </xf>
    <xf numFmtId="14" fontId="7" fillId="0" borderId="2" xfId="1" applyNumberFormat="1" applyFont="1" applyBorder="1" applyAlignment="1" applyProtection="1">
      <alignment horizontal="center"/>
    </xf>
    <xf numFmtId="0" fontId="7" fillId="0" borderId="2" xfId="1" applyFont="1" applyBorder="1" applyProtection="1"/>
    <xf numFmtId="0" fontId="2" fillId="0" borderId="2" xfId="1" applyFont="1" applyBorder="1" applyProtection="1"/>
    <xf numFmtId="0" fontId="7" fillId="0" borderId="0" xfId="1" applyFont="1" applyProtection="1">
      <protection locked="0"/>
    </xf>
    <xf numFmtId="0" fontId="22" fillId="0" borderId="0" xfId="1" applyFont="1" applyFill="1" applyProtection="1">
      <protection locked="0"/>
    </xf>
    <xf numFmtId="0" fontId="22" fillId="0" borderId="0" xfId="1" applyFont="1" applyProtection="1">
      <protection locked="0"/>
    </xf>
    <xf numFmtId="0" fontId="22" fillId="0" borderId="0" xfId="1" applyFont="1" applyFill="1" applyProtection="1"/>
    <xf numFmtId="0" fontId="22" fillId="0" borderId="0" xfId="1" applyFont="1" applyProtection="1"/>
    <xf numFmtId="0" fontId="6" fillId="2" borderId="0" xfId="0" applyFont="1" applyFill="1" applyBorder="1" applyAlignment="1" applyProtection="1">
      <alignment horizontal="left" vertical="top" wrapText="1"/>
      <protection locked="0"/>
    </xf>
    <xf numFmtId="0" fontId="6" fillId="2" borderId="0" xfId="0" applyFont="1" applyFill="1" applyBorder="1" applyAlignment="1" applyProtection="1">
      <alignment horizontal="center"/>
      <protection locked="0"/>
    </xf>
    <xf numFmtId="0" fontId="7" fillId="2" borderId="0" xfId="0" applyFont="1" applyFill="1" applyBorder="1" applyAlignment="1" applyProtection="1">
      <alignment horizontal="center"/>
      <protection locked="0"/>
    </xf>
    <xf numFmtId="0" fontId="20" fillId="2" borderId="0" xfId="0" applyFont="1" applyFill="1" applyBorder="1" applyProtection="1">
      <protection locked="0"/>
    </xf>
    <xf numFmtId="0" fontId="7" fillId="2" borderId="0" xfId="0" applyFont="1" applyFill="1" applyBorder="1" applyAlignment="1" applyProtection="1">
      <alignment horizontal="right"/>
      <protection locked="0"/>
    </xf>
    <xf numFmtId="0" fontId="7" fillId="2" borderId="0" xfId="0" applyFont="1" applyFill="1" applyBorder="1" applyProtection="1">
      <protection locked="0"/>
    </xf>
    <xf numFmtId="0" fontId="6" fillId="2" borderId="0" xfId="0" applyFont="1" applyFill="1" applyBorder="1" applyAlignment="1" applyProtection="1">
      <protection locked="0"/>
    </xf>
    <xf numFmtId="0" fontId="7" fillId="2" borderId="0" xfId="0" applyFont="1" applyFill="1" applyBorder="1" applyAlignment="1" applyProtection="1">
      <alignment horizontal="right" vertical="center"/>
      <protection locked="0"/>
    </xf>
    <xf numFmtId="0" fontId="7" fillId="2" borderId="0" xfId="0" applyFont="1" applyFill="1" applyBorder="1" applyAlignment="1" applyProtection="1">
      <alignment horizontal="center" vertical="center"/>
      <protection locked="0"/>
    </xf>
    <xf numFmtId="4" fontId="7" fillId="2" borderId="0" xfId="0" applyNumberFormat="1" applyFont="1" applyFill="1" applyBorder="1" applyAlignment="1" applyProtection="1">
      <alignment horizontal="center"/>
      <protection locked="0"/>
    </xf>
    <xf numFmtId="0" fontId="7" fillId="2" borderId="0" xfId="0" applyFont="1" applyFill="1" applyBorder="1" applyAlignment="1" applyProtection="1">
      <alignment horizontal="left"/>
      <protection locked="0"/>
    </xf>
    <xf numFmtId="2" fontId="7" fillId="2" borderId="0" xfId="0" applyNumberFormat="1" applyFont="1" applyFill="1" applyBorder="1" applyAlignment="1" applyProtection="1">
      <alignment horizontal="center"/>
      <protection locked="0"/>
    </xf>
    <xf numFmtId="0" fontId="2" fillId="2" borderId="0" xfId="0" applyFont="1" applyFill="1" applyBorder="1" applyAlignment="1" applyProtection="1">
      <protection locked="0"/>
    </xf>
    <xf numFmtId="0" fontId="7" fillId="2" borderId="0" xfId="0" applyFont="1" applyFill="1" applyProtection="1">
      <protection locked="0"/>
    </xf>
    <xf numFmtId="166" fontId="7" fillId="2" borderId="0" xfId="0" applyNumberFormat="1" applyFont="1" applyFill="1" applyBorder="1" applyAlignment="1" applyProtection="1">
      <alignment horizontal="center"/>
      <protection locked="0"/>
    </xf>
    <xf numFmtId="0" fontId="7" fillId="2" borderId="0" xfId="0" applyFont="1" applyFill="1" applyBorder="1" applyAlignment="1" applyProtection="1">
      <protection locked="0"/>
    </xf>
    <xf numFmtId="164" fontId="6" fillId="2" borderId="0" xfId="0" applyNumberFormat="1" applyFont="1" applyFill="1" applyBorder="1" applyAlignment="1" applyProtection="1">
      <alignment horizontal="center"/>
      <protection locked="0"/>
    </xf>
    <xf numFmtId="3" fontId="7" fillId="2" borderId="0" xfId="0" applyNumberFormat="1" applyFont="1" applyFill="1" applyBorder="1" applyAlignment="1" applyProtection="1">
      <protection locked="0"/>
    </xf>
    <xf numFmtId="165" fontId="6" fillId="2" borderId="0" xfId="0" applyNumberFormat="1" applyFont="1" applyFill="1" applyBorder="1" applyAlignment="1" applyProtection="1">
      <alignment horizontal="left"/>
      <protection locked="0"/>
    </xf>
    <xf numFmtId="0" fontId="8" fillId="0" borderId="0" xfId="0" applyFont="1" applyFill="1" applyBorder="1" applyProtection="1">
      <protection locked="0"/>
    </xf>
    <xf numFmtId="0" fontId="8" fillId="0" borderId="0" xfId="0" applyFont="1" applyFill="1" applyBorder="1" applyAlignment="1" applyProtection="1">
      <alignment horizontal="center"/>
      <protection locked="0"/>
    </xf>
    <xf numFmtId="0" fontId="8" fillId="0" borderId="0" xfId="0" applyFont="1" applyFill="1" applyBorder="1" applyAlignment="1" applyProtection="1">
      <alignment horizontal="center"/>
      <protection locked="0"/>
    </xf>
    <xf numFmtId="0" fontId="18" fillId="0" borderId="0" xfId="0" applyFont="1" applyFill="1" applyBorder="1" applyAlignment="1" applyProtection="1">
      <protection locked="0"/>
    </xf>
    <xf numFmtId="0" fontId="7" fillId="0" borderId="0" xfId="0" applyFont="1" applyFill="1" applyBorder="1" applyProtection="1">
      <protection locked="0"/>
    </xf>
    <xf numFmtId="0" fontId="7" fillId="0" borderId="0" xfId="0" applyFont="1" applyFill="1" applyBorder="1" applyAlignment="1" applyProtection="1">
      <alignment horizontal="center"/>
      <protection locked="0"/>
    </xf>
    <xf numFmtId="0" fontId="7" fillId="0" borderId="0" xfId="0" applyFont="1" applyFill="1" applyBorder="1" applyAlignment="1" applyProtection="1">
      <alignment horizontal="left"/>
      <protection locked="0"/>
    </xf>
    <xf numFmtId="0" fontId="9" fillId="0" borderId="0" xfId="0" applyFont="1" applyFill="1" applyBorder="1" applyProtection="1">
      <protection locked="0"/>
    </xf>
    <xf numFmtId="0" fontId="10" fillId="0" borderId="0" xfId="0" applyFont="1" applyFill="1" applyBorder="1" applyAlignment="1" applyProtection="1">
      <alignment horizontal="center"/>
      <protection locked="0"/>
    </xf>
    <xf numFmtId="0" fontId="10" fillId="0" borderId="0" xfId="0" applyFont="1" applyFill="1" applyBorder="1" applyProtection="1">
      <protection locked="0"/>
    </xf>
    <xf numFmtId="0" fontId="10" fillId="0" borderId="0" xfId="0" applyFont="1" applyFill="1" applyBorder="1" applyAlignment="1" applyProtection="1">
      <alignment horizontal="left"/>
      <protection locked="0"/>
    </xf>
    <xf numFmtId="164" fontId="10" fillId="0" borderId="0" xfId="0" applyNumberFormat="1" applyFont="1" applyFill="1" applyBorder="1" applyAlignment="1" applyProtection="1">
      <alignment horizontal="center"/>
      <protection locked="0"/>
    </xf>
    <xf numFmtId="164" fontId="7" fillId="0" borderId="0" xfId="0" applyNumberFormat="1" applyFont="1" applyFill="1" applyBorder="1" applyAlignment="1" applyProtection="1">
      <alignment horizontal="center"/>
      <protection locked="0"/>
    </xf>
    <xf numFmtId="0" fontId="13" fillId="0" borderId="0" xfId="0" applyFont="1" applyFill="1" applyBorder="1" applyProtection="1">
      <protection locked="0"/>
    </xf>
    <xf numFmtId="0" fontId="13" fillId="0" borderId="0" xfId="0" applyFont="1" applyFill="1" applyBorder="1" applyAlignment="1" applyProtection="1">
      <alignment horizontal="center"/>
      <protection locked="0"/>
    </xf>
    <xf numFmtId="3" fontId="13" fillId="0" borderId="0" xfId="0" applyNumberFormat="1" applyFont="1" applyFill="1" applyBorder="1" applyAlignment="1" applyProtection="1">
      <alignment horizontal="center"/>
      <protection locked="0"/>
    </xf>
    <xf numFmtId="0" fontId="19" fillId="0" borderId="0" xfId="0" applyFont="1" applyFill="1" applyBorder="1" applyAlignment="1" applyProtection="1">
      <protection locked="0"/>
    </xf>
    <xf numFmtId="164" fontId="15" fillId="0" borderId="0" xfId="0" applyNumberFormat="1" applyFont="1" applyFill="1" applyBorder="1" applyAlignment="1" applyProtection="1">
      <alignment horizontal="center"/>
      <protection locked="0"/>
    </xf>
    <xf numFmtId="0" fontId="13" fillId="0" borderId="0" xfId="0" applyFont="1" applyFill="1" applyBorder="1" applyAlignment="1" applyProtection="1">
      <alignment horizontal="center"/>
      <protection locked="0"/>
    </xf>
    <xf numFmtId="0" fontId="21" fillId="0" borderId="0" xfId="0" applyFont="1" applyProtection="1">
      <protection locked="0"/>
    </xf>
    <xf numFmtId="0" fontId="26" fillId="2" borderId="0" xfId="0" applyFont="1" applyFill="1" applyBorder="1" applyAlignment="1" applyProtection="1">
      <alignment horizontal="left" wrapText="1"/>
      <protection locked="0"/>
    </xf>
    <xf numFmtId="0" fontId="26" fillId="2" borderId="0" xfId="0" applyFont="1" applyFill="1" applyBorder="1" applyAlignment="1" applyProtection="1">
      <alignment horizontal="center"/>
      <protection locked="0"/>
    </xf>
    <xf numFmtId="0" fontId="21" fillId="2" borderId="0" xfId="0" applyFont="1" applyFill="1" applyBorder="1" applyAlignment="1" applyProtection="1">
      <alignment horizontal="center"/>
      <protection locked="0"/>
    </xf>
    <xf numFmtId="0" fontId="27" fillId="2" borderId="0" xfId="0" applyFont="1" applyFill="1" applyBorder="1" applyProtection="1">
      <protection locked="0"/>
    </xf>
    <xf numFmtId="0" fontId="21" fillId="2" borderId="0" xfId="0" applyFont="1" applyFill="1" applyBorder="1" applyAlignment="1" applyProtection="1">
      <alignment horizontal="right"/>
      <protection locked="0"/>
    </xf>
    <xf numFmtId="0" fontId="21" fillId="2" borderId="0" xfId="0" applyFont="1" applyFill="1" applyBorder="1" applyProtection="1">
      <protection locked="0"/>
    </xf>
    <xf numFmtId="0" fontId="28" fillId="2" borderId="0" xfId="0" applyFont="1" applyFill="1" applyBorder="1" applyAlignment="1" applyProtection="1">
      <alignment horizontal="right"/>
      <protection locked="0"/>
    </xf>
    <xf numFmtId="0" fontId="23" fillId="2" borderId="0" xfId="0" applyFont="1" applyFill="1" applyBorder="1" applyAlignment="1" applyProtection="1">
      <alignment horizontal="right"/>
      <protection locked="0"/>
    </xf>
    <xf numFmtId="2" fontId="21" fillId="2" borderId="0" xfId="0" applyNumberFormat="1" applyFont="1" applyFill="1" applyBorder="1" applyAlignment="1" applyProtection="1">
      <alignment horizontal="center"/>
      <protection locked="0"/>
    </xf>
    <xf numFmtId="0" fontId="21" fillId="2" borderId="0" xfId="0" applyFont="1" applyFill="1" applyBorder="1" applyAlignment="1" applyProtection="1">
      <alignment horizontal="left"/>
      <protection locked="0"/>
    </xf>
    <xf numFmtId="0" fontId="21" fillId="2" borderId="0" xfId="0" applyFont="1" applyFill="1" applyBorder="1" applyAlignment="1" applyProtection="1">
      <protection locked="0"/>
    </xf>
    <xf numFmtId="164" fontId="21" fillId="2" borderId="0" xfId="0" applyNumberFormat="1" applyFont="1" applyFill="1" applyBorder="1" applyAlignment="1" applyProtection="1">
      <alignment horizontal="left"/>
      <protection locked="0"/>
    </xf>
    <xf numFmtId="164" fontId="26" fillId="2" borderId="0" xfId="0" applyNumberFormat="1" applyFont="1" applyFill="1" applyBorder="1" applyAlignment="1" applyProtection="1">
      <alignment horizontal="center"/>
      <protection locked="0"/>
    </xf>
    <xf numFmtId="0" fontId="8" fillId="2" borderId="0" xfId="0" applyFont="1" applyFill="1" applyBorder="1" applyProtection="1">
      <protection locked="0"/>
    </xf>
    <xf numFmtId="0" fontId="8" fillId="2" borderId="0" xfId="0" applyFont="1" applyFill="1" applyBorder="1" applyAlignment="1" applyProtection="1">
      <alignment horizontal="center"/>
      <protection locked="0"/>
    </xf>
    <xf numFmtId="3" fontId="8" fillId="2" borderId="0" xfId="0" applyNumberFormat="1" applyFont="1" applyFill="1" applyBorder="1" applyAlignment="1" applyProtection="1">
      <protection locked="0"/>
    </xf>
    <xf numFmtId="0" fontId="11" fillId="2" borderId="0" xfId="0" applyFont="1" applyFill="1" applyBorder="1" applyAlignment="1" applyProtection="1">
      <protection locked="0"/>
    </xf>
    <xf numFmtId="165" fontId="12" fillId="2" borderId="0" xfId="0" applyNumberFormat="1" applyFont="1" applyFill="1" applyBorder="1" applyAlignment="1" applyProtection="1">
      <alignment horizontal="center"/>
      <protection locked="0"/>
    </xf>
    <xf numFmtId="0" fontId="11" fillId="0" borderId="0" xfId="0" applyFont="1" applyFill="1" applyBorder="1" applyAlignment="1" applyProtection="1">
      <protection locked="0"/>
    </xf>
    <xf numFmtId="0" fontId="14" fillId="0" borderId="0" xfId="0" applyFont="1" applyFill="1" applyBorder="1" applyAlignment="1" applyProtection="1">
      <protection locked="0"/>
    </xf>
    <xf numFmtId="0" fontId="21" fillId="2" borderId="0" xfId="0" applyFont="1" applyFill="1" applyBorder="1" applyAlignment="1" applyProtection="1">
      <alignment vertical="top" wrapText="1"/>
      <protection locked="0"/>
    </xf>
    <xf numFmtId="0" fontId="21" fillId="2" borderId="0" xfId="0" applyFont="1" applyFill="1" applyBorder="1" applyAlignment="1" applyProtection="1">
      <alignment wrapText="1"/>
      <protection locked="0"/>
    </xf>
    <xf numFmtId="0" fontId="21" fillId="2" borderId="0" xfId="0" applyFont="1" applyFill="1" applyBorder="1" applyAlignment="1" applyProtection="1">
      <alignment horizontal="right" wrapText="1"/>
      <protection locked="0"/>
    </xf>
    <xf numFmtId="3" fontId="21" fillId="2" borderId="0" xfId="0" applyNumberFormat="1" applyFont="1" applyFill="1" applyBorder="1" applyAlignment="1" applyProtection="1">
      <protection locked="0"/>
    </xf>
    <xf numFmtId="164" fontId="21" fillId="0" borderId="0" xfId="0" applyNumberFormat="1" applyFont="1" applyFill="1" applyBorder="1" applyAlignment="1" applyProtection="1">
      <alignment vertical="top" wrapText="1"/>
      <protection locked="0"/>
    </xf>
    <xf numFmtId="0" fontId="11" fillId="0" borderId="0" xfId="0" applyFont="1" applyFill="1" applyBorder="1" applyAlignment="1" applyProtection="1">
      <protection locked="0"/>
    </xf>
    <xf numFmtId="0" fontId="7" fillId="0" borderId="0" xfId="0" applyFont="1" applyAlignment="1" applyProtection="1">
      <alignment horizontal="right"/>
      <protection locked="0"/>
    </xf>
    <xf numFmtId="0" fontId="26" fillId="2" borderId="0" xfId="0" applyFont="1" applyFill="1" applyBorder="1" applyAlignment="1" applyProtection="1">
      <alignment horizontal="left" vertical="top" wrapText="1"/>
      <protection locked="0"/>
    </xf>
    <xf numFmtId="0" fontId="30" fillId="2" borderId="0" xfId="0" applyFont="1" applyFill="1" applyBorder="1" applyAlignment="1" applyProtection="1">
      <alignment horizontal="right"/>
      <protection locked="0"/>
    </xf>
    <xf numFmtId="164" fontId="21" fillId="2" borderId="0" xfId="0" applyNumberFormat="1" applyFont="1" applyFill="1" applyBorder="1" applyAlignment="1" applyProtection="1">
      <alignment horizontal="center"/>
      <protection locked="0"/>
    </xf>
    <xf numFmtId="3" fontId="21" fillId="2" borderId="0" xfId="0" applyNumberFormat="1" applyFont="1" applyFill="1" applyBorder="1" applyAlignment="1" applyProtection="1">
      <alignment horizontal="center"/>
      <protection locked="0"/>
    </xf>
    <xf numFmtId="0" fontId="21" fillId="2" borderId="0" xfId="0" applyFont="1" applyFill="1" applyProtection="1">
      <protection locked="0"/>
    </xf>
    <xf numFmtId="165" fontId="21" fillId="2" borderId="0" xfId="0" applyNumberFormat="1" applyFont="1" applyFill="1" applyBorder="1" applyAlignment="1" applyProtection="1">
      <alignment horizontal="center"/>
      <protection locked="0"/>
    </xf>
    <xf numFmtId="0" fontId="21" fillId="2" borderId="0" xfId="0" applyFont="1" applyFill="1" applyBorder="1" applyAlignment="1" applyProtection="1">
      <alignment horizontal="right" vertical="center"/>
      <protection locked="0"/>
    </xf>
    <xf numFmtId="0" fontId="21" fillId="2" borderId="0" xfId="0" applyFont="1" applyFill="1" applyBorder="1" applyAlignment="1" applyProtection="1">
      <alignment horizontal="center" vertical="center"/>
      <protection locked="0"/>
    </xf>
    <xf numFmtId="164" fontId="21" fillId="2" borderId="0" xfId="0" applyNumberFormat="1" applyFont="1" applyFill="1" applyBorder="1" applyAlignment="1" applyProtection="1">
      <alignment horizontal="center" vertical="center"/>
      <protection locked="0"/>
    </xf>
    <xf numFmtId="0" fontId="8" fillId="0" borderId="0" xfId="0" applyFont="1" applyFill="1" applyBorder="1" applyAlignment="1" applyProtection="1">
      <alignment horizontal="right"/>
      <protection locked="0"/>
    </xf>
    <xf numFmtId="0" fontId="18" fillId="0" borderId="0" xfId="0" applyFont="1" applyFill="1" applyBorder="1" applyAlignment="1" applyProtection="1">
      <protection locked="0"/>
    </xf>
    <xf numFmtId="0" fontId="7" fillId="0" borderId="0" xfId="0" applyFont="1" applyFill="1" applyBorder="1" applyAlignment="1" applyProtection="1">
      <alignment horizontal="right"/>
      <protection locked="0"/>
    </xf>
    <xf numFmtId="0" fontId="19" fillId="0" borderId="0" xfId="0" applyFont="1" applyFill="1" applyBorder="1" applyAlignment="1" applyProtection="1">
      <protection locked="0"/>
    </xf>
    <xf numFmtId="0" fontId="26" fillId="0" borderId="0" xfId="0" applyFont="1" applyProtection="1"/>
    <xf numFmtId="0" fontId="21" fillId="0" borderId="0" xfId="0" applyFont="1" applyAlignment="1" applyProtection="1">
      <alignment horizontal="left" vertical="center" wrapText="1"/>
    </xf>
    <xf numFmtId="0" fontId="21" fillId="0" borderId="0" xfId="0" applyFont="1" applyAlignment="1" applyProtection="1">
      <alignment wrapText="1"/>
    </xf>
  </cellXfs>
  <cellStyles count="4">
    <cellStyle name="Comma 2" xfId="2"/>
    <cellStyle name="Excel Built-in Normal" xfId="3"/>
    <cellStyle name="Normal" xfId="0" builtinId="0"/>
    <cellStyle name="Normal 2" xfId="1"/>
  </cellStyles>
  <dxfs count="1">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workbookViewId="0">
      <selection activeCell="F27" sqref="F27"/>
    </sheetView>
  </sheetViews>
  <sheetFormatPr defaultRowHeight="15"/>
  <cols>
    <col min="3" max="3" width="26.42578125" customWidth="1"/>
  </cols>
  <sheetData>
    <row r="1" spans="1:3">
      <c r="A1" s="68" t="s">
        <v>343</v>
      </c>
      <c r="B1" s="67"/>
      <c r="C1" s="67"/>
    </row>
    <row r="4" spans="1:3">
      <c r="A4" s="69" t="s">
        <v>344</v>
      </c>
      <c r="B4" s="69" t="s">
        <v>345</v>
      </c>
      <c r="C4" s="70" t="s">
        <v>346</v>
      </c>
    </row>
    <row r="5" spans="1:3">
      <c r="A5" s="71">
        <v>0</v>
      </c>
      <c r="B5" s="72">
        <v>42826</v>
      </c>
      <c r="C5" s="73" t="s">
        <v>347</v>
      </c>
    </row>
    <row r="6" spans="1:3">
      <c r="A6" s="73"/>
      <c r="B6" s="73"/>
      <c r="C6" s="73"/>
    </row>
    <row r="7" spans="1:3">
      <c r="A7" s="74"/>
      <c r="B7" s="74"/>
      <c r="C7" s="74"/>
    </row>
  </sheetData>
  <sheetProtection password="E156"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G59"/>
  <sheetViews>
    <sheetView tabSelected="1" zoomScaleNormal="100" workbookViewId="0">
      <selection activeCell="J27" sqref="J27"/>
    </sheetView>
  </sheetViews>
  <sheetFormatPr defaultRowHeight="15"/>
  <cols>
    <col min="1" max="1" width="10.140625" style="38" customWidth="1"/>
    <col min="2" max="2" width="5.5703125" style="45" customWidth="1"/>
    <col min="3" max="3" width="57.85546875" style="39" customWidth="1"/>
    <col min="4" max="4" width="5.42578125" style="40" customWidth="1"/>
    <col min="5" max="5" width="11.42578125" style="41" customWidth="1"/>
    <col min="6" max="6" width="3.85546875" style="44" customWidth="1"/>
    <col min="7" max="7" width="58.140625" style="39" customWidth="1"/>
    <col min="8" max="16384" width="9.140625" style="37"/>
  </cols>
  <sheetData>
    <row r="1" spans="1:7">
      <c r="A1" s="68" t="s">
        <v>343</v>
      </c>
    </row>
    <row r="5" spans="1:7" ht="15" customHeight="1">
      <c r="A5" s="64" t="s">
        <v>348</v>
      </c>
      <c r="B5" s="64"/>
      <c r="C5" s="64"/>
      <c r="D5" s="64"/>
      <c r="E5" s="64"/>
      <c r="F5" s="64"/>
      <c r="G5" s="64"/>
    </row>
    <row r="6" spans="1:7" ht="15.75" thickBot="1">
      <c r="A6" s="62" t="s">
        <v>0</v>
      </c>
      <c r="B6" s="63"/>
      <c r="C6" s="63"/>
      <c r="D6" s="63"/>
      <c r="E6" s="63"/>
      <c r="F6" s="63"/>
      <c r="G6" s="63"/>
    </row>
    <row r="7" spans="1:7" ht="15.75">
      <c r="A7" s="38" t="s">
        <v>2</v>
      </c>
      <c r="B7" s="38" t="s">
        <v>1</v>
      </c>
      <c r="C7" s="39" t="s">
        <v>154</v>
      </c>
      <c r="E7" s="41" t="s">
        <v>155</v>
      </c>
      <c r="F7" s="41" t="s">
        <v>1</v>
      </c>
      <c r="G7" s="39" t="s">
        <v>103</v>
      </c>
    </row>
    <row r="8" spans="1:7" ht="14.25">
      <c r="A8" s="38" t="s">
        <v>3</v>
      </c>
      <c r="B8" s="38" t="s">
        <v>1</v>
      </c>
      <c r="C8" s="39" t="s">
        <v>177</v>
      </c>
      <c r="E8" s="41" t="s">
        <v>156</v>
      </c>
      <c r="F8" s="41" t="s">
        <v>1</v>
      </c>
      <c r="G8" s="39" t="s">
        <v>104</v>
      </c>
    </row>
    <row r="9" spans="1:7" ht="14.25">
      <c r="A9" s="38" t="s">
        <v>4</v>
      </c>
      <c r="B9" s="38" t="s">
        <v>1</v>
      </c>
      <c r="C9" s="39" t="s">
        <v>33</v>
      </c>
      <c r="E9" s="41" t="s">
        <v>157</v>
      </c>
      <c r="F9" s="41" t="s">
        <v>1</v>
      </c>
      <c r="G9" s="39" t="s">
        <v>105</v>
      </c>
    </row>
    <row r="10" spans="1:7" ht="14.25">
      <c r="A10" s="38" t="s">
        <v>14</v>
      </c>
      <c r="B10" s="38" t="s">
        <v>1</v>
      </c>
      <c r="C10" s="39" t="s">
        <v>34</v>
      </c>
      <c r="E10" s="41" t="s">
        <v>158</v>
      </c>
      <c r="F10" s="41" t="s">
        <v>1</v>
      </c>
      <c r="G10" s="39" t="s">
        <v>106</v>
      </c>
    </row>
    <row r="11" spans="1:7" ht="14.25">
      <c r="A11" s="38" t="s">
        <v>15</v>
      </c>
      <c r="B11" s="38" t="s">
        <v>1</v>
      </c>
      <c r="C11" s="39" t="s">
        <v>35</v>
      </c>
      <c r="E11" s="41" t="s">
        <v>280</v>
      </c>
      <c r="F11" s="41" t="s">
        <v>1</v>
      </c>
      <c r="G11" s="39" t="s">
        <v>281</v>
      </c>
    </row>
    <row r="12" spans="1:7" ht="12.75">
      <c r="A12" s="38" t="s">
        <v>5</v>
      </c>
      <c r="B12" s="38" t="s">
        <v>1</v>
      </c>
      <c r="C12" s="39" t="s">
        <v>36</v>
      </c>
      <c r="E12" s="41" t="s">
        <v>75</v>
      </c>
      <c r="F12" s="41" t="s">
        <v>1</v>
      </c>
      <c r="G12" s="39" t="s">
        <v>107</v>
      </c>
    </row>
    <row r="13" spans="1:7" ht="14.25">
      <c r="A13" s="38" t="s">
        <v>16</v>
      </c>
      <c r="B13" s="38" t="s">
        <v>1</v>
      </c>
      <c r="C13" s="39" t="s">
        <v>37</v>
      </c>
      <c r="E13" s="41" t="s">
        <v>76</v>
      </c>
      <c r="F13" s="41" t="s">
        <v>1</v>
      </c>
      <c r="G13" s="39" t="s">
        <v>108</v>
      </c>
    </row>
    <row r="14" spans="1:7" ht="15.75">
      <c r="A14" s="38" t="s">
        <v>6</v>
      </c>
      <c r="B14" s="38" t="s">
        <v>1</v>
      </c>
      <c r="C14" s="39" t="s">
        <v>38</v>
      </c>
      <c r="E14" s="41" t="s">
        <v>91</v>
      </c>
      <c r="F14" s="41" t="s">
        <v>1</v>
      </c>
      <c r="G14" s="39" t="s">
        <v>109</v>
      </c>
    </row>
    <row r="15" spans="1:7" ht="15.75">
      <c r="A15" s="38" t="s">
        <v>7</v>
      </c>
      <c r="B15" s="38" t="s">
        <v>1</v>
      </c>
      <c r="C15" s="39" t="s">
        <v>39</v>
      </c>
      <c r="E15" s="41" t="s">
        <v>92</v>
      </c>
      <c r="F15" s="41" t="s">
        <v>1</v>
      </c>
      <c r="G15" s="39" t="s">
        <v>110</v>
      </c>
    </row>
    <row r="16" spans="1:7" ht="12.75">
      <c r="A16" s="38" t="s">
        <v>8</v>
      </c>
      <c r="B16" s="38" t="s">
        <v>1</v>
      </c>
      <c r="C16" s="39" t="s">
        <v>178</v>
      </c>
      <c r="E16" s="41" t="s">
        <v>77</v>
      </c>
      <c r="F16" s="41" t="s">
        <v>1</v>
      </c>
      <c r="G16" s="39" t="s">
        <v>111</v>
      </c>
    </row>
    <row r="17" spans="1:7" ht="14.25">
      <c r="A17" s="38" t="s">
        <v>9</v>
      </c>
      <c r="B17" s="38" t="s">
        <v>1</v>
      </c>
      <c r="C17" s="39" t="s">
        <v>179</v>
      </c>
      <c r="E17" s="41" t="s">
        <v>93</v>
      </c>
      <c r="F17" s="41" t="s">
        <v>1</v>
      </c>
      <c r="G17" s="39" t="s">
        <v>279</v>
      </c>
    </row>
    <row r="18" spans="1:7" ht="14.25">
      <c r="A18" s="38" t="s">
        <v>17</v>
      </c>
      <c r="B18" s="38" t="s">
        <v>1</v>
      </c>
      <c r="C18" s="39" t="s">
        <v>40</v>
      </c>
      <c r="E18" s="41" t="s">
        <v>78</v>
      </c>
      <c r="F18" s="41" t="s">
        <v>1</v>
      </c>
      <c r="G18" s="39" t="s">
        <v>112</v>
      </c>
    </row>
    <row r="19" spans="1:7" ht="14.25">
      <c r="A19" s="38" t="s">
        <v>18</v>
      </c>
      <c r="B19" s="38" t="s">
        <v>1</v>
      </c>
      <c r="C19" s="39" t="s">
        <v>41</v>
      </c>
      <c r="E19" s="41" t="s">
        <v>79</v>
      </c>
      <c r="F19" s="41" t="s">
        <v>1</v>
      </c>
      <c r="G19" s="39" t="s">
        <v>180</v>
      </c>
    </row>
    <row r="20" spans="1:7" ht="14.25">
      <c r="A20" s="38" t="s">
        <v>19</v>
      </c>
      <c r="B20" s="38" t="s">
        <v>1</v>
      </c>
      <c r="C20" s="39" t="s">
        <v>278</v>
      </c>
      <c r="E20" s="41" t="s">
        <v>80</v>
      </c>
      <c r="F20" s="41" t="s">
        <v>1</v>
      </c>
      <c r="G20" s="39" t="s">
        <v>181</v>
      </c>
    </row>
    <row r="21" spans="1:7" ht="14.25">
      <c r="A21" s="38" t="s">
        <v>20</v>
      </c>
      <c r="B21" s="38" t="s">
        <v>1</v>
      </c>
      <c r="C21" s="39" t="s">
        <v>42</v>
      </c>
      <c r="E21" s="41" t="s">
        <v>81</v>
      </c>
      <c r="F21" s="41" t="s">
        <v>1</v>
      </c>
      <c r="G21" s="39" t="s">
        <v>182</v>
      </c>
    </row>
    <row r="22" spans="1:7" ht="14.25">
      <c r="A22" s="38" t="s">
        <v>10</v>
      </c>
      <c r="B22" s="38" t="s">
        <v>1</v>
      </c>
      <c r="C22" s="39" t="s">
        <v>43</v>
      </c>
      <c r="E22" s="41" t="s">
        <v>94</v>
      </c>
      <c r="F22" s="41" t="s">
        <v>1</v>
      </c>
      <c r="G22" s="39" t="s">
        <v>183</v>
      </c>
    </row>
    <row r="23" spans="1:7" ht="13.5" customHeight="1">
      <c r="A23" s="38" t="s">
        <v>21</v>
      </c>
      <c r="B23" s="38" t="s">
        <v>1</v>
      </c>
      <c r="C23" s="39" t="s">
        <v>44</v>
      </c>
      <c r="E23" s="41" t="s">
        <v>82</v>
      </c>
      <c r="F23" s="41" t="s">
        <v>1</v>
      </c>
      <c r="G23" s="39" t="s">
        <v>152</v>
      </c>
    </row>
    <row r="24" spans="1:7" ht="15.75">
      <c r="A24" s="38" t="s">
        <v>22</v>
      </c>
      <c r="B24" s="38" t="s">
        <v>1</v>
      </c>
      <c r="C24" s="39" t="s">
        <v>45</v>
      </c>
      <c r="E24" s="41" t="s">
        <v>83</v>
      </c>
      <c r="F24" s="41" t="s">
        <v>1</v>
      </c>
      <c r="G24" s="39" t="s">
        <v>184</v>
      </c>
    </row>
    <row r="25" spans="1:7" ht="15.75">
      <c r="A25" s="38" t="s">
        <v>11</v>
      </c>
      <c r="B25" s="38" t="s">
        <v>1</v>
      </c>
      <c r="C25" s="39" t="s">
        <v>46</v>
      </c>
      <c r="E25" s="41" t="s">
        <v>95</v>
      </c>
      <c r="F25" s="41" t="s">
        <v>1</v>
      </c>
      <c r="G25" s="39" t="s">
        <v>159</v>
      </c>
    </row>
    <row r="26" spans="1:7" ht="15.75">
      <c r="A26" s="38" t="s">
        <v>23</v>
      </c>
      <c r="B26" s="38" t="s">
        <v>1</v>
      </c>
      <c r="C26" s="39" t="s">
        <v>47</v>
      </c>
      <c r="E26" s="41" t="s">
        <v>113</v>
      </c>
      <c r="F26" s="41" t="s">
        <v>1</v>
      </c>
      <c r="G26" s="39" t="s">
        <v>160</v>
      </c>
    </row>
    <row r="27" spans="1:7" ht="14.25">
      <c r="A27" s="38" t="s">
        <v>24</v>
      </c>
      <c r="B27" s="38" t="s">
        <v>1</v>
      </c>
      <c r="C27" s="39" t="s">
        <v>48</v>
      </c>
      <c r="E27" s="41" t="s">
        <v>84</v>
      </c>
      <c r="F27" s="41" t="s">
        <v>1</v>
      </c>
      <c r="G27" s="39" t="s">
        <v>114</v>
      </c>
    </row>
    <row r="28" spans="1:7" ht="14.25">
      <c r="A28" s="38" t="s">
        <v>25</v>
      </c>
      <c r="B28" s="38" t="s">
        <v>1</v>
      </c>
      <c r="C28" s="39" t="s">
        <v>49</v>
      </c>
      <c r="E28" s="41" t="s">
        <v>286</v>
      </c>
      <c r="F28" s="41" t="s">
        <v>1</v>
      </c>
      <c r="G28" s="39" t="s">
        <v>287</v>
      </c>
    </row>
    <row r="29" spans="1:7" ht="14.25">
      <c r="A29" s="38" t="s">
        <v>26</v>
      </c>
      <c r="B29" s="38" t="s">
        <v>1</v>
      </c>
      <c r="C29" s="39" t="s">
        <v>50</v>
      </c>
      <c r="E29" s="41" t="s">
        <v>96</v>
      </c>
      <c r="F29" s="41" t="s">
        <v>1</v>
      </c>
      <c r="G29" s="39" t="s">
        <v>283</v>
      </c>
    </row>
    <row r="30" spans="1:7" ht="14.25">
      <c r="A30" s="38" t="s">
        <v>27</v>
      </c>
      <c r="B30" s="38" t="s">
        <v>1</v>
      </c>
      <c r="C30" s="39" t="s">
        <v>51</v>
      </c>
      <c r="E30" s="41" t="s">
        <v>97</v>
      </c>
      <c r="F30" s="41" t="s">
        <v>1</v>
      </c>
      <c r="G30" s="39" t="s">
        <v>284</v>
      </c>
    </row>
    <row r="31" spans="1:7" ht="14.25">
      <c r="A31" s="38" t="s">
        <v>28</v>
      </c>
      <c r="B31" s="38" t="s">
        <v>1</v>
      </c>
      <c r="C31" s="39" t="s">
        <v>52</v>
      </c>
      <c r="E31" s="41" t="s">
        <v>98</v>
      </c>
      <c r="F31" s="41" t="s">
        <v>1</v>
      </c>
      <c r="G31" s="39" t="s">
        <v>285</v>
      </c>
    </row>
    <row r="32" spans="1:7" ht="15.75">
      <c r="A32" s="38" t="s">
        <v>29</v>
      </c>
      <c r="B32" s="38" t="s">
        <v>1</v>
      </c>
      <c r="C32" s="39" t="s">
        <v>282</v>
      </c>
      <c r="E32" s="41" t="s">
        <v>85</v>
      </c>
      <c r="F32" s="41" t="s">
        <v>1</v>
      </c>
      <c r="G32" s="39" t="s">
        <v>115</v>
      </c>
    </row>
    <row r="33" spans="1:7" ht="14.25">
      <c r="A33" s="38" t="s">
        <v>12</v>
      </c>
      <c r="B33" s="38" t="s">
        <v>1</v>
      </c>
      <c r="C33" s="39" t="s">
        <v>53</v>
      </c>
      <c r="E33" s="41" t="s">
        <v>99</v>
      </c>
      <c r="F33" s="41" t="s">
        <v>1</v>
      </c>
      <c r="G33" s="39" t="s">
        <v>116</v>
      </c>
    </row>
    <row r="34" spans="1:7" ht="14.25">
      <c r="A34" s="38" t="s">
        <v>30</v>
      </c>
      <c r="B34" s="38" t="s">
        <v>1</v>
      </c>
      <c r="C34" s="39" t="s">
        <v>54</v>
      </c>
      <c r="E34" s="41" t="s">
        <v>100</v>
      </c>
      <c r="F34" s="41" t="s">
        <v>1</v>
      </c>
      <c r="G34" s="39" t="s">
        <v>117</v>
      </c>
    </row>
    <row r="35" spans="1:7" ht="12.75">
      <c r="A35" s="38" t="s">
        <v>13</v>
      </c>
      <c r="B35" s="38" t="s">
        <v>1</v>
      </c>
      <c r="C35" s="39" t="s">
        <v>55</v>
      </c>
      <c r="D35" s="41"/>
      <c r="E35" s="41" t="s">
        <v>86</v>
      </c>
      <c r="F35" s="41" t="s">
        <v>1</v>
      </c>
      <c r="G35" s="39" t="s">
        <v>185</v>
      </c>
    </row>
    <row r="36" spans="1:7" ht="14.25">
      <c r="A36" s="38" t="s">
        <v>31</v>
      </c>
      <c r="B36" s="38" t="s">
        <v>1</v>
      </c>
      <c r="C36" s="39" t="s">
        <v>56</v>
      </c>
      <c r="D36" s="41"/>
      <c r="E36" s="41" t="s">
        <v>101</v>
      </c>
      <c r="F36" s="41" t="s">
        <v>1</v>
      </c>
      <c r="G36" s="42" t="s">
        <v>118</v>
      </c>
    </row>
    <row r="37" spans="1:7" ht="14.25">
      <c r="A37" s="38" t="s">
        <v>32</v>
      </c>
      <c r="B37" s="38" t="s">
        <v>1</v>
      </c>
      <c r="C37" s="39" t="s">
        <v>57</v>
      </c>
      <c r="D37" s="41"/>
      <c r="E37" s="41" t="s">
        <v>161</v>
      </c>
      <c r="F37" s="41" t="s">
        <v>1</v>
      </c>
      <c r="G37" s="39" t="s">
        <v>119</v>
      </c>
    </row>
    <row r="38" spans="1:7" ht="14.25">
      <c r="A38" s="38" t="s">
        <v>59</v>
      </c>
      <c r="B38" s="38" t="s">
        <v>1</v>
      </c>
      <c r="C38" s="39" t="s">
        <v>68</v>
      </c>
      <c r="D38" s="41"/>
      <c r="E38" s="43" t="s">
        <v>102</v>
      </c>
      <c r="F38" s="43"/>
      <c r="G38" s="43"/>
    </row>
    <row r="39" spans="1:7" ht="14.25">
      <c r="A39" s="38" t="s">
        <v>60</v>
      </c>
      <c r="B39" s="38" t="s">
        <v>1</v>
      </c>
      <c r="C39" s="39" t="s">
        <v>274</v>
      </c>
      <c r="D39" s="41"/>
      <c r="E39" s="41" t="s">
        <v>87</v>
      </c>
      <c r="F39" s="41" t="s">
        <v>1</v>
      </c>
      <c r="G39" s="39" t="s">
        <v>120</v>
      </c>
    </row>
    <row r="40" spans="1:7" ht="14.25">
      <c r="A40" s="38" t="s">
        <v>61</v>
      </c>
      <c r="B40" s="38" t="s">
        <v>1</v>
      </c>
      <c r="C40" s="39" t="s">
        <v>275</v>
      </c>
      <c r="D40" s="41"/>
      <c r="E40" s="41" t="s">
        <v>88</v>
      </c>
      <c r="F40" s="41" t="s">
        <v>1</v>
      </c>
      <c r="G40" s="39" t="s">
        <v>121</v>
      </c>
    </row>
    <row r="41" spans="1:7" ht="14.25">
      <c r="A41" s="38" t="s">
        <v>62</v>
      </c>
      <c r="B41" s="38" t="s">
        <v>1</v>
      </c>
      <c r="C41" s="39" t="s">
        <v>276</v>
      </c>
      <c r="D41" s="41"/>
      <c r="E41" s="41" t="s">
        <v>162</v>
      </c>
      <c r="F41" s="41" t="s">
        <v>1</v>
      </c>
      <c r="G41" s="39" t="s">
        <v>122</v>
      </c>
    </row>
    <row r="42" spans="1:7">
      <c r="A42" s="38" t="s">
        <v>176</v>
      </c>
      <c r="B42" s="38" t="s">
        <v>1</v>
      </c>
      <c r="C42" s="39" t="s">
        <v>277</v>
      </c>
      <c r="D42" s="41"/>
      <c r="E42" s="41" t="s">
        <v>123</v>
      </c>
      <c r="F42" s="44" t="s">
        <v>1</v>
      </c>
      <c r="G42" s="39" t="s">
        <v>124</v>
      </c>
    </row>
    <row r="43" spans="1:7" ht="14.25">
      <c r="A43" s="38" t="s">
        <v>58</v>
      </c>
      <c r="B43" s="38" t="s">
        <v>1</v>
      </c>
      <c r="C43" s="39" t="s">
        <v>69</v>
      </c>
      <c r="D43" s="41"/>
      <c r="E43" s="41" t="s">
        <v>163</v>
      </c>
      <c r="F43" s="41" t="s">
        <v>1</v>
      </c>
      <c r="G43" s="39" t="s">
        <v>125</v>
      </c>
    </row>
    <row r="44" spans="1:7" ht="14.25">
      <c r="A44" s="38" t="s">
        <v>63</v>
      </c>
      <c r="B44" s="38" t="s">
        <v>1</v>
      </c>
      <c r="C44" s="39" t="s">
        <v>70</v>
      </c>
      <c r="D44" s="41"/>
      <c r="E44" s="41" t="s">
        <v>164</v>
      </c>
      <c r="F44" s="41" t="s">
        <v>1</v>
      </c>
      <c r="G44" s="42" t="s">
        <v>126</v>
      </c>
    </row>
    <row r="45" spans="1:7" ht="14.25">
      <c r="A45" s="38" t="s">
        <v>64</v>
      </c>
      <c r="B45" s="38" t="s">
        <v>1</v>
      </c>
      <c r="C45" s="39" t="s">
        <v>71</v>
      </c>
      <c r="D45" s="41"/>
      <c r="E45" s="41" t="s">
        <v>165</v>
      </c>
      <c r="F45" s="41" t="s">
        <v>1</v>
      </c>
      <c r="G45" s="39" t="s">
        <v>127</v>
      </c>
    </row>
    <row r="46" spans="1:7" ht="15.75">
      <c r="A46" s="38" t="s">
        <v>65</v>
      </c>
      <c r="B46" s="38" t="s">
        <v>1</v>
      </c>
      <c r="C46" s="39" t="s">
        <v>72</v>
      </c>
      <c r="D46" s="41"/>
      <c r="E46" s="41" t="s">
        <v>89</v>
      </c>
      <c r="F46" s="41" t="s">
        <v>1</v>
      </c>
      <c r="G46" s="39" t="s">
        <v>128</v>
      </c>
    </row>
    <row r="47" spans="1:7" ht="16.5">
      <c r="A47" s="38" t="s">
        <v>66</v>
      </c>
      <c r="B47" s="38" t="s">
        <v>1</v>
      </c>
      <c r="C47" s="39" t="s">
        <v>73</v>
      </c>
      <c r="D47" s="41"/>
      <c r="E47" s="41" t="s">
        <v>166</v>
      </c>
      <c r="F47" s="41" t="s">
        <v>1</v>
      </c>
      <c r="G47" s="39" t="s">
        <v>167</v>
      </c>
    </row>
    <row r="48" spans="1:7" ht="15.75">
      <c r="A48" s="38" t="s">
        <v>67</v>
      </c>
      <c r="B48" s="38" t="s">
        <v>1</v>
      </c>
      <c r="C48" s="39" t="s">
        <v>74</v>
      </c>
      <c r="D48" s="41"/>
      <c r="E48" s="41" t="s">
        <v>168</v>
      </c>
      <c r="F48" s="41" t="s">
        <v>1</v>
      </c>
      <c r="G48" s="39" t="s">
        <v>169</v>
      </c>
    </row>
    <row r="49" spans="2:7" ht="15.75">
      <c r="B49" s="38"/>
      <c r="D49" s="41"/>
      <c r="E49" s="41" t="s">
        <v>170</v>
      </c>
      <c r="F49" s="41" t="s">
        <v>1</v>
      </c>
      <c r="G49" s="39" t="s">
        <v>171</v>
      </c>
    </row>
    <row r="50" spans="2:7" ht="15.75">
      <c r="B50" s="38"/>
      <c r="D50" s="41"/>
      <c r="E50" s="41" t="s">
        <v>172</v>
      </c>
      <c r="F50" s="41" t="s">
        <v>1</v>
      </c>
      <c r="G50" s="39" t="s">
        <v>129</v>
      </c>
    </row>
    <row r="51" spans="2:7" ht="15.75">
      <c r="B51" s="38"/>
      <c r="D51" s="41"/>
      <c r="E51" s="41" t="s">
        <v>173</v>
      </c>
      <c r="F51" s="41" t="s">
        <v>1</v>
      </c>
      <c r="G51" s="39" t="s">
        <v>130</v>
      </c>
    </row>
    <row r="52" spans="2:7" ht="15.75">
      <c r="B52" s="38"/>
      <c r="D52" s="41"/>
      <c r="E52" s="41" t="s">
        <v>174</v>
      </c>
      <c r="F52" s="41" t="s">
        <v>1</v>
      </c>
      <c r="G52" s="39" t="s">
        <v>131</v>
      </c>
    </row>
    <row r="53" spans="2:7" ht="12.75">
      <c r="B53" s="38"/>
      <c r="D53" s="41"/>
      <c r="E53" s="41" t="s">
        <v>90</v>
      </c>
      <c r="F53" s="41" t="s">
        <v>1</v>
      </c>
      <c r="G53" s="39" t="s">
        <v>132</v>
      </c>
    </row>
    <row r="54" spans="2:7" ht="14.25">
      <c r="B54" s="38"/>
      <c r="D54" s="41"/>
      <c r="E54" s="41" t="s">
        <v>175</v>
      </c>
      <c r="F54" s="41" t="s">
        <v>1</v>
      </c>
      <c r="G54" s="39" t="s">
        <v>153</v>
      </c>
    </row>
    <row r="55" spans="2:7" ht="12.75">
      <c r="B55" s="38"/>
      <c r="D55" s="41"/>
      <c r="F55" s="41"/>
    </row>
    <row r="56" spans="2:7" ht="12.75">
      <c r="B56" s="38"/>
      <c r="D56" s="41"/>
      <c r="F56" s="41"/>
    </row>
    <row r="57" spans="2:7" ht="12.75">
      <c r="B57" s="38"/>
      <c r="D57" s="41"/>
      <c r="F57" s="41"/>
    </row>
    <row r="58" spans="2:7">
      <c r="F58" s="41"/>
    </row>
    <row r="59" spans="2:7">
      <c r="F59" s="41"/>
    </row>
  </sheetData>
  <sheetProtection password="E156" sheet="1" objects="1" scenarios="1"/>
  <customSheetViews>
    <customSheetView guid="{4A4D9229-7CAB-4D88-8487-AD510F689FCA}" topLeftCell="A4">
      <selection activeCell="C13" sqref="C13"/>
      <pageMargins left="0.7" right="0.7" top="0.75" bottom="0.75" header="0.3" footer="0.3"/>
    </customSheetView>
  </customSheetViews>
  <mergeCells count="2">
    <mergeCell ref="A6:G6"/>
    <mergeCell ref="A5:G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L32"/>
  <sheetViews>
    <sheetView zoomScaleNormal="100" workbookViewId="0">
      <selection activeCell="G32" sqref="G32"/>
    </sheetView>
  </sheetViews>
  <sheetFormatPr defaultRowHeight="15"/>
  <cols>
    <col min="1" max="1" width="22.85546875" style="66" customWidth="1"/>
    <col min="2" max="2" width="4.5703125" style="65" customWidth="1"/>
    <col min="3" max="3" width="33.5703125" style="65" bestFit="1" customWidth="1"/>
    <col min="4" max="4" width="15.42578125" style="66" bestFit="1" customWidth="1"/>
    <col min="5" max="5" width="15.28515625" style="65" bestFit="1" customWidth="1"/>
    <col min="6" max="6" width="4.28515625" style="66" customWidth="1"/>
    <col min="7" max="7" width="23.140625" style="66" customWidth="1"/>
    <col min="8" max="8" width="5" style="65" customWidth="1"/>
    <col min="9" max="9" width="12.85546875" style="65" customWidth="1"/>
    <col min="10" max="10" width="18.5703125" style="66" customWidth="1"/>
    <col min="11" max="11" width="20.140625" style="66" customWidth="1"/>
    <col min="12" max="12" width="15" style="66" customWidth="1"/>
    <col min="13" max="16384" width="9.140625" style="66"/>
  </cols>
  <sheetData>
    <row r="1" spans="1:12">
      <c r="A1" s="75" t="s">
        <v>343</v>
      </c>
    </row>
    <row r="5" spans="1:12" ht="43.5" customHeight="1">
      <c r="A5" s="56" t="s">
        <v>288</v>
      </c>
      <c r="B5" s="56"/>
      <c r="C5" s="56"/>
      <c r="D5" s="56"/>
      <c r="E5" s="56"/>
      <c r="G5" s="80" t="s">
        <v>288</v>
      </c>
      <c r="H5" s="80"/>
      <c r="I5" s="80"/>
      <c r="J5" s="80"/>
      <c r="K5" s="80"/>
      <c r="L5" s="80"/>
    </row>
    <row r="6" spans="1:12" ht="18" customHeight="1">
      <c r="A6" s="47" t="s">
        <v>196</v>
      </c>
      <c r="B6" s="9"/>
      <c r="C6" s="9"/>
      <c r="D6" s="2"/>
      <c r="E6" s="54"/>
      <c r="G6" s="81" t="s">
        <v>196</v>
      </c>
      <c r="H6" s="82"/>
      <c r="I6" s="82"/>
      <c r="J6" s="83"/>
      <c r="K6" s="82"/>
      <c r="L6" s="82"/>
    </row>
    <row r="7" spans="1:12">
      <c r="A7" s="3" t="s">
        <v>190</v>
      </c>
      <c r="B7" s="9" t="s">
        <v>1</v>
      </c>
      <c r="C7" s="9">
        <v>60</v>
      </c>
      <c r="D7" s="1" t="s">
        <v>135</v>
      </c>
      <c r="E7" s="9"/>
      <c r="G7" s="84" t="s">
        <v>190</v>
      </c>
      <c r="H7" s="82" t="s">
        <v>1</v>
      </c>
      <c r="I7" s="12">
        <v>60</v>
      </c>
      <c r="J7" s="85" t="s">
        <v>135</v>
      </c>
      <c r="K7" s="82"/>
      <c r="L7" s="82"/>
    </row>
    <row r="8" spans="1:12">
      <c r="A8" s="3" t="s">
        <v>191</v>
      </c>
      <c r="B8" s="9" t="s">
        <v>1</v>
      </c>
      <c r="C8" s="9">
        <v>750</v>
      </c>
      <c r="D8" s="1" t="s">
        <v>134</v>
      </c>
      <c r="E8" s="9"/>
      <c r="G8" s="84" t="s">
        <v>191</v>
      </c>
      <c r="H8" s="82" t="s">
        <v>1</v>
      </c>
      <c r="I8" s="12">
        <v>750</v>
      </c>
      <c r="J8" s="85" t="s">
        <v>134</v>
      </c>
      <c r="K8" s="82"/>
      <c r="L8" s="82"/>
    </row>
    <row r="9" spans="1:12">
      <c r="A9" s="3" t="s">
        <v>201</v>
      </c>
      <c r="B9" s="9" t="s">
        <v>1</v>
      </c>
      <c r="C9" s="8">
        <v>150000</v>
      </c>
      <c r="D9" s="1" t="s">
        <v>136</v>
      </c>
      <c r="E9" s="9"/>
      <c r="G9" s="84" t="s">
        <v>201</v>
      </c>
      <c r="H9" s="82" t="s">
        <v>1</v>
      </c>
      <c r="I9" s="13">
        <v>150000</v>
      </c>
      <c r="J9" s="85" t="s">
        <v>136</v>
      </c>
      <c r="K9" s="82"/>
      <c r="L9" s="82"/>
    </row>
    <row r="10" spans="1:12">
      <c r="A10" s="3" t="s">
        <v>192</v>
      </c>
      <c r="B10" s="9" t="s">
        <v>1</v>
      </c>
      <c r="C10" s="9">
        <v>0.90500000000000003</v>
      </c>
      <c r="D10" s="1"/>
      <c r="E10" s="9"/>
      <c r="G10" s="84" t="s">
        <v>192</v>
      </c>
      <c r="H10" s="82" t="s">
        <v>1</v>
      </c>
      <c r="I10" s="12">
        <v>0.90500000000000003</v>
      </c>
      <c r="J10" s="85"/>
      <c r="K10" s="82"/>
      <c r="L10" s="82"/>
    </row>
    <row r="11" spans="1:12">
      <c r="A11" s="3" t="s">
        <v>193</v>
      </c>
      <c r="B11" s="9" t="s">
        <v>1</v>
      </c>
      <c r="C11" s="9">
        <v>16.042999999999999</v>
      </c>
      <c r="D11" s="1"/>
      <c r="E11" s="9"/>
      <c r="G11" s="84" t="s">
        <v>193</v>
      </c>
      <c r="H11" s="82" t="s">
        <v>1</v>
      </c>
      <c r="I11" s="12">
        <v>16.042999999999999</v>
      </c>
      <c r="J11" s="85"/>
      <c r="K11" s="82"/>
      <c r="L11" s="82"/>
    </row>
    <row r="12" spans="1:12">
      <c r="A12" s="3" t="s">
        <v>137</v>
      </c>
      <c r="B12" s="9" t="s">
        <v>1</v>
      </c>
      <c r="C12" s="9">
        <v>10</v>
      </c>
      <c r="D12" s="1" t="s">
        <v>195</v>
      </c>
      <c r="E12" s="9"/>
      <c r="G12" s="84" t="s">
        <v>137</v>
      </c>
      <c r="H12" s="82" t="s">
        <v>1</v>
      </c>
      <c r="I12" s="12">
        <v>10</v>
      </c>
      <c r="J12" s="85" t="s">
        <v>195</v>
      </c>
      <c r="K12" s="82"/>
      <c r="L12" s="82"/>
    </row>
    <row r="13" spans="1:12">
      <c r="A13" s="3" t="s">
        <v>138</v>
      </c>
      <c r="B13" s="9" t="s">
        <v>1</v>
      </c>
      <c r="C13" s="9">
        <v>40</v>
      </c>
      <c r="D13" s="1"/>
      <c r="E13" s="9"/>
      <c r="G13" s="84" t="s">
        <v>138</v>
      </c>
      <c r="H13" s="82" t="s">
        <v>1</v>
      </c>
      <c r="I13" s="12">
        <v>40</v>
      </c>
      <c r="J13" s="85"/>
      <c r="K13" s="82"/>
      <c r="L13" s="82"/>
    </row>
    <row r="14" spans="1:12" ht="15.75" customHeight="1">
      <c r="A14" s="3" t="s">
        <v>194</v>
      </c>
      <c r="B14" s="9" t="s">
        <v>1</v>
      </c>
      <c r="C14" s="9">
        <v>10.73</v>
      </c>
      <c r="D14" s="1" t="s">
        <v>146</v>
      </c>
      <c r="E14" s="9"/>
      <c r="G14" s="84" t="s">
        <v>194</v>
      </c>
      <c r="H14" s="82" t="s">
        <v>1</v>
      </c>
      <c r="I14" s="82">
        <v>10.73</v>
      </c>
      <c r="J14" s="85" t="s">
        <v>146</v>
      </c>
      <c r="K14" s="82"/>
      <c r="L14" s="82"/>
    </row>
    <row r="15" spans="1:12">
      <c r="A15" s="3"/>
      <c r="B15" s="9"/>
      <c r="C15" s="9"/>
      <c r="D15" s="1"/>
      <c r="E15" s="9"/>
      <c r="G15" s="84"/>
      <c r="H15" s="82"/>
      <c r="I15" s="82"/>
      <c r="J15" s="85"/>
      <c r="K15" s="82"/>
      <c r="L15" s="82"/>
    </row>
    <row r="16" spans="1:12">
      <c r="A16" s="47" t="s">
        <v>198</v>
      </c>
      <c r="B16" s="49"/>
      <c r="C16" s="49"/>
      <c r="D16" s="1"/>
      <c r="E16" s="7"/>
      <c r="G16" s="81" t="s">
        <v>198</v>
      </c>
      <c r="H16" s="86"/>
      <c r="I16" s="86"/>
      <c r="J16" s="85"/>
      <c r="K16" s="82"/>
      <c r="L16" s="82"/>
    </row>
    <row r="17" spans="1:12" ht="18">
      <c r="A17" s="3" t="s">
        <v>89</v>
      </c>
      <c r="B17" s="9" t="s">
        <v>1</v>
      </c>
      <c r="C17" s="9" t="s">
        <v>289</v>
      </c>
      <c r="D17" s="9" t="s">
        <v>151</v>
      </c>
      <c r="E17" s="9"/>
      <c r="G17" s="87" t="s">
        <v>89</v>
      </c>
      <c r="H17" s="88" t="s">
        <v>1</v>
      </c>
      <c r="I17" s="89">
        <f>I8*I11/I14/(460+I7)/I10</f>
        <v>2.3828417570082649</v>
      </c>
      <c r="J17" s="90" t="s">
        <v>151</v>
      </c>
      <c r="K17" s="82"/>
      <c r="L17" s="91"/>
    </row>
    <row r="18" spans="1:12" ht="16.5">
      <c r="A18" s="3" t="s">
        <v>197</v>
      </c>
      <c r="B18" s="9" t="s">
        <v>1</v>
      </c>
      <c r="C18" s="9">
        <v>22.5</v>
      </c>
      <c r="D18" s="1" t="s">
        <v>290</v>
      </c>
      <c r="E18" s="9"/>
      <c r="G18" s="84" t="s">
        <v>197</v>
      </c>
      <c r="H18" s="82" t="s">
        <v>1</v>
      </c>
      <c r="I18" s="12">
        <v>22.5</v>
      </c>
      <c r="J18" s="92"/>
      <c r="K18" s="85" t="s">
        <v>290</v>
      </c>
      <c r="L18" s="93"/>
    </row>
    <row r="19" spans="1:12" ht="16.5">
      <c r="A19" s="3" t="s">
        <v>200</v>
      </c>
      <c r="B19" s="9" t="s">
        <v>1</v>
      </c>
      <c r="C19" s="9">
        <v>4.4699999999999997E-2</v>
      </c>
      <c r="D19" s="1" t="s">
        <v>291</v>
      </c>
      <c r="E19" s="9"/>
      <c r="G19" s="84" t="s">
        <v>200</v>
      </c>
      <c r="H19" s="82" t="s">
        <v>1</v>
      </c>
      <c r="I19" s="12">
        <v>4.4699999999999997E-2</v>
      </c>
      <c r="J19" s="92"/>
      <c r="K19" s="85" t="s">
        <v>291</v>
      </c>
      <c r="L19" s="82"/>
    </row>
    <row r="20" spans="1:12" ht="16.5">
      <c r="A20" s="3" t="s">
        <v>147</v>
      </c>
      <c r="B20" s="9" t="s">
        <v>1</v>
      </c>
      <c r="C20" s="8" t="s">
        <v>292</v>
      </c>
      <c r="D20" s="10" t="s">
        <v>139</v>
      </c>
      <c r="E20" s="9" t="s">
        <v>199</v>
      </c>
      <c r="G20" s="84" t="s">
        <v>147</v>
      </c>
      <c r="H20" s="82" t="s">
        <v>1</v>
      </c>
      <c r="I20" s="94">
        <f>I18*I19/I17</f>
        <v>0.42208006345446608</v>
      </c>
      <c r="J20" s="95" t="s">
        <v>139</v>
      </c>
      <c r="K20" s="85" t="s">
        <v>199</v>
      </c>
      <c r="L20" s="96"/>
    </row>
    <row r="21" spans="1:12">
      <c r="A21" s="1"/>
      <c r="B21" s="9"/>
      <c r="C21" s="10"/>
      <c r="D21" s="11"/>
      <c r="E21" s="9"/>
      <c r="G21" s="85"/>
      <c r="H21" s="82"/>
      <c r="I21" s="97"/>
      <c r="J21" s="92"/>
      <c r="K21" s="82"/>
      <c r="L21" s="98"/>
    </row>
    <row r="22" spans="1:12">
      <c r="A22" s="99"/>
      <c r="B22" s="100"/>
      <c r="C22" s="101"/>
      <c r="D22" s="102"/>
      <c r="E22" s="100"/>
      <c r="G22" s="103"/>
      <c r="H22" s="104"/>
      <c r="I22" s="104"/>
      <c r="J22" s="103"/>
      <c r="K22" s="103"/>
      <c r="L22" s="103"/>
    </row>
    <row r="23" spans="1:12">
      <c r="A23" s="103"/>
      <c r="B23" s="104"/>
      <c r="C23" s="104"/>
      <c r="D23" s="103"/>
      <c r="E23" s="100"/>
      <c r="G23" s="103"/>
      <c r="H23" s="104"/>
      <c r="I23" s="104"/>
      <c r="J23" s="103"/>
      <c r="K23" s="103"/>
      <c r="L23" s="103"/>
    </row>
    <row r="24" spans="1:12">
      <c r="A24" s="76" t="s">
        <v>349</v>
      </c>
      <c r="B24" s="104"/>
      <c r="C24" s="105"/>
      <c r="D24" s="103"/>
      <c r="E24" s="100"/>
      <c r="G24" s="103"/>
      <c r="H24" s="104"/>
      <c r="I24" s="105"/>
      <c r="J24" s="103"/>
      <c r="K24" s="99"/>
      <c r="L24" s="103"/>
    </row>
    <row r="25" spans="1:12">
      <c r="A25" s="76" t="s">
        <v>350</v>
      </c>
      <c r="B25" s="100"/>
      <c r="C25" s="100"/>
      <c r="D25" s="99"/>
      <c r="E25" s="100"/>
      <c r="G25" s="103"/>
      <c r="H25" s="104"/>
      <c r="I25" s="104"/>
      <c r="J25" s="103"/>
      <c r="K25" s="103"/>
      <c r="L25" s="103"/>
    </row>
    <row r="26" spans="1:12">
      <c r="A26" s="76" t="s">
        <v>351</v>
      </c>
      <c r="G26" s="106"/>
      <c r="H26" s="107"/>
      <c r="I26" s="107"/>
      <c r="J26" s="108"/>
      <c r="K26" s="108"/>
      <c r="L26" s="108"/>
    </row>
    <row r="27" spans="1:12">
      <c r="A27" s="76" t="s">
        <v>352</v>
      </c>
      <c r="G27" s="108"/>
      <c r="H27" s="107"/>
      <c r="I27" s="107"/>
      <c r="J27" s="108"/>
      <c r="K27" s="108"/>
      <c r="L27" s="108"/>
    </row>
    <row r="28" spans="1:12">
      <c r="A28" s="77" t="s">
        <v>353</v>
      </c>
      <c r="G28" s="108"/>
      <c r="H28" s="107"/>
      <c r="I28" s="109"/>
      <c r="J28" s="108"/>
      <c r="K28" s="107"/>
      <c r="L28" s="110"/>
    </row>
    <row r="29" spans="1:12">
      <c r="G29" s="108"/>
      <c r="H29" s="107"/>
      <c r="I29" s="109"/>
      <c r="J29" s="108"/>
      <c r="K29" s="107"/>
      <c r="L29" s="110"/>
    </row>
    <row r="30" spans="1:12">
      <c r="G30" s="103"/>
      <c r="H30" s="104"/>
      <c r="I30" s="105"/>
      <c r="J30" s="103"/>
      <c r="K30" s="104"/>
      <c r="L30" s="111"/>
    </row>
    <row r="31" spans="1:12">
      <c r="G31" s="112"/>
      <c r="H31" s="113"/>
      <c r="I31" s="114"/>
      <c r="J31" s="115"/>
      <c r="K31" s="113"/>
      <c r="L31" s="116"/>
    </row>
    <row r="32" spans="1:12">
      <c r="G32" s="112"/>
      <c r="H32" s="113"/>
      <c r="I32" s="117"/>
      <c r="J32" s="115"/>
      <c r="K32" s="112"/>
      <c r="L32" s="112"/>
    </row>
  </sheetData>
  <sheetProtection password="E156" sheet="1" objects="1" scenarios="1"/>
  <customSheetViews>
    <customSheetView guid="{4A4D9229-7CAB-4D88-8487-AD510F689FCA}" topLeftCell="D13">
      <selection activeCell="D30" sqref="D30"/>
      <pageMargins left="0.7" right="0.7" top="0.75" bottom="0.75" header="0.3" footer="0.3"/>
      <pageSetup orientation="portrait" r:id="rId1"/>
    </customSheetView>
  </customSheetViews>
  <mergeCells count="5">
    <mergeCell ref="I32:J32"/>
    <mergeCell ref="C22:D22"/>
    <mergeCell ref="A5:E5"/>
    <mergeCell ref="G5:L5"/>
    <mergeCell ref="I31:J31"/>
  </mergeCells>
  <pageMargins left="0.7" right="0.7" top="0.75" bottom="0.75" header="0.3" footer="0.3"/>
  <pageSetup scale="45"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M33"/>
  <sheetViews>
    <sheetView zoomScaleNormal="100" workbookViewId="0">
      <selection activeCell="D33" sqref="D33"/>
    </sheetView>
  </sheetViews>
  <sheetFormatPr defaultRowHeight="15"/>
  <cols>
    <col min="1" max="1" width="26.28515625" style="66" customWidth="1"/>
    <col min="2" max="2" width="5.5703125" style="65" customWidth="1"/>
    <col min="3" max="3" width="37" style="65" bestFit="1" customWidth="1"/>
    <col min="4" max="4" width="15.7109375" style="66" bestFit="1" customWidth="1"/>
    <col min="5" max="5" width="15.140625" style="65" bestFit="1" customWidth="1"/>
    <col min="6" max="6" width="9.140625" style="65"/>
    <col min="7" max="7" width="9.140625" style="66"/>
    <col min="8" max="8" width="28" style="66" customWidth="1"/>
    <col min="9" max="9" width="5.140625" style="65" customWidth="1"/>
    <col min="10" max="10" width="18.7109375" style="65" bestFit="1" customWidth="1"/>
    <col min="11" max="11" width="15.7109375" style="66" bestFit="1" customWidth="1"/>
    <col min="12" max="12" width="15.140625" style="66" bestFit="1" customWidth="1"/>
    <col min="13" max="13" width="26" style="66" customWidth="1"/>
    <col min="14" max="16384" width="9.140625" style="66"/>
  </cols>
  <sheetData>
    <row r="1" spans="1:13">
      <c r="A1" s="75" t="s">
        <v>343</v>
      </c>
    </row>
    <row r="5" spans="1:13" s="118" customFormat="1" ht="33" customHeight="1">
      <c r="A5" s="57" t="s">
        <v>293</v>
      </c>
      <c r="B5" s="57"/>
      <c r="C5" s="57"/>
      <c r="D5" s="57"/>
      <c r="E5" s="57"/>
      <c r="F5" s="57"/>
      <c r="H5" s="119" t="s">
        <v>293</v>
      </c>
      <c r="I5" s="119"/>
      <c r="J5" s="119"/>
      <c r="K5" s="119"/>
      <c r="L5" s="119"/>
      <c r="M5" s="119"/>
    </row>
    <row r="6" spans="1:13" s="118" customFormat="1" ht="18" customHeight="1">
      <c r="A6" s="26" t="s">
        <v>196</v>
      </c>
      <c r="B6" s="15"/>
      <c r="C6" s="15"/>
      <c r="D6" s="23"/>
      <c r="E6" s="15"/>
      <c r="F6" s="15"/>
      <c r="H6" s="120" t="s">
        <v>196</v>
      </c>
      <c r="I6" s="121"/>
      <c r="J6" s="121"/>
      <c r="K6" s="122"/>
      <c r="L6" s="121"/>
      <c r="M6" s="121"/>
    </row>
    <row r="7" spans="1:13" s="118" customFormat="1">
      <c r="A7" s="19" t="s">
        <v>190</v>
      </c>
      <c r="B7" s="15" t="s">
        <v>1</v>
      </c>
      <c r="C7" s="15">
        <v>100</v>
      </c>
      <c r="D7" s="18" t="s">
        <v>135</v>
      </c>
      <c r="E7" s="15"/>
      <c r="F7" s="15"/>
      <c r="H7" s="123" t="s">
        <v>190</v>
      </c>
      <c r="I7" s="121" t="s">
        <v>1</v>
      </c>
      <c r="J7" s="24">
        <v>100</v>
      </c>
      <c r="K7" s="124" t="s">
        <v>135</v>
      </c>
      <c r="L7" s="121"/>
      <c r="M7" s="121"/>
    </row>
    <row r="8" spans="1:13" s="118" customFormat="1">
      <c r="A8" s="19" t="s">
        <v>191</v>
      </c>
      <c r="B8" s="15" t="s">
        <v>1</v>
      </c>
      <c r="C8" s="15">
        <v>400</v>
      </c>
      <c r="D8" s="18" t="s">
        <v>134</v>
      </c>
      <c r="E8" s="15"/>
      <c r="F8" s="15"/>
      <c r="H8" s="123" t="s">
        <v>191</v>
      </c>
      <c r="I8" s="121" t="s">
        <v>1</v>
      </c>
      <c r="J8" s="24">
        <v>400</v>
      </c>
      <c r="K8" s="124" t="s">
        <v>134</v>
      </c>
      <c r="L8" s="121"/>
      <c r="M8" s="121"/>
    </row>
    <row r="9" spans="1:13" s="118" customFormat="1">
      <c r="A9" s="19" t="s">
        <v>203</v>
      </c>
      <c r="B9" s="15" t="s">
        <v>1</v>
      </c>
      <c r="C9" s="22">
        <v>75000</v>
      </c>
      <c r="D9" s="18" t="s">
        <v>136</v>
      </c>
      <c r="E9" s="15"/>
      <c r="F9" s="15"/>
      <c r="H9" s="123" t="s">
        <v>203</v>
      </c>
      <c r="I9" s="121" t="s">
        <v>1</v>
      </c>
      <c r="J9" s="33">
        <v>75000</v>
      </c>
      <c r="K9" s="124" t="s">
        <v>136</v>
      </c>
      <c r="L9" s="121"/>
      <c r="M9" s="121"/>
    </row>
    <row r="10" spans="1:13" s="118" customFormat="1">
      <c r="A10" s="19" t="s">
        <v>193</v>
      </c>
      <c r="B10" s="15" t="s">
        <v>1</v>
      </c>
      <c r="C10" s="15">
        <v>16.042999999999999</v>
      </c>
      <c r="D10" s="18"/>
      <c r="E10" s="15"/>
      <c r="F10" s="15"/>
      <c r="H10" s="123" t="s">
        <v>193</v>
      </c>
      <c r="I10" s="121" t="s">
        <v>1</v>
      </c>
      <c r="J10" s="24">
        <v>16.042999999999999</v>
      </c>
      <c r="K10" s="124"/>
      <c r="L10" s="121"/>
      <c r="M10" s="121"/>
    </row>
    <row r="11" spans="1:13" s="118" customFormat="1">
      <c r="A11" s="19" t="s">
        <v>202</v>
      </c>
      <c r="B11" s="15" t="s">
        <v>1</v>
      </c>
      <c r="C11" s="15">
        <v>0.96</v>
      </c>
      <c r="D11" s="18"/>
      <c r="E11" s="15"/>
      <c r="F11" s="15"/>
      <c r="H11" s="123" t="s">
        <v>202</v>
      </c>
      <c r="I11" s="121" t="s">
        <v>1</v>
      </c>
      <c r="J11" s="24">
        <v>0.96</v>
      </c>
      <c r="K11" s="124"/>
      <c r="L11" s="121"/>
      <c r="M11" s="121"/>
    </row>
    <row r="12" spans="1:13" s="118" customFormat="1">
      <c r="A12" s="19" t="s">
        <v>271</v>
      </c>
      <c r="B12" s="15" t="s">
        <v>1</v>
      </c>
      <c r="C12" s="15">
        <v>40</v>
      </c>
      <c r="D12" s="18"/>
      <c r="E12" s="15"/>
      <c r="F12" s="15"/>
      <c r="H12" s="123" t="s">
        <v>271</v>
      </c>
      <c r="I12" s="121" t="s">
        <v>1</v>
      </c>
      <c r="J12" s="24">
        <v>40</v>
      </c>
      <c r="K12" s="124"/>
      <c r="L12" s="121"/>
      <c r="M12" s="121"/>
    </row>
    <row r="13" spans="1:13" s="118" customFormat="1" ht="16.5">
      <c r="A13" s="19" t="s">
        <v>272</v>
      </c>
      <c r="B13" s="15" t="s">
        <v>141</v>
      </c>
      <c r="C13" s="15">
        <v>1</v>
      </c>
      <c r="D13" s="18" t="s">
        <v>139</v>
      </c>
      <c r="E13" s="15"/>
      <c r="F13" s="15"/>
      <c r="H13" s="125" t="s">
        <v>272</v>
      </c>
      <c r="I13" s="121" t="s">
        <v>141</v>
      </c>
      <c r="J13" s="24">
        <v>1</v>
      </c>
      <c r="K13" s="124" t="s">
        <v>139</v>
      </c>
      <c r="L13" s="121"/>
      <c r="M13" s="121"/>
    </row>
    <row r="14" spans="1:13" s="118" customFormat="1" ht="18">
      <c r="A14" s="19" t="s">
        <v>194</v>
      </c>
      <c r="B14" s="15" t="s">
        <v>1</v>
      </c>
      <c r="C14" s="15">
        <v>10.73</v>
      </c>
      <c r="D14" s="18" t="s">
        <v>206</v>
      </c>
      <c r="E14" s="15"/>
      <c r="F14" s="15"/>
      <c r="H14" s="123" t="s">
        <v>194</v>
      </c>
      <c r="I14" s="121" t="s">
        <v>1</v>
      </c>
      <c r="J14" s="121">
        <v>10.73</v>
      </c>
      <c r="K14" s="124" t="s">
        <v>206</v>
      </c>
      <c r="L14" s="121"/>
      <c r="M14" s="121"/>
    </row>
    <row r="15" spans="1:13" s="118" customFormat="1">
      <c r="A15" s="26" t="s">
        <v>198</v>
      </c>
      <c r="B15" s="15"/>
      <c r="C15" s="15"/>
      <c r="D15" s="18"/>
      <c r="E15" s="15"/>
      <c r="F15" s="15"/>
      <c r="H15" s="120" t="s">
        <v>198</v>
      </c>
      <c r="I15" s="121"/>
      <c r="J15" s="121"/>
      <c r="K15" s="124"/>
      <c r="L15" s="121"/>
      <c r="M15" s="121"/>
    </row>
    <row r="16" spans="1:13" s="118" customFormat="1" ht="18">
      <c r="A16" s="14" t="s">
        <v>89</v>
      </c>
      <c r="B16" s="15" t="s">
        <v>1</v>
      </c>
      <c r="C16" s="15" t="s">
        <v>296</v>
      </c>
      <c r="D16" s="20" t="s">
        <v>204</v>
      </c>
      <c r="E16" s="15"/>
      <c r="F16" s="15"/>
      <c r="H16" s="126" t="s">
        <v>89</v>
      </c>
      <c r="I16" s="121" t="s">
        <v>1</v>
      </c>
      <c r="J16" s="127">
        <f>(J10*J8)/(J14*(460+J7)*J11)</f>
        <v>1.1124656060000886</v>
      </c>
      <c r="K16" s="128" t="s">
        <v>204</v>
      </c>
      <c r="L16" s="121"/>
      <c r="M16" s="121"/>
    </row>
    <row r="17" spans="1:13" s="118" customFormat="1" ht="16.5">
      <c r="A17" s="19" t="s">
        <v>205</v>
      </c>
      <c r="B17" s="15" t="s">
        <v>1</v>
      </c>
      <c r="C17" s="15">
        <v>5.6</v>
      </c>
      <c r="D17" s="20"/>
      <c r="E17" s="18" t="s">
        <v>207</v>
      </c>
      <c r="F17" s="18"/>
      <c r="H17" s="123" t="s">
        <v>205</v>
      </c>
      <c r="I17" s="121" t="s">
        <v>1</v>
      </c>
      <c r="J17" s="24">
        <v>5.6</v>
      </c>
      <c r="K17" s="128"/>
      <c r="L17" s="124" t="s">
        <v>207</v>
      </c>
      <c r="M17" s="124"/>
    </row>
    <row r="18" spans="1:13" s="118" customFormat="1" ht="16.5">
      <c r="A18" s="19" t="s">
        <v>209</v>
      </c>
      <c r="B18" s="15" t="s">
        <v>1</v>
      </c>
      <c r="C18" s="15" t="s">
        <v>295</v>
      </c>
      <c r="D18" s="20"/>
      <c r="E18" s="25"/>
      <c r="F18" s="25"/>
      <c r="H18" s="123" t="s">
        <v>209</v>
      </c>
      <c r="I18" s="121" t="s">
        <v>1</v>
      </c>
      <c r="J18" s="127">
        <f>(J13*J16)/J17</f>
        <v>0.19865457250001584</v>
      </c>
      <c r="K18" s="128"/>
      <c r="L18" s="129"/>
      <c r="M18" s="129"/>
    </row>
    <row r="19" spans="1:13" s="118" customFormat="1" ht="16.5">
      <c r="A19" s="19" t="s">
        <v>212</v>
      </c>
      <c r="B19" s="15" t="s">
        <v>1</v>
      </c>
      <c r="C19" s="15">
        <v>0.14599999999999999</v>
      </c>
      <c r="D19" s="20"/>
      <c r="E19" s="18" t="s">
        <v>210</v>
      </c>
      <c r="F19" s="25"/>
      <c r="H19" s="123" t="s">
        <v>212</v>
      </c>
      <c r="I19" s="121" t="s">
        <v>1</v>
      </c>
      <c r="J19" s="24">
        <v>0.14599999999999999</v>
      </c>
      <c r="K19" s="128"/>
      <c r="L19" s="124" t="s">
        <v>210</v>
      </c>
      <c r="M19" s="129"/>
    </row>
    <row r="20" spans="1:13" s="118" customFormat="1">
      <c r="A20" s="19" t="s">
        <v>211</v>
      </c>
      <c r="B20" s="15" t="s">
        <v>1</v>
      </c>
      <c r="C20" s="15">
        <v>8</v>
      </c>
      <c r="D20" s="27" t="s">
        <v>195</v>
      </c>
      <c r="E20" s="15"/>
      <c r="F20" s="21"/>
      <c r="H20" s="123" t="s">
        <v>211</v>
      </c>
      <c r="I20" s="121" t="s">
        <v>1</v>
      </c>
      <c r="J20" s="50">
        <v>8</v>
      </c>
      <c r="K20" s="130" t="s">
        <v>195</v>
      </c>
      <c r="L20" s="121"/>
      <c r="M20" s="131"/>
    </row>
    <row r="21" spans="1:13" s="118" customFormat="1" ht="16.5">
      <c r="A21" s="19" t="s">
        <v>208</v>
      </c>
      <c r="B21" s="15" t="s">
        <v>1</v>
      </c>
      <c r="C21" s="15" t="s">
        <v>294</v>
      </c>
      <c r="D21" s="27" t="s">
        <v>139</v>
      </c>
      <c r="E21" s="15"/>
      <c r="F21" s="15"/>
      <c r="H21" s="123" t="s">
        <v>208</v>
      </c>
      <c r="I21" s="121" t="s">
        <v>1</v>
      </c>
      <c r="J21" s="127">
        <f>(J17*J19)/J16</f>
        <v>0.73494406981237925</v>
      </c>
      <c r="K21" s="130" t="s">
        <v>139</v>
      </c>
      <c r="L21" s="121"/>
      <c r="M21" s="121"/>
    </row>
    <row r="22" spans="1:13">
      <c r="A22" s="4"/>
      <c r="B22" s="54"/>
      <c r="C22" s="5"/>
      <c r="D22" s="55"/>
      <c r="E22" s="54"/>
      <c r="F22" s="6"/>
      <c r="H22" s="132"/>
      <c r="I22" s="133"/>
      <c r="J22" s="134"/>
      <c r="K22" s="135"/>
      <c r="L22" s="133"/>
      <c r="M22" s="136"/>
    </row>
    <row r="23" spans="1:13">
      <c r="A23" s="99"/>
      <c r="B23" s="100"/>
      <c r="C23" s="101"/>
      <c r="D23" s="137"/>
      <c r="E23" s="100"/>
      <c r="F23" s="100"/>
      <c r="H23" s="103"/>
      <c r="I23" s="104"/>
      <c r="J23" s="104"/>
      <c r="K23" s="103"/>
      <c r="L23" s="103"/>
      <c r="M23" s="103"/>
    </row>
    <row r="24" spans="1:13">
      <c r="A24" s="103"/>
      <c r="B24" s="104"/>
      <c r="C24" s="104"/>
      <c r="D24" s="103"/>
      <c r="E24" s="100"/>
      <c r="F24" s="100"/>
      <c r="H24" s="103"/>
      <c r="I24" s="104"/>
      <c r="J24" s="104"/>
      <c r="K24" s="103"/>
      <c r="L24" s="103"/>
      <c r="M24" s="103"/>
    </row>
    <row r="25" spans="1:13">
      <c r="A25" s="76" t="s">
        <v>349</v>
      </c>
      <c r="B25" s="104"/>
      <c r="C25" s="105"/>
      <c r="D25" s="103"/>
      <c r="E25" s="100"/>
      <c r="F25" s="100"/>
      <c r="H25" s="103"/>
      <c r="I25" s="104"/>
      <c r="J25" s="105"/>
      <c r="K25" s="103"/>
      <c r="L25" s="99"/>
      <c r="M25" s="103"/>
    </row>
    <row r="26" spans="1:13">
      <c r="A26" s="76" t="s">
        <v>350</v>
      </c>
      <c r="B26" s="100"/>
      <c r="C26" s="100"/>
      <c r="D26" s="99"/>
      <c r="E26" s="100"/>
      <c r="F26" s="100"/>
      <c r="H26" s="103"/>
      <c r="I26" s="104"/>
      <c r="J26" s="104"/>
      <c r="K26" s="103"/>
      <c r="L26" s="103"/>
      <c r="M26" s="103"/>
    </row>
    <row r="27" spans="1:13">
      <c r="A27" s="76" t="s">
        <v>351</v>
      </c>
      <c r="H27" s="106"/>
      <c r="I27" s="107"/>
      <c r="J27" s="107"/>
      <c r="K27" s="108"/>
      <c r="L27" s="108"/>
      <c r="M27" s="108"/>
    </row>
    <row r="28" spans="1:13">
      <c r="A28" s="76" t="s">
        <v>352</v>
      </c>
      <c r="H28" s="108"/>
      <c r="I28" s="107"/>
      <c r="J28" s="107"/>
      <c r="K28" s="108"/>
      <c r="L28" s="108"/>
      <c r="M28" s="108"/>
    </row>
    <row r="29" spans="1:13">
      <c r="A29" s="77" t="s">
        <v>353</v>
      </c>
      <c r="H29" s="108"/>
      <c r="I29" s="107"/>
      <c r="J29" s="109"/>
      <c r="K29" s="108"/>
      <c r="L29" s="107"/>
      <c r="M29" s="110"/>
    </row>
    <row r="30" spans="1:13">
      <c r="H30" s="108"/>
      <c r="I30" s="107"/>
      <c r="J30" s="109"/>
      <c r="K30" s="108"/>
      <c r="L30" s="107"/>
      <c r="M30" s="110"/>
    </row>
    <row r="31" spans="1:13">
      <c r="H31" s="103"/>
      <c r="I31" s="104"/>
      <c r="J31" s="105"/>
      <c r="K31" s="103"/>
      <c r="L31" s="104"/>
      <c r="M31" s="111"/>
    </row>
    <row r="32" spans="1:13">
      <c r="H32" s="112"/>
      <c r="I32" s="113"/>
      <c r="J32" s="114"/>
      <c r="K32" s="138"/>
      <c r="L32" s="113"/>
      <c r="M32" s="116"/>
    </row>
    <row r="33" spans="8:13">
      <c r="H33" s="112"/>
      <c r="I33" s="113"/>
      <c r="J33" s="117"/>
      <c r="K33" s="138"/>
      <c r="L33" s="112"/>
      <c r="M33" s="112"/>
    </row>
  </sheetData>
  <sheetProtection password="E156" sheet="1" objects="1" scenarios="1"/>
  <customSheetViews>
    <customSheetView guid="{4A4D9229-7CAB-4D88-8487-AD510F689FCA}" scale="98">
      <selection activeCell="G36" sqref="G36"/>
      <pageMargins left="0.7" right="0.7" top="0.75" bottom="0.75" header="0.3" footer="0.3"/>
    </customSheetView>
  </customSheetViews>
  <mergeCells count="5">
    <mergeCell ref="J33:K33"/>
    <mergeCell ref="C23:D23"/>
    <mergeCell ref="J32:K32"/>
    <mergeCell ref="A5:F5"/>
    <mergeCell ref="H5:M5"/>
  </mergeCells>
  <pageMargins left="0.7" right="0.7" top="0.75" bottom="0.75" header="0.3" footer="0.3"/>
  <pageSetup scale="45" orientation="portrait" verticalDpi="1200" r:id="rId1"/>
  <ignoredErrors>
    <ignoredError sqref="J16:J18 J21" unlocked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L39"/>
  <sheetViews>
    <sheetView zoomScaleNormal="100" workbookViewId="0">
      <selection activeCell="M25" sqref="M25"/>
    </sheetView>
  </sheetViews>
  <sheetFormatPr defaultRowHeight="15"/>
  <cols>
    <col min="1" max="1" width="19.7109375" style="66" customWidth="1"/>
    <col min="2" max="2" width="8" style="65" customWidth="1"/>
    <col min="3" max="3" width="31.7109375" style="65" customWidth="1"/>
    <col min="4" max="4" width="13" style="66" customWidth="1"/>
    <col min="5" max="5" width="23.85546875" style="65" customWidth="1"/>
    <col min="6" max="6" width="5.85546875" style="66" customWidth="1"/>
    <col min="7" max="7" width="22.140625" style="66" customWidth="1"/>
    <col min="8" max="8" width="9.140625" style="65"/>
    <col min="9" max="9" width="11.28515625" style="65" bestFit="1" customWidth="1"/>
    <col min="10" max="10" width="13.5703125" style="66" customWidth="1"/>
    <col min="11" max="11" width="40.28515625" style="66" customWidth="1"/>
    <col min="12" max="16384" width="9.140625" style="66"/>
  </cols>
  <sheetData>
    <row r="1" spans="1:11">
      <c r="A1" s="75" t="s">
        <v>343</v>
      </c>
    </row>
    <row r="5" spans="1:11" ht="83.25" customHeight="1">
      <c r="A5" s="56" t="s">
        <v>297</v>
      </c>
      <c r="B5" s="56"/>
      <c r="C5" s="56"/>
      <c r="D5" s="56"/>
      <c r="E5" s="56"/>
      <c r="G5" s="80" t="s">
        <v>297</v>
      </c>
      <c r="H5" s="80"/>
      <c r="I5" s="80"/>
      <c r="J5" s="80"/>
      <c r="K5" s="80"/>
    </row>
    <row r="6" spans="1:11" s="118" customFormat="1">
      <c r="A6" s="26" t="s">
        <v>196</v>
      </c>
      <c r="B6" s="15"/>
      <c r="C6" s="15"/>
      <c r="D6" s="18"/>
      <c r="E6" s="15"/>
      <c r="G6" s="120" t="s">
        <v>196</v>
      </c>
      <c r="H6" s="121"/>
      <c r="I6" s="121"/>
      <c r="J6" s="124"/>
      <c r="K6" s="121"/>
    </row>
    <row r="7" spans="1:11" s="118" customFormat="1" ht="18.75">
      <c r="A7" s="19" t="s">
        <v>224</v>
      </c>
      <c r="B7" s="15" t="s">
        <v>1</v>
      </c>
      <c r="C7" s="34">
        <v>52</v>
      </c>
      <c r="D7" s="18" t="s">
        <v>204</v>
      </c>
      <c r="E7" s="15"/>
      <c r="G7" s="123" t="s">
        <v>224</v>
      </c>
      <c r="H7" s="121" t="s">
        <v>1</v>
      </c>
      <c r="I7" s="46">
        <v>52</v>
      </c>
      <c r="J7" s="124" t="s">
        <v>204</v>
      </c>
      <c r="K7" s="139"/>
    </row>
    <row r="8" spans="1:11" s="118" customFormat="1" ht="18.75">
      <c r="A8" s="19" t="s">
        <v>225</v>
      </c>
      <c r="B8" s="15" t="s">
        <v>1</v>
      </c>
      <c r="C8" s="34">
        <v>2</v>
      </c>
      <c r="D8" s="18" t="s">
        <v>204</v>
      </c>
      <c r="E8" s="15"/>
      <c r="G8" s="123" t="s">
        <v>225</v>
      </c>
      <c r="H8" s="121" t="s">
        <v>1</v>
      </c>
      <c r="I8" s="46">
        <v>2</v>
      </c>
      <c r="J8" s="124" t="s">
        <v>204</v>
      </c>
      <c r="K8" s="139"/>
    </row>
    <row r="9" spans="1:11" s="118" customFormat="1" ht="18.75">
      <c r="A9" s="19" t="s">
        <v>226</v>
      </c>
      <c r="B9" s="15" t="s">
        <v>1</v>
      </c>
      <c r="C9" s="15">
        <v>62.4</v>
      </c>
      <c r="D9" s="18" t="s">
        <v>204</v>
      </c>
      <c r="E9" s="15"/>
      <c r="G9" s="123" t="s">
        <v>226</v>
      </c>
      <c r="H9" s="121" t="s">
        <v>1</v>
      </c>
      <c r="I9" s="24">
        <v>62.4</v>
      </c>
      <c r="J9" s="124" t="s">
        <v>204</v>
      </c>
      <c r="K9" s="139"/>
    </row>
    <row r="10" spans="1:11" s="118" customFormat="1" ht="18.75">
      <c r="A10" s="19" t="s">
        <v>227</v>
      </c>
      <c r="B10" s="15" t="s">
        <v>1</v>
      </c>
      <c r="C10" s="15">
        <v>7.6399999999999996E-2</v>
      </c>
      <c r="D10" s="18" t="s">
        <v>204</v>
      </c>
      <c r="E10" s="15"/>
      <c r="G10" s="123" t="s">
        <v>227</v>
      </c>
      <c r="H10" s="121" t="s">
        <v>1</v>
      </c>
      <c r="I10" s="24">
        <v>7.6399999999999996E-2</v>
      </c>
      <c r="J10" s="124" t="s">
        <v>204</v>
      </c>
      <c r="K10" s="140"/>
    </row>
    <row r="11" spans="1:11" s="118" customFormat="1">
      <c r="A11" s="19" t="s">
        <v>90</v>
      </c>
      <c r="B11" s="15" t="s">
        <v>1</v>
      </c>
      <c r="C11" s="34">
        <v>20</v>
      </c>
      <c r="D11" s="18" t="s">
        <v>142</v>
      </c>
      <c r="E11" s="15"/>
      <c r="G11" s="123" t="s">
        <v>90</v>
      </c>
      <c r="H11" s="121" t="s">
        <v>1</v>
      </c>
      <c r="I11" s="46">
        <v>20</v>
      </c>
      <c r="J11" s="124" t="s">
        <v>142</v>
      </c>
      <c r="K11" s="140"/>
    </row>
    <row r="12" spans="1:11" s="118" customFormat="1" ht="16.5">
      <c r="A12" s="30" t="s">
        <v>228</v>
      </c>
      <c r="B12" s="15" t="s">
        <v>1</v>
      </c>
      <c r="C12" s="28">
        <v>72.400000000000006</v>
      </c>
      <c r="D12" s="18" t="s">
        <v>142</v>
      </c>
      <c r="E12" s="15"/>
      <c r="G12" s="141" t="s">
        <v>228</v>
      </c>
      <c r="H12" s="121" t="s">
        <v>1</v>
      </c>
      <c r="I12" s="24">
        <v>72.400000000000006</v>
      </c>
      <c r="J12" s="124" t="s">
        <v>142</v>
      </c>
      <c r="K12" s="140"/>
    </row>
    <row r="13" spans="1:11" s="118" customFormat="1" ht="18.75">
      <c r="A13" s="19" t="s">
        <v>215</v>
      </c>
      <c r="B13" s="15" t="s">
        <v>1</v>
      </c>
      <c r="C13" s="15">
        <v>0.17</v>
      </c>
      <c r="D13" s="18" t="s">
        <v>216</v>
      </c>
      <c r="E13" s="15"/>
      <c r="G13" s="123" t="s">
        <v>215</v>
      </c>
      <c r="H13" s="121" t="s">
        <v>1</v>
      </c>
      <c r="I13" s="24">
        <v>0.17</v>
      </c>
      <c r="J13" s="124" t="s">
        <v>216</v>
      </c>
      <c r="K13" s="121"/>
    </row>
    <row r="14" spans="1:11" s="118" customFormat="1" ht="18.75">
      <c r="A14" s="19" t="s">
        <v>217</v>
      </c>
      <c r="B14" s="15" t="s">
        <v>1</v>
      </c>
      <c r="C14" s="16">
        <v>0.5</v>
      </c>
      <c r="D14" s="18" t="s">
        <v>216</v>
      </c>
      <c r="E14" s="15"/>
      <c r="G14" s="123" t="s">
        <v>217</v>
      </c>
      <c r="H14" s="121" t="s">
        <v>1</v>
      </c>
      <c r="I14" s="35">
        <v>0.5</v>
      </c>
      <c r="J14" s="124" t="s">
        <v>216</v>
      </c>
      <c r="K14" s="121"/>
    </row>
    <row r="15" spans="1:11" s="118" customFormat="1">
      <c r="A15" s="19" t="s">
        <v>6</v>
      </c>
      <c r="B15" s="15" t="s">
        <v>1</v>
      </c>
      <c r="C15" s="16">
        <v>8</v>
      </c>
      <c r="D15" s="18" t="s">
        <v>140</v>
      </c>
      <c r="E15" s="15"/>
      <c r="G15" s="123" t="s">
        <v>6</v>
      </c>
      <c r="H15" s="121" t="s">
        <v>1</v>
      </c>
      <c r="I15" s="35">
        <v>8</v>
      </c>
      <c r="J15" s="124" t="s">
        <v>140</v>
      </c>
      <c r="K15" s="121"/>
    </row>
    <row r="16" spans="1:11" s="118" customFormat="1">
      <c r="A16" s="26" t="s">
        <v>298</v>
      </c>
      <c r="B16" s="15"/>
      <c r="C16" s="15"/>
      <c r="D16" s="18"/>
      <c r="E16" s="15"/>
      <c r="G16" s="120" t="s">
        <v>298</v>
      </c>
      <c r="H16" s="121"/>
      <c r="I16" s="121"/>
      <c r="J16" s="124"/>
      <c r="K16" s="121"/>
    </row>
    <row r="17" spans="1:12" s="118" customFormat="1" ht="16.5">
      <c r="A17" s="19" t="s">
        <v>229</v>
      </c>
      <c r="B17" s="15" t="s">
        <v>1</v>
      </c>
      <c r="C17" s="15" t="s">
        <v>299</v>
      </c>
      <c r="D17" s="15"/>
      <c r="E17" s="15"/>
      <c r="G17" s="123" t="s">
        <v>229</v>
      </c>
      <c r="H17" s="121" t="s">
        <v>1</v>
      </c>
      <c r="I17" s="127">
        <f>((I7*I12)/(I9*I11))^0.25</f>
        <v>1.3178980977355836</v>
      </c>
      <c r="J17" s="121"/>
      <c r="K17" s="121"/>
    </row>
    <row r="18" spans="1:12" s="118" customFormat="1" ht="18.75">
      <c r="A18" s="19" t="s">
        <v>230</v>
      </c>
      <c r="B18" s="15" t="s">
        <v>1</v>
      </c>
      <c r="C18" s="15" t="s">
        <v>231</v>
      </c>
      <c r="D18" s="15"/>
      <c r="E18" s="15"/>
      <c r="G18" s="123" t="s">
        <v>230</v>
      </c>
      <c r="H18" s="121" t="s">
        <v>1</v>
      </c>
      <c r="I18" s="127">
        <f>(I8/I10)^0.333*I17</f>
        <v>3.9089015399884492</v>
      </c>
      <c r="J18" s="121"/>
      <c r="K18" s="121"/>
    </row>
    <row r="19" spans="1:12" s="118" customFormat="1" ht="18">
      <c r="A19" s="19" t="s">
        <v>2</v>
      </c>
      <c r="B19" s="15" t="s">
        <v>1</v>
      </c>
      <c r="C19" s="15" t="s">
        <v>300</v>
      </c>
      <c r="D19" s="20" t="s">
        <v>222</v>
      </c>
      <c r="E19" s="15"/>
      <c r="G19" s="123" t="s">
        <v>2</v>
      </c>
      <c r="H19" s="121" t="s">
        <v>1</v>
      </c>
      <c r="I19" s="127">
        <f>(PI()*(I15/12)^2)/4</f>
        <v>0.3490658503988659</v>
      </c>
      <c r="J19" s="128" t="s">
        <v>222</v>
      </c>
      <c r="K19" s="121"/>
    </row>
    <row r="20" spans="1:12" s="118" customFormat="1" ht="16.5">
      <c r="A20" s="19" t="s">
        <v>218</v>
      </c>
      <c r="B20" s="15" t="s">
        <v>1</v>
      </c>
      <c r="C20" s="15" t="s">
        <v>232</v>
      </c>
      <c r="D20" s="20" t="s">
        <v>143</v>
      </c>
      <c r="E20" s="15"/>
      <c r="G20" s="123" t="s">
        <v>218</v>
      </c>
      <c r="H20" s="121" t="s">
        <v>1</v>
      </c>
      <c r="I20" s="127">
        <f>I14/I19</f>
        <v>1.432394487827058</v>
      </c>
      <c r="J20" s="128" t="s">
        <v>143</v>
      </c>
      <c r="K20" s="121"/>
    </row>
    <row r="21" spans="1:12" s="118" customFormat="1" ht="16.5">
      <c r="A21" s="19" t="s">
        <v>219</v>
      </c>
      <c r="B21" s="15" t="s">
        <v>1</v>
      </c>
      <c r="C21" s="15" t="s">
        <v>233</v>
      </c>
      <c r="D21" s="20" t="s">
        <v>143</v>
      </c>
      <c r="E21" s="15"/>
      <c r="G21" s="123" t="s">
        <v>219</v>
      </c>
      <c r="H21" s="121" t="s">
        <v>1</v>
      </c>
      <c r="I21" s="127">
        <f>I13/I19</f>
        <v>0.4870141258611998</v>
      </c>
      <c r="J21" s="128" t="s">
        <v>143</v>
      </c>
      <c r="K21" s="121"/>
    </row>
    <row r="22" spans="1:12" s="118" customFormat="1" ht="16.5">
      <c r="A22" s="19" t="s">
        <v>220</v>
      </c>
      <c r="B22" s="15" t="s">
        <v>1</v>
      </c>
      <c r="C22" s="15" t="s">
        <v>301</v>
      </c>
      <c r="D22" s="20" t="s">
        <v>143</v>
      </c>
      <c r="E22" s="15"/>
      <c r="G22" s="123" t="s">
        <v>220</v>
      </c>
      <c r="H22" s="121" t="s">
        <v>1</v>
      </c>
      <c r="I22" s="127">
        <f>I20*I18</f>
        <v>5.5990890193381535</v>
      </c>
      <c r="J22" s="128" t="s">
        <v>143</v>
      </c>
      <c r="K22" s="121"/>
    </row>
    <row r="23" spans="1:12" s="118" customFormat="1" ht="16.5">
      <c r="A23" s="19" t="s">
        <v>221</v>
      </c>
      <c r="B23" s="15" t="s">
        <v>1</v>
      </c>
      <c r="C23" s="15" t="s">
        <v>302</v>
      </c>
      <c r="D23" s="20" t="s">
        <v>143</v>
      </c>
      <c r="E23" s="15"/>
      <c r="G23" s="123" t="s">
        <v>221</v>
      </c>
      <c r="H23" s="121" t="s">
        <v>1</v>
      </c>
      <c r="I23" s="127">
        <f>I21*I17</f>
        <v>0.64183499004283329</v>
      </c>
      <c r="J23" s="128" t="s">
        <v>143</v>
      </c>
      <c r="K23" s="121"/>
    </row>
    <row r="24" spans="1:12" s="118" customFormat="1">
      <c r="A24" s="19"/>
      <c r="B24" s="15"/>
      <c r="C24" s="15"/>
      <c r="D24" s="20"/>
      <c r="E24" s="15"/>
      <c r="G24" s="123"/>
      <c r="H24" s="121"/>
      <c r="I24" s="127"/>
      <c r="J24" s="128"/>
      <c r="K24" s="121"/>
    </row>
    <row r="25" spans="1:12" s="118" customFormat="1">
      <c r="A25" s="25" t="s">
        <v>144</v>
      </c>
      <c r="B25" s="25"/>
      <c r="C25" s="15"/>
      <c r="D25" s="25"/>
      <c r="E25" s="25"/>
      <c r="G25" s="129" t="s">
        <v>144</v>
      </c>
      <c r="H25" s="129"/>
      <c r="I25" s="129"/>
      <c r="J25" s="129"/>
      <c r="K25" s="129"/>
    </row>
    <row r="26" spans="1:12" s="118" customFormat="1" ht="16.5" customHeight="1">
      <c r="A26" s="19" t="s">
        <v>223</v>
      </c>
      <c r="B26" s="15" t="s">
        <v>1</v>
      </c>
      <c r="C26" s="22" t="s">
        <v>145</v>
      </c>
      <c r="D26" s="60"/>
      <c r="E26" s="60"/>
      <c r="G26" s="123" t="s">
        <v>223</v>
      </c>
      <c r="H26" s="121" t="s">
        <v>1</v>
      </c>
      <c r="I26" s="31" t="s">
        <v>145</v>
      </c>
      <c r="J26" s="142"/>
      <c r="K26" s="142"/>
      <c r="L26" s="143"/>
    </row>
    <row r="27" spans="1:12" s="118" customFormat="1">
      <c r="A27" s="19" t="s">
        <v>234</v>
      </c>
      <c r="B27" s="15" t="s">
        <v>1</v>
      </c>
      <c r="C27" s="22" t="s">
        <v>235</v>
      </c>
      <c r="D27" s="25"/>
      <c r="E27" s="15"/>
      <c r="G27" s="123" t="s">
        <v>234</v>
      </c>
      <c r="H27" s="121" t="s">
        <v>1</v>
      </c>
      <c r="I27" s="33" t="s">
        <v>235</v>
      </c>
      <c r="J27" s="129"/>
      <c r="K27" s="121"/>
    </row>
    <row r="28" spans="1:12">
      <c r="A28" s="4"/>
      <c r="B28" s="54"/>
      <c r="C28" s="58"/>
      <c r="D28" s="59"/>
      <c r="E28" s="54"/>
      <c r="G28" s="85"/>
      <c r="H28" s="82"/>
      <c r="I28" s="82"/>
      <c r="J28" s="85"/>
      <c r="K28" s="85"/>
    </row>
    <row r="29" spans="1:12">
      <c r="A29" s="99"/>
      <c r="B29" s="100"/>
      <c r="C29" s="100"/>
      <c r="D29" s="144"/>
      <c r="E29" s="100"/>
      <c r="G29" s="103"/>
      <c r="H29" s="104"/>
      <c r="I29" s="104"/>
      <c r="J29" s="103"/>
      <c r="K29" s="103"/>
    </row>
    <row r="30" spans="1:12">
      <c r="A30" s="103"/>
      <c r="B30" s="104"/>
      <c r="C30" s="104"/>
      <c r="D30" s="103"/>
      <c r="E30" s="100"/>
      <c r="G30" s="103"/>
      <c r="H30" s="104"/>
      <c r="I30" s="104"/>
      <c r="J30" s="103"/>
      <c r="K30" s="103"/>
    </row>
    <row r="31" spans="1:12">
      <c r="A31" s="76" t="s">
        <v>349</v>
      </c>
      <c r="B31" s="104"/>
      <c r="C31" s="105"/>
      <c r="D31" s="103"/>
      <c r="E31" s="100"/>
      <c r="G31" s="103"/>
      <c r="H31" s="104"/>
      <c r="I31" s="105"/>
      <c r="J31" s="103"/>
      <c r="K31" s="99"/>
    </row>
    <row r="32" spans="1:12">
      <c r="A32" s="76" t="s">
        <v>350</v>
      </c>
      <c r="B32" s="100"/>
      <c r="C32" s="100"/>
      <c r="D32" s="99"/>
      <c r="E32" s="100"/>
      <c r="G32" s="103"/>
      <c r="H32" s="104"/>
      <c r="I32" s="104"/>
      <c r="J32" s="103"/>
      <c r="K32" s="103"/>
    </row>
    <row r="33" spans="1:11">
      <c r="A33" s="76" t="s">
        <v>351</v>
      </c>
      <c r="G33" s="106"/>
      <c r="H33" s="107"/>
      <c r="I33" s="107"/>
      <c r="J33" s="108"/>
      <c r="K33" s="108"/>
    </row>
    <row r="34" spans="1:11">
      <c r="A34" s="76" t="s">
        <v>352</v>
      </c>
      <c r="G34" s="108"/>
      <c r="H34" s="107"/>
      <c r="I34" s="107"/>
      <c r="J34" s="108"/>
      <c r="K34" s="108"/>
    </row>
    <row r="35" spans="1:11">
      <c r="A35" s="77" t="s">
        <v>353</v>
      </c>
      <c r="G35" s="108"/>
      <c r="H35" s="107"/>
      <c r="I35" s="109"/>
      <c r="J35" s="108"/>
      <c r="K35" s="107"/>
    </row>
    <row r="36" spans="1:11">
      <c r="G36" s="108"/>
      <c r="H36" s="107"/>
      <c r="I36" s="109"/>
      <c r="J36" s="108"/>
      <c r="K36" s="107"/>
    </row>
    <row r="37" spans="1:11">
      <c r="G37" s="103"/>
      <c r="H37" s="104"/>
      <c r="I37" s="105"/>
      <c r="J37" s="103"/>
      <c r="K37" s="104"/>
    </row>
    <row r="38" spans="1:11">
      <c r="G38" s="112"/>
      <c r="H38" s="113"/>
      <c r="I38" s="114"/>
      <c r="J38" s="138"/>
      <c r="K38" s="113"/>
    </row>
    <row r="39" spans="1:11">
      <c r="G39" s="112"/>
      <c r="H39" s="113"/>
      <c r="I39" s="117"/>
      <c r="J39" s="138"/>
      <c r="K39" s="112"/>
    </row>
  </sheetData>
  <sheetProtection password="E156" sheet="1" objects="1" scenarios="1"/>
  <customSheetViews>
    <customSheetView guid="{4A4D9229-7CAB-4D88-8487-AD510F689FCA}" scale="85" topLeftCell="A31">
      <selection activeCell="H62" sqref="H62"/>
      <pageMargins left="0.7" right="0.7" top="0.75" bottom="0.75" header="0.3" footer="0.3"/>
    </customSheetView>
  </customSheetViews>
  <mergeCells count="6">
    <mergeCell ref="I39:J39"/>
    <mergeCell ref="C28:D28"/>
    <mergeCell ref="I38:J38"/>
    <mergeCell ref="D26:E26"/>
    <mergeCell ref="A5:E5"/>
    <mergeCell ref="G5:K5"/>
  </mergeCells>
  <pageMargins left="0.7" right="0.7" top="0.75" bottom="0.75" header="0.3" footer="0.3"/>
  <pageSetup scale="46" orientation="portrait" horizontalDpi="1200" verticalDpi="1200" r:id="rId1"/>
  <ignoredErrors>
    <ignoredError sqref="I17:I23" unlocked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K62"/>
  <sheetViews>
    <sheetView zoomScaleNormal="100" workbookViewId="0">
      <selection activeCell="E2" sqref="E2"/>
    </sheetView>
  </sheetViews>
  <sheetFormatPr defaultRowHeight="15"/>
  <cols>
    <col min="1" max="1" width="16.5703125" style="145" customWidth="1"/>
    <col min="2" max="2" width="9.140625" style="65"/>
    <col min="3" max="3" width="69.140625" style="65" bestFit="1" customWidth="1"/>
    <col min="4" max="4" width="12.140625" style="66" bestFit="1" customWidth="1"/>
    <col min="5" max="5" width="15" style="66" customWidth="1"/>
    <col min="6" max="6" width="3.7109375" style="66" customWidth="1"/>
    <col min="7" max="7" width="24.140625" style="66" customWidth="1"/>
    <col min="8" max="8" width="10.7109375" style="65" customWidth="1"/>
    <col min="9" max="9" width="24.85546875" style="65" customWidth="1"/>
    <col min="10" max="10" width="12.140625" style="66" bestFit="1" customWidth="1"/>
    <col min="11" max="11" width="47.28515625" style="66" customWidth="1"/>
    <col min="12" max="16384" width="9.140625" style="66"/>
  </cols>
  <sheetData>
    <row r="1" spans="1:11">
      <c r="A1" s="75" t="s">
        <v>343</v>
      </c>
    </row>
    <row r="5" spans="1:11" s="118" customFormat="1" ht="93.75" customHeight="1">
      <c r="A5" s="61" t="s">
        <v>315</v>
      </c>
      <c r="B5" s="61"/>
      <c r="C5" s="61"/>
      <c r="D5" s="61"/>
      <c r="E5" s="61"/>
      <c r="G5" s="146" t="s">
        <v>315</v>
      </c>
      <c r="H5" s="146"/>
      <c r="I5" s="146"/>
      <c r="J5" s="146"/>
      <c r="K5" s="146"/>
    </row>
    <row r="6" spans="1:11" s="118" customFormat="1">
      <c r="A6" s="26" t="s">
        <v>196</v>
      </c>
      <c r="B6" s="15"/>
      <c r="C6" s="15"/>
      <c r="D6" s="18"/>
      <c r="E6" s="18"/>
      <c r="G6" s="120" t="s">
        <v>196</v>
      </c>
      <c r="H6" s="121"/>
      <c r="I6" s="121"/>
      <c r="J6" s="124"/>
      <c r="K6" s="124"/>
    </row>
    <row r="7" spans="1:11" s="118" customFormat="1">
      <c r="A7" s="19" t="s">
        <v>6</v>
      </c>
      <c r="B7" s="15" t="s">
        <v>1</v>
      </c>
      <c r="C7" s="34">
        <v>6</v>
      </c>
      <c r="D7" s="18" t="s">
        <v>140</v>
      </c>
      <c r="E7" s="18"/>
      <c r="G7" s="123" t="s">
        <v>6</v>
      </c>
      <c r="H7" s="121" t="s">
        <v>1</v>
      </c>
      <c r="I7" s="46">
        <v>6</v>
      </c>
      <c r="J7" s="124" t="s">
        <v>140</v>
      </c>
      <c r="K7" s="124"/>
    </row>
    <row r="8" spans="1:11" s="118" customFormat="1" ht="16.5">
      <c r="A8" s="19" t="s">
        <v>236</v>
      </c>
      <c r="B8" s="15" t="s">
        <v>1</v>
      </c>
      <c r="C8" s="15">
        <v>0.75</v>
      </c>
      <c r="D8" s="18" t="s">
        <v>148</v>
      </c>
      <c r="E8" s="18"/>
      <c r="G8" s="123" t="s">
        <v>236</v>
      </c>
      <c r="H8" s="121" t="s">
        <v>1</v>
      </c>
      <c r="I8" s="24">
        <v>0.75</v>
      </c>
      <c r="J8" s="124" t="s">
        <v>148</v>
      </c>
      <c r="K8" s="124"/>
    </row>
    <row r="9" spans="1:11" s="118" customFormat="1" ht="16.5">
      <c r="A9" s="48" t="s">
        <v>273</v>
      </c>
      <c r="B9" s="15" t="s">
        <v>1</v>
      </c>
      <c r="C9" s="15">
        <v>100</v>
      </c>
      <c r="D9" s="18" t="s">
        <v>149</v>
      </c>
      <c r="E9" s="18"/>
      <c r="G9" s="147" t="s">
        <v>273</v>
      </c>
      <c r="H9" s="121" t="s">
        <v>1</v>
      </c>
      <c r="I9" s="24">
        <v>100</v>
      </c>
      <c r="J9" s="124" t="s">
        <v>149</v>
      </c>
      <c r="K9" s="124"/>
    </row>
    <row r="10" spans="1:11" s="118" customFormat="1" ht="16.5">
      <c r="A10" s="19" t="s">
        <v>237</v>
      </c>
      <c r="B10" s="15" t="s">
        <v>1</v>
      </c>
      <c r="C10" s="22">
        <v>400</v>
      </c>
      <c r="D10" s="18" t="s">
        <v>134</v>
      </c>
      <c r="E10" s="18"/>
      <c r="G10" s="123" t="s">
        <v>237</v>
      </c>
      <c r="H10" s="121" t="s">
        <v>1</v>
      </c>
      <c r="I10" s="33">
        <v>400</v>
      </c>
      <c r="J10" s="124" t="s">
        <v>134</v>
      </c>
      <c r="K10" s="124"/>
    </row>
    <row r="11" spans="1:11" s="118" customFormat="1" ht="16.5">
      <c r="A11" s="32" t="s">
        <v>238</v>
      </c>
      <c r="B11" s="15" t="s">
        <v>1</v>
      </c>
      <c r="C11" s="52">
        <v>20</v>
      </c>
      <c r="D11" s="18" t="s">
        <v>150</v>
      </c>
      <c r="E11" s="18"/>
      <c r="G11" s="125" t="s">
        <v>238</v>
      </c>
      <c r="H11" s="121" t="s">
        <v>1</v>
      </c>
      <c r="I11" s="46">
        <v>20</v>
      </c>
      <c r="J11" s="124" t="s">
        <v>150</v>
      </c>
      <c r="K11" s="124"/>
    </row>
    <row r="12" spans="1:11" s="118" customFormat="1" ht="16.5">
      <c r="A12" s="32" t="s">
        <v>239</v>
      </c>
      <c r="B12" s="15" t="s">
        <v>1</v>
      </c>
      <c r="C12" s="15">
        <v>1.4999999999999999E-2</v>
      </c>
      <c r="D12" s="18" t="s">
        <v>150</v>
      </c>
      <c r="E12" s="18"/>
      <c r="G12" s="125" t="s">
        <v>239</v>
      </c>
      <c r="H12" s="121" t="s">
        <v>1</v>
      </c>
      <c r="I12" s="24">
        <v>1.4999999999999999E-2</v>
      </c>
      <c r="J12" s="124" t="s">
        <v>150</v>
      </c>
      <c r="K12" s="124"/>
    </row>
    <row r="13" spans="1:11" s="118" customFormat="1">
      <c r="A13" s="14" t="s">
        <v>90</v>
      </c>
      <c r="B13" s="15" t="s">
        <v>1</v>
      </c>
      <c r="C13" s="52">
        <v>15</v>
      </c>
      <c r="D13" s="18" t="s">
        <v>142</v>
      </c>
      <c r="E13" s="18"/>
      <c r="G13" s="126" t="s">
        <v>90</v>
      </c>
      <c r="H13" s="121" t="s">
        <v>1</v>
      </c>
      <c r="I13" s="53">
        <v>15</v>
      </c>
      <c r="J13" s="124" t="s">
        <v>142</v>
      </c>
      <c r="K13" s="124"/>
    </row>
    <row r="14" spans="1:11" s="118" customFormat="1" ht="18.75">
      <c r="A14" s="19" t="s">
        <v>215</v>
      </c>
      <c r="B14" s="15" t="s">
        <v>1</v>
      </c>
      <c r="C14" s="52">
        <v>10</v>
      </c>
      <c r="D14" s="18" t="s">
        <v>240</v>
      </c>
      <c r="E14" s="18"/>
      <c r="G14" s="123" t="s">
        <v>215</v>
      </c>
      <c r="H14" s="121" t="s">
        <v>1</v>
      </c>
      <c r="I14" s="53">
        <v>10</v>
      </c>
      <c r="J14" s="124" t="s">
        <v>240</v>
      </c>
      <c r="K14" s="124"/>
    </row>
    <row r="15" spans="1:11" s="118" customFormat="1" ht="18.75">
      <c r="A15" s="19" t="s">
        <v>217</v>
      </c>
      <c r="B15" s="15" t="s">
        <v>1</v>
      </c>
      <c r="C15" s="52">
        <v>250</v>
      </c>
      <c r="D15" s="18" t="s">
        <v>267</v>
      </c>
      <c r="E15" s="18"/>
      <c r="G15" s="123" t="s">
        <v>217</v>
      </c>
      <c r="H15" s="121" t="s">
        <v>1</v>
      </c>
      <c r="I15" s="53">
        <v>250</v>
      </c>
      <c r="J15" s="124" t="s">
        <v>267</v>
      </c>
      <c r="K15" s="124"/>
    </row>
    <row r="16" spans="1:11" s="118" customFormat="1" ht="18.75">
      <c r="A16" s="32" t="s">
        <v>213</v>
      </c>
      <c r="B16" s="15" t="s">
        <v>1</v>
      </c>
      <c r="C16" s="16">
        <v>55</v>
      </c>
      <c r="D16" s="18" t="s">
        <v>204</v>
      </c>
      <c r="E16" s="18"/>
      <c r="G16" s="125" t="s">
        <v>213</v>
      </c>
      <c r="H16" s="121" t="s">
        <v>1</v>
      </c>
      <c r="I16" s="35">
        <v>55</v>
      </c>
      <c r="J16" s="124" t="s">
        <v>204</v>
      </c>
      <c r="K16" s="124"/>
    </row>
    <row r="17" spans="1:11" s="118" customFormat="1" ht="18.75">
      <c r="A17" s="32" t="s">
        <v>214</v>
      </c>
      <c r="B17" s="15" t="s">
        <v>1</v>
      </c>
      <c r="C17" s="16">
        <v>1.3</v>
      </c>
      <c r="D17" s="18" t="s">
        <v>204</v>
      </c>
      <c r="E17" s="18"/>
      <c r="G17" s="125" t="s">
        <v>214</v>
      </c>
      <c r="H17" s="121" t="s">
        <v>1</v>
      </c>
      <c r="I17" s="35">
        <v>1.3</v>
      </c>
      <c r="J17" s="124" t="s">
        <v>204</v>
      </c>
      <c r="K17" s="124"/>
    </row>
    <row r="18" spans="1:11" s="118" customFormat="1" ht="16.5">
      <c r="A18" s="19" t="s">
        <v>241</v>
      </c>
      <c r="B18" s="15" t="s">
        <v>1</v>
      </c>
      <c r="C18" s="15">
        <v>14.73</v>
      </c>
      <c r="D18" s="18" t="s">
        <v>134</v>
      </c>
      <c r="E18" s="18"/>
      <c r="G18" s="123" t="s">
        <v>241</v>
      </c>
      <c r="H18" s="121" t="s">
        <v>1</v>
      </c>
      <c r="I18" s="121">
        <v>14.73</v>
      </c>
      <c r="J18" s="124" t="s">
        <v>134</v>
      </c>
      <c r="K18" s="124"/>
    </row>
    <row r="19" spans="1:11" s="118" customFormat="1">
      <c r="A19" s="26" t="s">
        <v>298</v>
      </c>
      <c r="B19" s="15"/>
      <c r="C19" s="15"/>
      <c r="D19" s="18"/>
      <c r="E19" s="18"/>
      <c r="G19" s="120" t="s">
        <v>298</v>
      </c>
      <c r="H19" s="121"/>
      <c r="I19" s="121"/>
      <c r="J19" s="124"/>
      <c r="K19" s="124"/>
    </row>
    <row r="20" spans="1:11" s="118" customFormat="1">
      <c r="A20" s="14" t="s">
        <v>88</v>
      </c>
      <c r="B20" s="15" t="s">
        <v>1</v>
      </c>
      <c r="C20" s="15" t="s">
        <v>268</v>
      </c>
      <c r="D20" s="15"/>
      <c r="E20" s="20" t="s">
        <v>316</v>
      </c>
      <c r="G20" s="126" t="s">
        <v>88</v>
      </c>
      <c r="H20" s="121" t="s">
        <v>1</v>
      </c>
      <c r="I20" s="148">
        <f>I14/(I15+I14)</f>
        <v>3.8461538461538464E-2</v>
      </c>
      <c r="J20" s="121"/>
      <c r="K20" s="128" t="s">
        <v>316</v>
      </c>
    </row>
    <row r="21" spans="1:11" s="118" customFormat="1" ht="16.5">
      <c r="A21" s="19" t="s">
        <v>242</v>
      </c>
      <c r="B21" s="15" t="s">
        <v>1</v>
      </c>
      <c r="C21" s="15" t="s">
        <v>303</v>
      </c>
      <c r="D21" s="20" t="s">
        <v>150</v>
      </c>
      <c r="E21" s="20" t="s">
        <v>339</v>
      </c>
      <c r="G21" s="123" t="s">
        <v>242</v>
      </c>
      <c r="H21" s="121" t="s">
        <v>1</v>
      </c>
      <c r="I21" s="148">
        <f>(I11*I20)+(I12*(1-I20))</f>
        <v>0.78365384615384615</v>
      </c>
      <c r="J21" s="128" t="s">
        <v>150</v>
      </c>
      <c r="K21" s="128" t="s">
        <v>339</v>
      </c>
    </row>
    <row r="22" spans="1:11" s="118" customFormat="1" ht="16.5">
      <c r="A22" s="19" t="s">
        <v>260</v>
      </c>
      <c r="B22" s="15" t="s">
        <v>1</v>
      </c>
      <c r="C22" s="15">
        <v>3.7999999999999999E-2</v>
      </c>
      <c r="D22" s="18"/>
      <c r="E22" s="18"/>
      <c r="G22" s="123" t="s">
        <v>260</v>
      </c>
      <c r="H22" s="121" t="s">
        <v>1</v>
      </c>
      <c r="I22" s="148">
        <f>I20</f>
        <v>3.8461538461538464E-2</v>
      </c>
      <c r="J22" s="124"/>
      <c r="K22" s="124"/>
    </row>
    <row r="23" spans="1:11" s="118" customFormat="1" ht="18.75">
      <c r="A23" s="19" t="s">
        <v>243</v>
      </c>
      <c r="B23" s="15" t="s">
        <v>1</v>
      </c>
      <c r="C23" s="15" t="s">
        <v>317</v>
      </c>
      <c r="D23" s="20" t="s">
        <v>204</v>
      </c>
      <c r="E23" s="20" t="s">
        <v>338</v>
      </c>
      <c r="G23" s="123" t="s">
        <v>243</v>
      </c>
      <c r="H23" s="121" t="s">
        <v>1</v>
      </c>
      <c r="I23" s="127">
        <f>((I16*I20^2)/I20)+((I17*(1-I20)^2)/(1-I20))</f>
        <v>3.3653846153846154</v>
      </c>
      <c r="J23" s="128" t="s">
        <v>204</v>
      </c>
      <c r="K23" s="128" t="s">
        <v>338</v>
      </c>
    </row>
    <row r="24" spans="1:11" s="118" customFormat="1" ht="18">
      <c r="A24" s="19" t="s">
        <v>2</v>
      </c>
      <c r="B24" s="15" t="s">
        <v>1</v>
      </c>
      <c r="C24" s="15" t="s">
        <v>318</v>
      </c>
      <c r="D24" s="20" t="s">
        <v>222</v>
      </c>
      <c r="E24" s="20"/>
      <c r="G24" s="123" t="s">
        <v>2</v>
      </c>
      <c r="H24" s="121" t="s">
        <v>1</v>
      </c>
      <c r="I24" s="148">
        <f>(PI()*(I7/12)^2)/4</f>
        <v>0.19634954084936207</v>
      </c>
      <c r="J24" s="128" t="s">
        <v>222</v>
      </c>
      <c r="K24" s="128"/>
    </row>
    <row r="25" spans="1:11" s="118" customFormat="1" ht="16.5">
      <c r="A25" s="19" t="s">
        <v>219</v>
      </c>
      <c r="B25" s="15" t="s">
        <v>1</v>
      </c>
      <c r="C25" s="15" t="s">
        <v>319</v>
      </c>
      <c r="D25" s="20" t="s">
        <v>143</v>
      </c>
      <c r="E25" s="20" t="s">
        <v>340</v>
      </c>
      <c r="G25" s="123" t="s">
        <v>219</v>
      </c>
      <c r="H25" s="121" t="s">
        <v>1</v>
      </c>
      <c r="I25" s="127">
        <f>I14/60/I24</f>
        <v>0.84882636315677507</v>
      </c>
      <c r="J25" s="128" t="s">
        <v>143</v>
      </c>
      <c r="K25" s="128" t="s">
        <v>340</v>
      </c>
    </row>
    <row r="26" spans="1:11" s="118" customFormat="1" ht="16.5">
      <c r="A26" s="19" t="s">
        <v>218</v>
      </c>
      <c r="B26" s="15" t="s">
        <v>1</v>
      </c>
      <c r="C26" s="15" t="s">
        <v>320</v>
      </c>
      <c r="D26" s="20" t="s">
        <v>143</v>
      </c>
      <c r="E26" s="20" t="s">
        <v>341</v>
      </c>
      <c r="G26" s="123" t="s">
        <v>218</v>
      </c>
      <c r="H26" s="121" t="s">
        <v>1</v>
      </c>
      <c r="I26" s="127">
        <f>I15/60/I24</f>
        <v>21.220659078919379</v>
      </c>
      <c r="J26" s="128" t="s">
        <v>143</v>
      </c>
      <c r="K26" s="128" t="s">
        <v>341</v>
      </c>
    </row>
    <row r="27" spans="1:11" s="118" customFormat="1" ht="16.5">
      <c r="A27" s="19" t="s">
        <v>244</v>
      </c>
      <c r="B27" s="15" t="s">
        <v>1</v>
      </c>
      <c r="C27" s="15" t="s">
        <v>321</v>
      </c>
      <c r="D27" s="20" t="s">
        <v>143</v>
      </c>
      <c r="E27" s="20" t="s">
        <v>342</v>
      </c>
      <c r="G27" s="123" t="s">
        <v>244</v>
      </c>
      <c r="H27" s="121" t="s">
        <v>1</v>
      </c>
      <c r="I27" s="127">
        <f>I25+I26</f>
        <v>22.069485442076154</v>
      </c>
      <c r="J27" s="128" t="s">
        <v>143</v>
      </c>
      <c r="K27" s="128" t="s">
        <v>342</v>
      </c>
    </row>
    <row r="28" spans="1:11" s="118" customFormat="1" ht="17.25" customHeight="1">
      <c r="A28" s="19" t="s">
        <v>246</v>
      </c>
      <c r="B28" s="15" t="s">
        <v>1</v>
      </c>
      <c r="C28" s="15" t="s">
        <v>304</v>
      </c>
      <c r="D28" s="20"/>
      <c r="E28" s="20" t="s">
        <v>335</v>
      </c>
      <c r="G28" s="123" t="s">
        <v>246</v>
      </c>
      <c r="H28" s="121" t="s">
        <v>1</v>
      </c>
      <c r="I28" s="149">
        <f>(124*I23*I27*I7)/I21</f>
        <v>70514.036921676452</v>
      </c>
      <c r="J28" s="128"/>
      <c r="K28" s="128" t="s">
        <v>335</v>
      </c>
    </row>
    <row r="29" spans="1:11" s="118" customFormat="1" ht="16.5">
      <c r="A29" s="19" t="s">
        <v>325</v>
      </c>
      <c r="B29" s="15" t="s">
        <v>1</v>
      </c>
      <c r="C29" s="15">
        <v>0.12</v>
      </c>
      <c r="D29" s="51"/>
      <c r="E29" s="20" t="s">
        <v>261</v>
      </c>
      <c r="G29" s="123" t="s">
        <v>325</v>
      </c>
      <c r="H29" s="121" t="s">
        <v>1</v>
      </c>
      <c r="I29" s="35">
        <v>0.12</v>
      </c>
      <c r="J29" s="150"/>
      <c r="K29" s="128" t="s">
        <v>261</v>
      </c>
    </row>
    <row r="30" spans="1:11" s="118" customFormat="1" ht="18.75">
      <c r="A30" s="19" t="s">
        <v>243</v>
      </c>
      <c r="B30" s="15" t="s">
        <v>1</v>
      </c>
      <c r="C30" s="15" t="s">
        <v>322</v>
      </c>
      <c r="D30" s="20" t="s">
        <v>204</v>
      </c>
      <c r="E30" s="20" t="s">
        <v>338</v>
      </c>
      <c r="G30" s="123" t="s">
        <v>243</v>
      </c>
      <c r="H30" s="121" t="s">
        <v>1</v>
      </c>
      <c r="I30" s="127">
        <f>((I16*I20^2)/I29)+((I17*(1-I20)^2)/(1-I29))</f>
        <v>2.0438295678680296</v>
      </c>
      <c r="J30" s="128" t="s">
        <v>204</v>
      </c>
      <c r="K30" s="128" t="s">
        <v>338</v>
      </c>
    </row>
    <row r="31" spans="1:11" s="118" customFormat="1" ht="16.5">
      <c r="A31" s="19" t="s">
        <v>245</v>
      </c>
      <c r="B31" s="15" t="s">
        <v>1</v>
      </c>
      <c r="C31" s="15" t="s">
        <v>305</v>
      </c>
      <c r="D31" s="20"/>
      <c r="E31" s="20" t="s">
        <v>335</v>
      </c>
      <c r="G31" s="123" t="s">
        <v>245</v>
      </c>
      <c r="H31" s="121" t="s">
        <v>1</v>
      </c>
      <c r="I31" s="149">
        <f>(124*I30*I27*I7)/I21</f>
        <v>42823.83444419162</v>
      </c>
      <c r="J31" s="128"/>
      <c r="K31" s="128" t="s">
        <v>335</v>
      </c>
    </row>
    <row r="32" spans="1:11" s="118" customFormat="1" ht="16.5">
      <c r="A32" s="19" t="s">
        <v>325</v>
      </c>
      <c r="B32" s="15"/>
      <c r="C32" s="15">
        <v>0.16</v>
      </c>
      <c r="D32" s="51"/>
      <c r="E32" s="20" t="s">
        <v>261</v>
      </c>
      <c r="G32" s="123" t="s">
        <v>325</v>
      </c>
      <c r="H32" s="121"/>
      <c r="I32" s="35">
        <v>0.16</v>
      </c>
      <c r="J32" s="150"/>
      <c r="K32" s="128" t="s">
        <v>261</v>
      </c>
    </row>
    <row r="33" spans="1:11" s="118" customFormat="1" ht="18.75">
      <c r="A33" s="19" t="s">
        <v>243</v>
      </c>
      <c r="B33" s="15" t="s">
        <v>1</v>
      </c>
      <c r="C33" s="15" t="s">
        <v>323</v>
      </c>
      <c r="D33" s="20" t="s">
        <v>204</v>
      </c>
      <c r="E33" s="20" t="s">
        <v>338</v>
      </c>
      <c r="G33" s="123" t="s">
        <v>243</v>
      </c>
      <c r="H33" s="121" t="s">
        <v>1</v>
      </c>
      <c r="I33" s="127">
        <f>((I16*I20^2)/I32)+((I17*(1-I20)^2)/(1-I32))</f>
        <v>1.9393667230205693</v>
      </c>
      <c r="J33" s="128" t="s">
        <v>204</v>
      </c>
      <c r="K33" s="128" t="s">
        <v>338</v>
      </c>
    </row>
    <row r="34" spans="1:11" s="118" customFormat="1" ht="16.5">
      <c r="A34" s="19" t="s">
        <v>245</v>
      </c>
      <c r="B34" s="15" t="s">
        <v>1</v>
      </c>
      <c r="C34" s="15" t="s">
        <v>306</v>
      </c>
      <c r="D34" s="20"/>
      <c r="E34" s="20" t="s">
        <v>335</v>
      </c>
      <c r="G34" s="123" t="s">
        <v>245</v>
      </c>
      <c r="H34" s="121" t="s">
        <v>1</v>
      </c>
      <c r="I34" s="149">
        <f>(124*I33*I27*I7)/I21</f>
        <v>40635.051365775085</v>
      </c>
      <c r="J34" s="128"/>
      <c r="K34" s="128" t="s">
        <v>335</v>
      </c>
    </row>
    <row r="35" spans="1:11" s="118" customFormat="1" ht="16.5">
      <c r="A35" s="19" t="s">
        <v>324</v>
      </c>
      <c r="B35" s="15"/>
      <c r="C35" s="15">
        <v>0.16</v>
      </c>
      <c r="D35" s="51"/>
      <c r="E35" s="20" t="s">
        <v>261</v>
      </c>
      <c r="G35" s="123" t="s">
        <v>324</v>
      </c>
      <c r="H35" s="121"/>
      <c r="I35" s="36">
        <v>0.16</v>
      </c>
      <c r="J35" s="150"/>
      <c r="K35" s="128" t="s">
        <v>261</v>
      </c>
    </row>
    <row r="36" spans="1:11" s="118" customFormat="1" ht="16.5">
      <c r="A36" s="19" t="s">
        <v>247</v>
      </c>
      <c r="B36" s="15" t="s">
        <v>1</v>
      </c>
      <c r="C36" s="15" t="s">
        <v>307</v>
      </c>
      <c r="D36" s="20"/>
      <c r="E36" s="20" t="s">
        <v>334</v>
      </c>
      <c r="G36" s="123" t="s">
        <v>247</v>
      </c>
      <c r="H36" s="121" t="s">
        <v>1</v>
      </c>
      <c r="I36" s="148">
        <f>0.0056+(0.5*(I34)^-0.32)</f>
        <v>2.2354124723375609E-2</v>
      </c>
      <c r="J36" s="128"/>
      <c r="K36" s="128" t="s">
        <v>334</v>
      </c>
    </row>
    <row r="37" spans="1:11" s="118" customFormat="1" ht="16.5">
      <c r="A37" s="19" t="s">
        <v>248</v>
      </c>
      <c r="B37" s="15"/>
      <c r="C37" s="15">
        <v>2.59</v>
      </c>
      <c r="D37" s="51"/>
      <c r="E37" s="20" t="s">
        <v>262</v>
      </c>
      <c r="G37" s="123" t="s">
        <v>248</v>
      </c>
      <c r="H37" s="121"/>
      <c r="I37" s="35">
        <v>2.59</v>
      </c>
      <c r="J37" s="150"/>
      <c r="K37" s="128" t="s">
        <v>262</v>
      </c>
    </row>
    <row r="38" spans="1:11" s="118" customFormat="1" ht="18.75">
      <c r="A38" s="19" t="s">
        <v>249</v>
      </c>
      <c r="B38" s="15" t="s">
        <v>1</v>
      </c>
      <c r="C38" s="15" t="s">
        <v>327</v>
      </c>
      <c r="D38" s="20" t="s">
        <v>133</v>
      </c>
      <c r="E38" s="20" t="s">
        <v>326</v>
      </c>
      <c r="G38" s="123" t="s">
        <v>249</v>
      </c>
      <c r="H38" s="121" t="s">
        <v>1</v>
      </c>
      <c r="I38" s="151">
        <f>(I36*I37*I33*I27^2*I8)/(0.14623*I7)</f>
        <v>46.749322494861822</v>
      </c>
      <c r="J38" s="128" t="s">
        <v>133</v>
      </c>
      <c r="K38" s="128" t="s">
        <v>326</v>
      </c>
    </row>
    <row r="39" spans="1:11" s="118" customFormat="1" ht="16.5">
      <c r="A39" s="19" t="s">
        <v>250</v>
      </c>
      <c r="B39" s="15"/>
      <c r="C39" s="15">
        <v>0.13</v>
      </c>
      <c r="D39" s="51"/>
      <c r="E39" s="20" t="s">
        <v>263</v>
      </c>
      <c r="G39" s="123" t="s">
        <v>250</v>
      </c>
      <c r="H39" s="121"/>
      <c r="I39" s="35">
        <v>0.13</v>
      </c>
      <c r="J39" s="150"/>
      <c r="K39" s="128" t="s">
        <v>263</v>
      </c>
    </row>
    <row r="40" spans="1:11" s="118" customFormat="1" ht="16.5">
      <c r="A40" s="19" t="s">
        <v>251</v>
      </c>
      <c r="B40" s="15" t="s">
        <v>1</v>
      </c>
      <c r="C40" s="15" t="s">
        <v>308</v>
      </c>
      <c r="D40" s="20" t="s">
        <v>133</v>
      </c>
      <c r="E40" s="20" t="s">
        <v>336</v>
      </c>
      <c r="G40" s="123" t="s">
        <v>251</v>
      </c>
      <c r="H40" s="121" t="s">
        <v>1</v>
      </c>
      <c r="I40" s="127">
        <f>(I16*I39)/144*I9</f>
        <v>4.9652777777777786</v>
      </c>
      <c r="J40" s="128" t="s">
        <v>133</v>
      </c>
      <c r="K40" s="128" t="s">
        <v>336</v>
      </c>
    </row>
    <row r="41" spans="1:11" s="118" customFormat="1" ht="16.5">
      <c r="A41" s="19" t="s">
        <v>252</v>
      </c>
      <c r="B41" s="15" t="s">
        <v>1</v>
      </c>
      <c r="C41" s="15" t="s">
        <v>269</v>
      </c>
      <c r="D41" s="20" t="s">
        <v>133</v>
      </c>
      <c r="E41" s="20" t="s">
        <v>337</v>
      </c>
      <c r="G41" s="123" t="s">
        <v>252</v>
      </c>
      <c r="H41" s="121" t="s">
        <v>1</v>
      </c>
      <c r="I41" s="127">
        <f>I38+I40</f>
        <v>51.714600272639601</v>
      </c>
      <c r="J41" s="128" t="s">
        <v>133</v>
      </c>
      <c r="K41" s="128" t="s">
        <v>337</v>
      </c>
    </row>
    <row r="42" spans="1:11" s="118" customFormat="1" ht="16.5">
      <c r="A42" s="19" t="s">
        <v>266</v>
      </c>
      <c r="B42" s="15" t="s">
        <v>1</v>
      </c>
      <c r="C42" s="15" t="s">
        <v>270</v>
      </c>
      <c r="D42" s="27" t="s">
        <v>134</v>
      </c>
      <c r="E42" s="27"/>
      <c r="G42" s="123" t="s">
        <v>266</v>
      </c>
      <c r="H42" s="121" t="s">
        <v>1</v>
      </c>
      <c r="I42" s="149">
        <f>IF(I10-I41&gt;0,I10-I41,"Increase pipe diameter")</f>
        <v>348.28539972736041</v>
      </c>
      <c r="J42" s="130" t="s">
        <v>134</v>
      </c>
      <c r="K42" s="130"/>
    </row>
    <row r="43" spans="1:11" s="118" customFormat="1">
      <c r="A43" s="19"/>
      <c r="B43" s="15"/>
      <c r="C43" s="15"/>
      <c r="D43" s="27"/>
      <c r="E43" s="27"/>
      <c r="G43" s="123"/>
      <c r="H43" s="121"/>
      <c r="I43" s="149"/>
      <c r="J43" s="130"/>
      <c r="K43" s="130"/>
    </row>
    <row r="44" spans="1:11" s="118" customFormat="1" ht="16.5">
      <c r="A44" s="19" t="s">
        <v>253</v>
      </c>
      <c r="B44" s="15" t="s">
        <v>1</v>
      </c>
      <c r="C44" s="15" t="s">
        <v>309</v>
      </c>
      <c r="D44" s="20"/>
      <c r="E44" s="20" t="s">
        <v>328</v>
      </c>
      <c r="G44" s="123" t="s">
        <v>253</v>
      </c>
      <c r="H44" s="121" t="s">
        <v>1</v>
      </c>
      <c r="I44" s="127">
        <f>1.938*I25*(I16/I13)^0.25</f>
        <v>2.276357611360488</v>
      </c>
      <c r="J44" s="128"/>
      <c r="K44" s="128" t="s">
        <v>328</v>
      </c>
    </row>
    <row r="45" spans="1:11" s="118" customFormat="1" ht="16.5">
      <c r="A45" s="19" t="s">
        <v>254</v>
      </c>
      <c r="B45" s="15" t="s">
        <v>1</v>
      </c>
      <c r="C45" s="15" t="s">
        <v>310</v>
      </c>
      <c r="D45" s="20"/>
      <c r="E45" s="20" t="s">
        <v>329</v>
      </c>
      <c r="G45" s="123" t="s">
        <v>254</v>
      </c>
      <c r="H45" s="121" t="s">
        <v>1</v>
      </c>
      <c r="I45" s="127">
        <f>1.938*I26*(I16/I13)^0.25</f>
        <v>56.908940284012203</v>
      </c>
      <c r="J45" s="128"/>
      <c r="K45" s="128" t="s">
        <v>329</v>
      </c>
    </row>
    <row r="46" spans="1:11" s="118" customFormat="1" ht="16.5">
      <c r="A46" s="19" t="s">
        <v>255</v>
      </c>
      <c r="B46" s="15" t="s">
        <v>1</v>
      </c>
      <c r="C46" s="15" t="s">
        <v>311</v>
      </c>
      <c r="D46" s="20"/>
      <c r="E46" s="20" t="s">
        <v>330</v>
      </c>
      <c r="G46" s="123" t="s">
        <v>255</v>
      </c>
      <c r="H46" s="121" t="s">
        <v>1</v>
      </c>
      <c r="I46" s="149">
        <f>10.073*I7*(I16/I13)^0.5</f>
        <v>115.72995907715513</v>
      </c>
      <c r="J46" s="128"/>
      <c r="K46" s="128" t="s">
        <v>330</v>
      </c>
    </row>
    <row r="47" spans="1:11" s="118" customFormat="1" ht="16.5">
      <c r="A47" s="19" t="s">
        <v>256</v>
      </c>
      <c r="B47" s="15" t="s">
        <v>1</v>
      </c>
      <c r="C47" s="15" t="s">
        <v>312</v>
      </c>
      <c r="D47" s="20"/>
      <c r="E47" s="20" t="s">
        <v>331</v>
      </c>
      <c r="G47" s="123" t="s">
        <v>256</v>
      </c>
      <c r="H47" s="121" t="s">
        <v>1</v>
      </c>
      <c r="I47" s="148">
        <f>0.15726*I11*(1/(I16*I13^3))^0.25</f>
        <v>0.1515266948386105</v>
      </c>
      <c r="J47" s="128"/>
      <c r="K47" s="128" t="s">
        <v>331</v>
      </c>
    </row>
    <row r="48" spans="1:11" s="118" customFormat="1" ht="18" customHeight="1">
      <c r="A48" s="29" t="s">
        <v>257</v>
      </c>
      <c r="B48" s="28" t="s">
        <v>1</v>
      </c>
      <c r="C48" s="15" t="s">
        <v>313</v>
      </c>
      <c r="D48" s="20"/>
      <c r="E48" s="20" t="s">
        <v>332</v>
      </c>
      <c r="G48" s="152" t="s">
        <v>257</v>
      </c>
      <c r="H48" s="153" t="s">
        <v>1</v>
      </c>
      <c r="I48" s="154">
        <f>(1.84*(I44)^0.575*(I10/I18)^0.05*(I47)^0.1)/(I45*(I46)^0.0277)</f>
        <v>4.4425767021315912E-2</v>
      </c>
      <c r="J48" s="128"/>
      <c r="K48" s="128" t="s">
        <v>332</v>
      </c>
    </row>
    <row r="49" spans="1:11" s="118" customFormat="1" ht="16.5">
      <c r="A49" s="19" t="s">
        <v>258</v>
      </c>
      <c r="B49" s="15"/>
      <c r="C49" s="15">
        <v>0.14000000000000001</v>
      </c>
      <c r="D49" s="51"/>
      <c r="E49" s="20" t="s">
        <v>264</v>
      </c>
      <c r="G49" s="123" t="s">
        <v>258</v>
      </c>
      <c r="H49" s="121"/>
      <c r="I49" s="35">
        <v>0.14000000000000001</v>
      </c>
      <c r="J49" s="150"/>
      <c r="K49" s="128" t="s">
        <v>264</v>
      </c>
    </row>
    <row r="50" spans="1:11" s="118" customFormat="1" ht="18.75">
      <c r="A50" s="19" t="s">
        <v>265</v>
      </c>
      <c r="B50" s="15" t="s">
        <v>1</v>
      </c>
      <c r="C50" s="15" t="s">
        <v>314</v>
      </c>
      <c r="D50" s="27" t="s">
        <v>259</v>
      </c>
      <c r="E50" s="20" t="s">
        <v>333</v>
      </c>
      <c r="G50" s="123" t="s">
        <v>265</v>
      </c>
      <c r="H50" s="121" t="s">
        <v>1</v>
      </c>
      <c r="I50" s="149">
        <f>28.8*I49*I7^2*I8</f>
        <v>108.86400000000003</v>
      </c>
      <c r="J50" s="130" t="s">
        <v>259</v>
      </c>
      <c r="K50" s="128" t="s">
        <v>333</v>
      </c>
    </row>
    <row r="51" spans="1:11" s="118" customFormat="1">
      <c r="A51" s="19"/>
      <c r="B51" s="15"/>
      <c r="C51" s="15"/>
      <c r="D51" s="20"/>
      <c r="E51" s="20"/>
      <c r="G51" s="123"/>
      <c r="H51" s="121"/>
      <c r="I51" s="128"/>
      <c r="J51" s="128"/>
      <c r="K51" s="128"/>
    </row>
    <row r="52" spans="1:11">
      <c r="A52" s="155"/>
      <c r="B52" s="100"/>
      <c r="C52" s="101"/>
      <c r="D52" s="102"/>
      <c r="E52" s="156"/>
      <c r="G52" s="103"/>
      <c r="H52" s="104"/>
      <c r="I52" s="104"/>
      <c r="J52" s="103"/>
      <c r="K52" s="103"/>
    </row>
    <row r="53" spans="1:11">
      <c r="A53" s="157"/>
      <c r="B53" s="104"/>
      <c r="C53" s="104"/>
      <c r="D53" s="103"/>
      <c r="E53" s="103"/>
      <c r="G53" s="103"/>
      <c r="H53" s="104"/>
      <c r="I53" s="104"/>
      <c r="J53" s="103"/>
      <c r="K53" s="103"/>
    </row>
    <row r="54" spans="1:11">
      <c r="A54" s="76" t="s">
        <v>349</v>
      </c>
      <c r="B54" s="104"/>
      <c r="C54" s="104"/>
      <c r="D54" s="103"/>
      <c r="E54" s="103"/>
      <c r="G54" s="103"/>
      <c r="H54" s="104"/>
      <c r="I54" s="105"/>
      <c r="J54" s="103"/>
      <c r="K54" s="103"/>
    </row>
    <row r="55" spans="1:11">
      <c r="A55" s="76" t="s">
        <v>350</v>
      </c>
      <c r="B55" s="100"/>
      <c r="C55" s="100"/>
      <c r="D55" s="99"/>
      <c r="E55" s="99"/>
      <c r="G55" s="103"/>
      <c r="H55" s="104"/>
      <c r="I55" s="104"/>
      <c r="J55" s="103"/>
      <c r="K55" s="103"/>
    </row>
    <row r="56" spans="1:11">
      <c r="A56" s="76" t="s">
        <v>351</v>
      </c>
      <c r="G56" s="106"/>
      <c r="H56" s="107"/>
      <c r="I56" s="107"/>
      <c r="J56" s="108"/>
      <c r="K56" s="108"/>
    </row>
    <row r="57" spans="1:11">
      <c r="A57" s="76" t="s">
        <v>352</v>
      </c>
      <c r="G57" s="108"/>
      <c r="H57" s="107"/>
      <c r="I57" s="107"/>
      <c r="J57" s="108"/>
      <c r="K57" s="108"/>
    </row>
    <row r="58" spans="1:11">
      <c r="A58" s="77" t="s">
        <v>353</v>
      </c>
      <c r="G58" s="108"/>
      <c r="H58" s="107"/>
      <c r="I58" s="109"/>
      <c r="J58" s="108"/>
      <c r="K58" s="108"/>
    </row>
    <row r="59" spans="1:11">
      <c r="G59" s="108"/>
      <c r="H59" s="107"/>
      <c r="I59" s="109"/>
      <c r="J59" s="108"/>
      <c r="K59" s="108"/>
    </row>
    <row r="60" spans="1:11">
      <c r="G60" s="103"/>
      <c r="H60" s="104"/>
      <c r="I60" s="105"/>
      <c r="J60" s="103"/>
      <c r="K60" s="103"/>
    </row>
    <row r="61" spans="1:11">
      <c r="G61" s="112"/>
      <c r="H61" s="113"/>
      <c r="I61" s="114"/>
      <c r="J61" s="115"/>
      <c r="K61" s="158"/>
    </row>
    <row r="62" spans="1:11">
      <c r="G62" s="112"/>
      <c r="H62" s="113"/>
      <c r="I62" s="117"/>
      <c r="J62" s="115"/>
      <c r="K62" s="158"/>
    </row>
  </sheetData>
  <sheetProtection password="E156" sheet="1" objects="1" scenarios="1"/>
  <customSheetViews>
    <customSheetView guid="{4A4D9229-7CAB-4D88-8487-AD510F689FCA}" scale="95" topLeftCell="A58">
      <selection sqref="A1:E1"/>
      <pageMargins left="0.7" right="0.7" top="0.75" bottom="0.75" header="0.3" footer="0.3"/>
      <pageSetup orientation="portrait" r:id="rId1"/>
    </customSheetView>
  </customSheetViews>
  <mergeCells count="5">
    <mergeCell ref="I62:J62"/>
    <mergeCell ref="C52:D52"/>
    <mergeCell ref="I61:J61"/>
    <mergeCell ref="G5:K5"/>
    <mergeCell ref="A5:E5"/>
  </mergeCells>
  <conditionalFormatting sqref="I42:I43">
    <cfRule type="containsText" dxfId="0" priority="1" operator="containsText" text="Increase">
      <formula>NOT(ISERROR(SEARCH("Increase",I42)))</formula>
    </cfRule>
  </conditionalFormatting>
  <pageMargins left="0.7" right="0.7" top="0.75" bottom="0.75" header="0.3" footer="0.3"/>
  <pageSetup scale="45" fitToHeight="3" orientation="landscape" r:id="rId2"/>
  <ignoredErrors>
    <ignoredError sqref="I20:I21 I30:I31 I33:I34 I36 I38 I44:I48 I23:I28 I50 I40:I41" unlocked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J24"/>
  <sheetViews>
    <sheetView zoomScaleNormal="100" workbookViewId="0">
      <selection activeCell="I12" sqref="I12"/>
    </sheetView>
  </sheetViews>
  <sheetFormatPr defaultRowHeight="15"/>
  <cols>
    <col min="1" max="16384" width="9.140625" style="17"/>
  </cols>
  <sheetData>
    <row r="1" spans="1:10">
      <c r="A1" s="68" t="s">
        <v>343</v>
      </c>
    </row>
    <row r="5" spans="1:10">
      <c r="A5" s="159" t="s">
        <v>186</v>
      </c>
    </row>
    <row r="6" spans="1:10" ht="43.5" customHeight="1">
      <c r="A6" s="160" t="s">
        <v>189</v>
      </c>
      <c r="B6" s="160"/>
      <c r="C6" s="160"/>
      <c r="D6" s="160"/>
      <c r="E6" s="160"/>
      <c r="F6" s="160"/>
      <c r="G6" s="160"/>
      <c r="H6" s="160"/>
      <c r="I6" s="160"/>
      <c r="J6" s="161"/>
    </row>
    <row r="7" spans="1:10" ht="37.5" customHeight="1">
      <c r="A7" s="160" t="s">
        <v>188</v>
      </c>
      <c r="B7" s="160"/>
      <c r="C7" s="160"/>
      <c r="D7" s="160"/>
      <c r="E7" s="160"/>
      <c r="F7" s="160"/>
      <c r="G7" s="160"/>
      <c r="H7" s="160"/>
      <c r="I7" s="160"/>
    </row>
    <row r="8" spans="1:10" ht="57.75" customHeight="1">
      <c r="A8" s="160" t="s">
        <v>187</v>
      </c>
      <c r="B8" s="160"/>
      <c r="C8" s="160"/>
      <c r="D8" s="160"/>
      <c r="E8" s="160"/>
      <c r="F8" s="160"/>
      <c r="G8" s="160"/>
      <c r="H8" s="160"/>
      <c r="I8" s="160"/>
    </row>
    <row r="20" spans="1:1">
      <c r="A20" s="78" t="s">
        <v>349</v>
      </c>
    </row>
    <row r="21" spans="1:1">
      <c r="A21" s="78" t="s">
        <v>350</v>
      </c>
    </row>
    <row r="22" spans="1:1">
      <c r="A22" s="78" t="s">
        <v>351</v>
      </c>
    </row>
    <row r="23" spans="1:1">
      <c r="A23" s="78" t="s">
        <v>352</v>
      </c>
    </row>
    <row r="24" spans="1:1">
      <c r="A24" s="79" t="s">
        <v>353</v>
      </c>
    </row>
  </sheetData>
  <sheetProtection password="E156" sheet="1" objects="1" scenarios="1"/>
  <mergeCells count="3">
    <mergeCell ref="A6:I6"/>
    <mergeCell ref="A7:I7"/>
    <mergeCell ref="A8:I8"/>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Revisions</vt:lpstr>
      <vt:lpstr>Nomenclature</vt:lpstr>
      <vt:lpstr>Example 17-1</vt:lpstr>
      <vt:lpstr>Example 17-2</vt:lpstr>
      <vt:lpstr>Example 17-3</vt:lpstr>
      <vt:lpstr>Example 17-4</vt:lpstr>
      <vt:lpstr>Limits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Hamilton, Stuart</dc:creator>
  <cp:lastModifiedBy>Hamilton, Stuart</cp:lastModifiedBy>
  <cp:lastPrinted>2013-09-25T18:03:20Z</cp:lastPrinted>
  <dcterms:created xsi:type="dcterms:W3CDTF">2008-11-12T22:05:50Z</dcterms:created>
  <dcterms:modified xsi:type="dcterms:W3CDTF">2017-04-07T13:13:26Z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