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 yWindow="30" windowWidth="16380" windowHeight="10035" activeTab="1"/>
  </bookViews>
  <sheets>
    <sheet name="Revisions" sheetId="12" r:id="rId1"/>
    <sheet name="Nomenclature" sheetId="4" r:id="rId2"/>
    <sheet name="Example 19-1" sheetId="1" r:id="rId3"/>
    <sheet name="Example 19-2" sheetId="2" r:id="rId4"/>
    <sheet name="Example 19-3" sheetId="3" r:id="rId5"/>
    <sheet name="Example 19-4" sheetId="5" r:id="rId6"/>
    <sheet name="Example 19-5" sheetId="6" r:id="rId7"/>
    <sheet name="Example 19-6" sheetId="9" r:id="rId8"/>
    <sheet name="Example 19-7" sheetId="10" r:id="rId9"/>
    <sheet name="Example 19-8" sheetId="7" r:id="rId10"/>
    <sheet name="LIMITS" sheetId="11" r:id="rId11"/>
  </sheets>
  <definedNames>
    <definedName name="_xlnm.Print_Area" localSheetId="3">'Example 19-2'!$M$82:$U$94</definedName>
  </definedNames>
  <calcPr calcId="145621"/>
</workbook>
</file>

<file path=xl/calcChain.xml><?xml version="1.0" encoding="utf-8"?>
<calcChain xmlns="http://schemas.openxmlformats.org/spreadsheetml/2006/main">
  <c r="S22" i="7" l="1"/>
  <c r="S23" i="7"/>
  <c r="T22" i="7"/>
  <c r="N69" i="9"/>
  <c r="N68" i="9" s="1"/>
  <c r="N67" i="9" s="1"/>
  <c r="N71" i="9"/>
  <c r="N72" i="9" s="1"/>
  <c r="N73" i="9" s="1"/>
  <c r="P34" i="9"/>
  <c r="P19" i="6" l="1"/>
  <c r="P18" i="6"/>
  <c r="P17" i="6"/>
  <c r="P16" i="6"/>
  <c r="P15" i="6"/>
  <c r="P14" i="6"/>
  <c r="P12" i="6"/>
  <c r="P20" i="5" l="1"/>
  <c r="L53" i="3"/>
  <c r="N51" i="3"/>
  <c r="N56" i="3"/>
  <c r="N55" i="3"/>
  <c r="N46" i="3" l="1"/>
  <c r="N43" i="3"/>
  <c r="N42" i="3"/>
  <c r="M54" i="2" l="1"/>
  <c r="Q104" i="2" l="1"/>
  <c r="Q105" i="2"/>
  <c r="Q106" i="2"/>
  <c r="Q107" i="2"/>
  <c r="Q108" i="2"/>
  <c r="Q109" i="2"/>
  <c r="Q103" i="2"/>
  <c r="H85" i="10" l="1"/>
  <c r="G85" i="10"/>
  <c r="C85" i="10"/>
  <c r="S36" i="7"/>
  <c r="R31" i="10"/>
  <c r="P40" i="9"/>
  <c r="P41" i="9"/>
  <c r="P43" i="9" s="1"/>
  <c r="P51" i="9"/>
  <c r="P50" i="9"/>
  <c r="P32" i="9"/>
  <c r="P33" i="9" s="1"/>
  <c r="P21" i="5"/>
  <c r="O36" i="2"/>
  <c r="O37" i="2" s="1"/>
  <c r="P43" i="2" s="1"/>
  <c r="O35" i="2"/>
  <c r="P42" i="2" s="1"/>
  <c r="P35" i="9"/>
  <c r="P39" i="9" s="1"/>
  <c r="P48" i="9" s="1"/>
  <c r="S11" i="7"/>
  <c r="P42" i="9"/>
  <c r="P30" i="6"/>
  <c r="P26" i="6"/>
  <c r="N62" i="3"/>
  <c r="N61" i="3"/>
  <c r="C71" i="3"/>
  <c r="C70" i="3"/>
  <c r="C23" i="3"/>
  <c r="O89" i="2"/>
  <c r="L30" i="1"/>
  <c r="L29" i="1"/>
  <c r="L26" i="1"/>
  <c r="M35" i="1"/>
  <c r="O35" i="1" s="1"/>
  <c r="L24" i="1"/>
  <c r="M36" i="1"/>
  <c r="L27" i="1"/>
  <c r="M37" i="1" s="1"/>
  <c r="L25" i="1"/>
  <c r="O82" i="2"/>
  <c r="L28" i="1"/>
  <c r="S19" i="7"/>
  <c r="U70" i="10"/>
  <c r="U71" i="10"/>
  <c r="U72" i="10"/>
  <c r="U73" i="10"/>
  <c r="U74" i="10"/>
  <c r="U69" i="10"/>
  <c r="S70" i="10"/>
  <c r="S71" i="10"/>
  <c r="S72" i="10"/>
  <c r="S73" i="10"/>
  <c r="S74" i="10"/>
  <c r="S69" i="10"/>
  <c r="R70" i="10"/>
  <c r="R71" i="10"/>
  <c r="R72" i="10"/>
  <c r="R73" i="10"/>
  <c r="R74" i="10"/>
  <c r="R69" i="10"/>
  <c r="P57" i="9"/>
  <c r="C27" i="9"/>
  <c r="C42" i="9" s="1"/>
  <c r="P44" i="9"/>
  <c r="P27" i="6"/>
  <c r="N33" i="3"/>
  <c r="N36" i="3" s="1"/>
  <c r="C34" i="2"/>
  <c r="D55" i="2" s="1"/>
  <c r="F55" i="2" s="1"/>
  <c r="N42" i="2"/>
  <c r="N43" i="2"/>
  <c r="N44" i="2"/>
  <c r="N45" i="2"/>
  <c r="R45" i="2" s="1"/>
  <c r="N46" i="2"/>
  <c r="N47" i="2"/>
  <c r="R47" i="2" s="1"/>
  <c r="N41" i="2"/>
  <c r="O90" i="2"/>
  <c r="C38" i="2"/>
  <c r="F57" i="2"/>
  <c r="F58" i="2"/>
  <c r="F59" i="2"/>
  <c r="F60" i="2"/>
  <c r="O67" i="2"/>
  <c r="K36" i="1"/>
  <c r="K37" i="1"/>
  <c r="K38" i="1"/>
  <c r="K39" i="1"/>
  <c r="K40" i="1" s="1"/>
  <c r="K35" i="1"/>
  <c r="O106" i="2"/>
  <c r="P106" i="2"/>
  <c r="O25" i="2"/>
  <c r="N19" i="2" s="1"/>
  <c r="O103" i="2"/>
  <c r="P103" i="2"/>
  <c r="O104" i="2"/>
  <c r="P104" i="2"/>
  <c r="O105" i="2"/>
  <c r="P105" i="2"/>
  <c r="O107" i="2"/>
  <c r="P107" i="2"/>
  <c r="O108" i="2"/>
  <c r="P108" i="2"/>
  <c r="P109" i="2"/>
  <c r="E134" i="2"/>
  <c r="E135" i="2"/>
  <c r="E136" i="2"/>
  <c r="B135" i="2"/>
  <c r="B136" i="2"/>
  <c r="E137" i="2"/>
  <c r="G137" i="2" s="1"/>
  <c r="B137" i="2"/>
  <c r="E138" i="2"/>
  <c r="B138" i="2"/>
  <c r="E139" i="2"/>
  <c r="B139" i="2"/>
  <c r="E140" i="2"/>
  <c r="B140" i="2"/>
  <c r="B134" i="2"/>
  <c r="C13" i="7"/>
  <c r="C22" i="7" s="1"/>
  <c r="C17" i="7"/>
  <c r="D23" i="7" s="1"/>
  <c r="C48" i="7"/>
  <c r="C49" i="7"/>
  <c r="C50" i="7"/>
  <c r="C54" i="7"/>
  <c r="C34" i="10"/>
  <c r="C42" i="10"/>
  <c r="R35" i="10"/>
  <c r="T70" i="10"/>
  <c r="C41" i="10"/>
  <c r="C59" i="10"/>
  <c r="C69" i="10"/>
  <c r="R50" i="10"/>
  <c r="R58" i="10"/>
  <c r="W69" i="10"/>
  <c r="C60" i="10"/>
  <c r="R51" i="10"/>
  <c r="R59" i="10"/>
  <c r="W70" i="10"/>
  <c r="C61" i="10"/>
  <c r="R52" i="10"/>
  <c r="V71" i="10"/>
  <c r="C62" i="10"/>
  <c r="C72" i="10"/>
  <c r="R53" i="10"/>
  <c r="V72" i="10"/>
  <c r="C63" i="10"/>
  <c r="C73" i="10"/>
  <c r="R54" i="10"/>
  <c r="C64" i="10"/>
  <c r="C74" i="10"/>
  <c r="R55" i="10"/>
  <c r="V74" i="10"/>
  <c r="C70" i="10"/>
  <c r="C71" i="10"/>
  <c r="R60" i="10"/>
  <c r="W71" i="10"/>
  <c r="G79" i="10"/>
  <c r="H79" i="10"/>
  <c r="G80" i="10"/>
  <c r="H80" i="10"/>
  <c r="E81" i="10"/>
  <c r="G81" i="10"/>
  <c r="H81" i="10"/>
  <c r="G82" i="10"/>
  <c r="H82" i="10"/>
  <c r="E83" i="10"/>
  <c r="G83" i="10"/>
  <c r="H83" i="10"/>
  <c r="G84" i="10"/>
  <c r="H84" i="10"/>
  <c r="C36" i="9"/>
  <c r="C57" i="9"/>
  <c r="C75" i="9" s="1"/>
  <c r="E57" i="9"/>
  <c r="G57" i="9"/>
  <c r="C61" i="9"/>
  <c r="E61" i="9"/>
  <c r="G61" i="9"/>
  <c r="C65" i="9"/>
  <c r="E65" i="9"/>
  <c r="E71" i="9" s="1"/>
  <c r="G65" i="9"/>
  <c r="C99" i="9"/>
  <c r="E99" i="9"/>
  <c r="G99" i="9"/>
  <c r="C103" i="9"/>
  <c r="E103" i="9"/>
  <c r="G103" i="9"/>
  <c r="C127" i="9"/>
  <c r="E127" i="9"/>
  <c r="G127" i="9"/>
  <c r="D9" i="6"/>
  <c r="P13" i="6"/>
  <c r="C29" i="6"/>
  <c r="C36" i="6"/>
  <c r="C33" i="6"/>
  <c r="C45" i="6"/>
  <c r="C50" i="6"/>
  <c r="C54" i="6" s="1"/>
  <c r="C13" i="5"/>
  <c r="P12" i="5"/>
  <c r="C22" i="5"/>
  <c r="P18" i="5"/>
  <c r="C29" i="5"/>
  <c r="D8" i="3"/>
  <c r="C34" i="3" s="1"/>
  <c r="N11" i="3"/>
  <c r="N27" i="3" s="1"/>
  <c r="C27" i="3"/>
  <c r="C28" i="3"/>
  <c r="E106" i="3" s="1"/>
  <c r="N21" i="3"/>
  <c r="N22" i="3" s="1"/>
  <c r="N60" i="3" s="1"/>
  <c r="C39" i="3"/>
  <c r="E107" i="3" s="1"/>
  <c r="C41" i="3"/>
  <c r="E108" i="3" s="1"/>
  <c r="C47" i="3"/>
  <c r="C63" i="3" s="1"/>
  <c r="N34" i="3"/>
  <c r="N39" i="3"/>
  <c r="N40" i="3"/>
  <c r="C20" i="2"/>
  <c r="D20" i="2"/>
  <c r="C61" i="2"/>
  <c r="B61" i="2"/>
  <c r="B77" i="2"/>
  <c r="B98" i="2" s="1"/>
  <c r="B94" i="2"/>
  <c r="O86" i="2"/>
  <c r="C16" i="1"/>
  <c r="L20" i="1"/>
  <c r="B22" i="1"/>
  <c r="C42" i="1"/>
  <c r="B35" i="1"/>
  <c r="C41" i="1"/>
  <c r="B71" i="1"/>
  <c r="C67" i="1"/>
  <c r="D67" i="1"/>
  <c r="F67" i="1"/>
  <c r="F69" i="1"/>
  <c r="F70" i="1"/>
  <c r="R34" i="10"/>
  <c r="T69" i="10"/>
  <c r="R38" i="10"/>
  <c r="T73" i="10"/>
  <c r="R36" i="10"/>
  <c r="T71" i="10"/>
  <c r="R39" i="10"/>
  <c r="T74" i="10"/>
  <c r="R37" i="10"/>
  <c r="T72" i="10"/>
  <c r="B28" i="1"/>
  <c r="R75" i="10"/>
  <c r="D66" i="1"/>
  <c r="F66" i="1"/>
  <c r="V69" i="10"/>
  <c r="R63" i="10"/>
  <c r="W74" i="10"/>
  <c r="R61" i="10"/>
  <c r="W72" i="10"/>
  <c r="W75" i="10"/>
  <c r="P41" i="2"/>
  <c r="G139" i="2"/>
  <c r="C44" i="2"/>
  <c r="C48" i="2" s="1"/>
  <c r="D56" i="2" s="1"/>
  <c r="F137" i="2"/>
  <c r="F136" i="2"/>
  <c r="G140" i="2"/>
  <c r="H135" i="2"/>
  <c r="N23" i="2"/>
  <c r="N108" i="2" s="1"/>
  <c r="N20" i="2"/>
  <c r="N105" i="2"/>
  <c r="F140" i="2"/>
  <c r="G136" i="2"/>
  <c r="N24" i="2"/>
  <c r="N109" i="2"/>
  <c r="N18" i="2"/>
  <c r="N103" i="2" s="1"/>
  <c r="S103" i="2" s="1"/>
  <c r="N21" i="2"/>
  <c r="N106" i="2" s="1"/>
  <c r="N22" i="2"/>
  <c r="N107" i="2" s="1"/>
  <c r="R106" i="2"/>
  <c r="R105" i="2"/>
  <c r="E84" i="10"/>
  <c r="E80" i="10"/>
  <c r="C44" i="10"/>
  <c r="C40" i="10"/>
  <c r="R107" i="2"/>
  <c r="N48" i="2"/>
  <c r="C43" i="10"/>
  <c r="C39" i="10"/>
  <c r="F134" i="2"/>
  <c r="C43" i="1"/>
  <c r="C47" i="1"/>
  <c r="C53" i="1"/>
  <c r="E82" i="10"/>
  <c r="E79" i="10"/>
  <c r="V70" i="10"/>
  <c r="H137" i="2"/>
  <c r="O36" i="1"/>
  <c r="C59" i="1"/>
  <c r="D68" i="1"/>
  <c r="C68" i="1"/>
  <c r="D54" i="2"/>
  <c r="G135" i="2"/>
  <c r="G141" i="2" s="1"/>
  <c r="R41" i="2"/>
  <c r="C70" i="1"/>
  <c r="E75" i="9"/>
  <c r="C69" i="1"/>
  <c r="C71" i="9"/>
  <c r="H139" i="2"/>
  <c r="F139" i="2"/>
  <c r="V73" i="10"/>
  <c r="R62" i="10"/>
  <c r="W73" i="10"/>
  <c r="H138" i="2"/>
  <c r="F138" i="2"/>
  <c r="G138" i="2"/>
  <c r="R46" i="2"/>
  <c r="C66" i="1"/>
  <c r="G75" i="9"/>
  <c r="H134" i="2"/>
  <c r="G134" i="2"/>
  <c r="R44" i="2"/>
  <c r="O38" i="1"/>
  <c r="V75" i="10"/>
  <c r="C71" i="1"/>
  <c r="S105" i="2"/>
  <c r="F54" i="2"/>
  <c r="F68" i="1"/>
  <c r="D71" i="1"/>
  <c r="E68" i="1"/>
  <c r="E69" i="1"/>
  <c r="E70" i="1"/>
  <c r="E67" i="1"/>
  <c r="E66" i="1"/>
  <c r="F71" i="1"/>
  <c r="E71" i="1"/>
  <c r="G69" i="1"/>
  <c r="G70" i="1"/>
  <c r="G66" i="1"/>
  <c r="G67" i="1"/>
  <c r="G68" i="1"/>
  <c r="G71" i="1"/>
  <c r="P28" i="6" l="1"/>
  <c r="G71" i="9"/>
  <c r="G76" i="9" s="1"/>
  <c r="G82" i="9" s="1"/>
  <c r="E76" i="9"/>
  <c r="E82" i="9" s="1"/>
  <c r="E115" i="9" s="1"/>
  <c r="C23" i="7"/>
  <c r="R23" i="7"/>
  <c r="R22" i="7"/>
  <c r="C76" i="9"/>
  <c r="C82" i="9" s="1"/>
  <c r="C86" i="9" s="1"/>
  <c r="P45" i="9"/>
  <c r="P46" i="9" s="1"/>
  <c r="P54" i="9" s="1"/>
  <c r="E86" i="9"/>
  <c r="G115" i="9"/>
  <c r="G86" i="9"/>
  <c r="E51" i="9"/>
  <c r="E91" i="9" s="1"/>
  <c r="E95" i="9" s="1"/>
  <c r="E107" i="9" s="1"/>
  <c r="G51" i="9"/>
  <c r="G91" i="9" s="1"/>
  <c r="G95" i="9" s="1"/>
  <c r="G107" i="9" s="1"/>
  <c r="G111" i="9" s="1"/>
  <c r="G119" i="9" s="1"/>
  <c r="G123" i="9" s="1"/>
  <c r="G131" i="9" s="1"/>
  <c r="C51" i="9"/>
  <c r="C91" i="9" s="1"/>
  <c r="C95" i="9" s="1"/>
  <c r="P49" i="9"/>
  <c r="C34" i="9"/>
  <c r="P31" i="6"/>
  <c r="P32" i="6" s="1"/>
  <c r="N50" i="3"/>
  <c r="N64" i="3" s="1"/>
  <c r="C75" i="3"/>
  <c r="C76" i="3"/>
  <c r="C95" i="3"/>
  <c r="N38" i="3"/>
  <c r="C56" i="3"/>
  <c r="C81" i="3" s="1"/>
  <c r="C83" i="3" s="1"/>
  <c r="C91" i="3"/>
  <c r="C101" i="3" s="1"/>
  <c r="E110" i="3" s="1"/>
  <c r="T107" i="2"/>
  <c r="R103" i="2"/>
  <c r="H140" i="2"/>
  <c r="T105" i="2"/>
  <c r="S107" i="2"/>
  <c r="T103" i="2"/>
  <c r="H136" i="2"/>
  <c r="F135" i="2"/>
  <c r="F141" i="2" s="1"/>
  <c r="N104" i="2"/>
  <c r="S104" i="2" s="1"/>
  <c r="N25" i="2"/>
  <c r="S109" i="2"/>
  <c r="T109" i="2"/>
  <c r="R109" i="2"/>
  <c r="S108" i="2"/>
  <c r="T106" i="2"/>
  <c r="S106" i="2"/>
  <c r="H141" i="2"/>
  <c r="F56" i="2"/>
  <c r="D61" i="2"/>
  <c r="E56" i="2" s="1"/>
  <c r="T108" i="2"/>
  <c r="R108" i="2"/>
  <c r="O45" i="2"/>
  <c r="O47" i="2"/>
  <c r="O44" i="2"/>
  <c r="O46" i="2"/>
  <c r="O43" i="2"/>
  <c r="R42" i="2"/>
  <c r="O41" i="2"/>
  <c r="O42" i="2"/>
  <c r="P48" i="2"/>
  <c r="Q43" i="2" s="1"/>
  <c r="R43" i="2"/>
  <c r="O37" i="1"/>
  <c r="M40" i="1"/>
  <c r="N37" i="1"/>
  <c r="O39" i="1"/>
  <c r="L38" i="1"/>
  <c r="L39" i="1"/>
  <c r="L36" i="1"/>
  <c r="L35" i="1"/>
  <c r="L37" i="1"/>
  <c r="C115" i="9" l="1"/>
  <c r="C119" i="9" s="1"/>
  <c r="C123" i="9" s="1"/>
  <c r="C131" i="9" s="1"/>
  <c r="P47" i="9"/>
  <c r="E23" i="7"/>
  <c r="E22" i="7" s="1"/>
  <c r="C24" i="7"/>
  <c r="S38" i="7"/>
  <c r="R24" i="7"/>
  <c r="C62" i="7"/>
  <c r="P55" i="9"/>
  <c r="P52" i="9"/>
  <c r="C107" i="9"/>
  <c r="E119" i="9"/>
  <c r="E123" i="9" s="1"/>
  <c r="E131" i="9" s="1"/>
  <c r="C90" i="3"/>
  <c r="C100" i="3" s="1"/>
  <c r="E109" i="3" s="1"/>
  <c r="C84" i="3"/>
  <c r="N48" i="3"/>
  <c r="S110" i="2"/>
  <c r="O48" i="2"/>
  <c r="F61" i="2"/>
  <c r="B125" i="2" s="1"/>
  <c r="E57" i="2"/>
  <c r="E58" i="2"/>
  <c r="E55" i="2"/>
  <c r="E59" i="2"/>
  <c r="E60" i="2"/>
  <c r="E54" i="2"/>
  <c r="T104" i="2"/>
  <c r="T110" i="2" s="1"/>
  <c r="R104" i="2"/>
  <c r="R110" i="2" s="1"/>
  <c r="O112" i="2" s="1"/>
  <c r="R48" i="2"/>
  <c r="S43" i="2" s="1"/>
  <c r="Q46" i="2"/>
  <c r="Q41" i="2"/>
  <c r="Q42" i="2"/>
  <c r="Q44" i="2"/>
  <c r="Q47" i="2"/>
  <c r="Q45" i="2"/>
  <c r="N38" i="1"/>
  <c r="N35" i="1"/>
  <c r="N36" i="1"/>
  <c r="N40" i="1" s="1"/>
  <c r="N39" i="1"/>
  <c r="L40" i="1"/>
  <c r="O40" i="1"/>
  <c r="P39" i="1" s="1"/>
  <c r="P56" i="9" l="1"/>
  <c r="P58" i="9" s="1"/>
  <c r="O66" i="9" s="1"/>
  <c r="E24" i="7"/>
  <c r="D22" i="7"/>
  <c r="S26" i="7"/>
  <c r="U45" i="7" s="1"/>
  <c r="N49" i="3"/>
  <c r="N63" i="3" s="1"/>
  <c r="N47" i="3"/>
  <c r="B146" i="2"/>
  <c r="E61" i="2"/>
  <c r="G57" i="2"/>
  <c r="G54" i="2"/>
  <c r="G60" i="2"/>
  <c r="G55" i="2"/>
  <c r="G58" i="2"/>
  <c r="G59" i="2"/>
  <c r="G56" i="2"/>
  <c r="S47" i="2"/>
  <c r="S44" i="2"/>
  <c r="S46" i="2"/>
  <c r="S45" i="2"/>
  <c r="S41" i="2"/>
  <c r="S42" i="2"/>
  <c r="O87" i="2" s="1"/>
  <c r="O88" i="2" s="1"/>
  <c r="O113" i="2"/>
  <c r="Q48" i="2"/>
  <c r="O91" i="2"/>
  <c r="P38" i="1"/>
  <c r="P36" i="1"/>
  <c r="P35" i="1"/>
  <c r="P40" i="1" s="1"/>
  <c r="P37" i="1"/>
  <c r="C29" i="7" l="1"/>
  <c r="D24" i="7"/>
  <c r="C35" i="7" s="1"/>
  <c r="C39" i="7" s="1"/>
  <c r="C58" i="7"/>
  <c r="C66" i="7" s="1"/>
  <c r="B104" i="2"/>
  <c r="B110" i="2" s="1"/>
  <c r="B160" i="2" s="1"/>
  <c r="G61" i="2"/>
  <c r="C151" i="2"/>
  <c r="D153" i="2" s="1"/>
  <c r="D154" i="2"/>
  <c r="O92" i="2"/>
  <c r="O118" i="2"/>
  <c r="O114" i="2"/>
  <c r="O115" i="2" s="1"/>
  <c r="O116" i="2"/>
  <c r="S48" i="2"/>
  <c r="D73" i="7" l="1"/>
  <c r="D71" i="7"/>
  <c r="D72" i="7"/>
  <c r="S24" i="7"/>
  <c r="S27" i="7" s="1"/>
  <c r="S28" i="7" s="1"/>
  <c r="T23" i="7"/>
  <c r="T24" i="7" s="1"/>
  <c r="S37" i="7"/>
  <c r="S39" i="7" s="1"/>
  <c r="S45" i="7" l="1"/>
  <c r="S44" i="7"/>
  <c r="S42" i="7"/>
  <c r="S43" i="7"/>
  <c r="S46" i="7"/>
</calcChain>
</file>

<file path=xl/sharedStrings.xml><?xml version="1.0" encoding="utf-8"?>
<sst xmlns="http://schemas.openxmlformats.org/spreadsheetml/2006/main" count="1671" uniqueCount="727">
  <si>
    <t>ft/h</t>
  </si>
  <si>
    <r>
      <t>v</t>
    </r>
    <r>
      <rPr>
        <vertAlign val="subscript"/>
        <sz val="11"/>
        <rFont val="Times New Roman"/>
        <family val="1"/>
      </rPr>
      <t>max</t>
    </r>
  </si>
  <si>
    <r>
      <t>ρ</t>
    </r>
    <r>
      <rPr>
        <vertAlign val="subscript"/>
        <sz val="11"/>
        <rFont val="Times New Roman"/>
        <family val="1"/>
      </rPr>
      <t>V</t>
    </r>
    <r>
      <rPr>
        <sz val="11"/>
        <rFont val="Times New Roman"/>
        <family val="1"/>
      </rPr>
      <t>-</t>
    </r>
    <r>
      <rPr>
        <sz val="11"/>
        <rFont val="Arial"/>
        <family val="2"/>
      </rPr>
      <t>ρ</t>
    </r>
    <r>
      <rPr>
        <vertAlign val="subscript"/>
        <sz val="11"/>
        <rFont val="Times New Roman"/>
        <family val="1"/>
      </rPr>
      <t>L</t>
    </r>
  </si>
  <si>
    <r>
      <t>CAF</t>
    </r>
    <r>
      <rPr>
        <vertAlign val="subscript"/>
        <sz val="11"/>
        <rFont val="Times New Roman"/>
        <family val="1"/>
      </rPr>
      <t>0</t>
    </r>
  </si>
  <si>
    <t>For the given feed stream, estimate the product stream compositions for 98% propane recovery in the overhead and with a maximum iso-butane content of 1%.</t>
  </si>
  <si>
    <t>Component</t>
  </si>
  <si>
    <t>Moles</t>
  </si>
  <si>
    <t>Feed</t>
  </si>
  <si>
    <t>moles</t>
  </si>
  <si>
    <t>To find the propane in the overhead with 98% recovery:</t>
  </si>
  <si>
    <t>By steady state material balance, the moles of propane in the bottoms:</t>
  </si>
  <si>
    <t>To find the amount of iso-butane in the overhead with maximum 1%:</t>
  </si>
  <si>
    <t>The remainder of the materials in the overhead will be 99% of the total.</t>
  </si>
  <si>
    <t>Total moles in overhead = 161.9 moles / .99</t>
  </si>
  <si>
    <t>Therefore, the number of moles of iso-butane can be found by:</t>
  </si>
  <si>
    <t>iC4 in overhead= .01 * total moles in overhead</t>
  </si>
  <si>
    <t>The rest of the iso-butane will be in the bottoms.</t>
  </si>
  <si>
    <t>Overhead</t>
  </si>
  <si>
    <t>Bottoms</t>
  </si>
  <si>
    <t>mole %</t>
  </si>
  <si>
    <t>total</t>
  </si>
  <si>
    <t>Find the minimum number of trays, the minimum reflux ratio, and the actual number of trays at 1.3 times the minimum reflux ratio given the following:</t>
  </si>
  <si>
    <t>gal/day</t>
  </si>
  <si>
    <t>component</t>
  </si>
  <si>
    <t>moles/h</t>
  </si>
  <si>
    <t>mol %</t>
  </si>
  <si>
    <t>Specifications:</t>
  </si>
  <si>
    <t>Solution</t>
  </si>
  <si>
    <t>First, the product streams will be estimated using the given specifications similar to Example 19.1</t>
  </si>
  <si>
    <t>mol/h</t>
  </si>
  <si>
    <t>The bottoms stream can be found by steady state material balance. A material balance table is shown below.</t>
  </si>
  <si>
    <t xml:space="preserve">Component </t>
  </si>
  <si>
    <t>K- Value</t>
  </si>
  <si>
    <t>α =</t>
  </si>
  <si>
    <t>To find the bubble point temperature of the bottoms, K values from the bubble point pressure are used (280 psia). This assumes negligible pressure drop across the column.</t>
  </si>
  <si>
    <t>K-Value</t>
  </si>
  <si>
    <t xml:space="preserve">The K Values below are obtained from section 25. </t>
  </si>
  <si>
    <t>A bubble point calculation can be performed, and it is found that the pressure is 280 psia.</t>
  </si>
  <si>
    <t>The relative volatility can be found.</t>
  </si>
  <si>
    <t>From this and the average relative volatility, the minimum number of stages can be found using Equation 19-3</t>
  </si>
  <si>
    <t>Sm</t>
  </si>
  <si>
    <t xml:space="preserve">trays </t>
  </si>
  <si>
    <t xml:space="preserve">Check whether a relative volatility correction is needed. </t>
  </si>
  <si>
    <t>b</t>
  </si>
  <si>
    <t>β</t>
  </si>
  <si>
    <t>These two systems of equations can be solved for b and β.</t>
  </si>
  <si>
    <t>(condenser)</t>
  </si>
  <si>
    <t>(reboiler)</t>
  </si>
  <si>
    <t>Now, Equation 19-6 can be used to calculate the minimum number of stages.</t>
  </si>
  <si>
    <t>trays</t>
  </si>
  <si>
    <t>Taking the relative volatility correction into account changed the minimum number of trays by a negligible amount.</t>
  </si>
  <si>
    <t xml:space="preserve">To find the minimum reflux, Equations 19-7 and 19-8 can be used. </t>
  </si>
  <si>
    <t>Ktop</t>
  </si>
  <si>
    <t>Kbottom</t>
  </si>
  <si>
    <t>Rm</t>
  </si>
  <si>
    <t>R</t>
  </si>
  <si>
    <t>S</t>
  </si>
  <si>
    <t xml:space="preserve"> trays</t>
  </si>
  <si>
    <t>Rounding up, this is 21 trays.</t>
  </si>
  <si>
    <t>Find the diameter of a depropanizer given the following:</t>
  </si>
  <si>
    <t>Vapor rate</t>
  </si>
  <si>
    <t>Vapor density</t>
  </si>
  <si>
    <t>Liquid rate</t>
  </si>
  <si>
    <t>gpm</t>
  </si>
  <si>
    <t>Liquid density</t>
  </si>
  <si>
    <t>Liquid surface tension</t>
  </si>
  <si>
    <t>dyne/cm</t>
  </si>
  <si>
    <t>tray spacing</t>
  </si>
  <si>
    <t>inches</t>
  </si>
  <si>
    <t>There are three methods of finding tower diameter. All three will be explored.</t>
  </si>
  <si>
    <t>C Factor Method</t>
  </si>
  <si>
    <t>ft/hr</t>
  </si>
  <si>
    <t>This can be used in Equation 19.12 to find D.</t>
  </si>
  <si>
    <t>D</t>
  </si>
  <si>
    <t>feet</t>
  </si>
  <si>
    <t>Nomograph Method</t>
  </si>
  <si>
    <t xml:space="preserve">One pass tray </t>
  </si>
  <si>
    <t>Two pass tray</t>
  </si>
  <si>
    <t>ft</t>
  </si>
  <si>
    <t>in</t>
  </si>
  <si>
    <t>Detailed Method</t>
  </si>
  <si>
    <t>B</t>
  </si>
  <si>
    <t>System factor</t>
  </si>
  <si>
    <t>VDdsg = VD*dsg * System factor</t>
  </si>
  <si>
    <t>CAF</t>
  </si>
  <si>
    <t>ft/s</t>
  </si>
  <si>
    <t>FPL</t>
  </si>
  <si>
    <t>one pass tray</t>
  </si>
  <si>
    <t>two pass tray</t>
  </si>
  <si>
    <t>Using Equation 19.17, the active area can be found.</t>
  </si>
  <si>
    <t>AAM</t>
  </si>
  <si>
    <t>The area of the downcomer can be found using Equation 19.18. If it is less than 11% of AAM, use either 11% of AAM or double ADM, whichever is smaller.</t>
  </si>
  <si>
    <t>ADM</t>
  </si>
  <si>
    <t>ADM / AAM</t>
  </si>
  <si>
    <t>one pass</t>
  </si>
  <si>
    <t>two pass</t>
  </si>
  <si>
    <t>In both cases, the downcomer areas are sufficiently large.</t>
  </si>
  <si>
    <t>ATM</t>
  </si>
  <si>
    <t>Another method to find the cross sectional area of the tower is Equation 19.20.</t>
  </si>
  <si>
    <t>The larger of the two ATM values is used. In this case, it will be the ones calculated from Equation 19.19.</t>
  </si>
  <si>
    <t>Now the cross sectional area of the tower can be found using Equation 19.19</t>
  </si>
  <si>
    <t>The diameter of the column can be calculated by Equation 19.21.</t>
  </si>
  <si>
    <t>A comparison of the different calculated diameters follows.</t>
  </si>
  <si>
    <t>Method</t>
  </si>
  <si>
    <t>Estimated Diameter (in)</t>
  </si>
  <si>
    <t>C Factor</t>
  </si>
  <si>
    <t>Number of Passes</t>
  </si>
  <si>
    <t>-</t>
  </si>
  <si>
    <t xml:space="preserve">Nomograph </t>
  </si>
  <si>
    <t xml:space="preserve">Detailed </t>
  </si>
  <si>
    <t>Detailed</t>
  </si>
  <si>
    <t>A</t>
  </si>
  <si>
    <t>C</t>
  </si>
  <si>
    <t>CFS</t>
  </si>
  <si>
    <t>D'</t>
  </si>
  <si>
    <t>f</t>
  </si>
  <si>
    <t>F</t>
  </si>
  <si>
    <t>diameter, ft</t>
  </si>
  <si>
    <t>tower diameter, ft</t>
  </si>
  <si>
    <t>packing factor</t>
  </si>
  <si>
    <t>FF</t>
  </si>
  <si>
    <t>GPM</t>
  </si>
  <si>
    <t>H</t>
  </si>
  <si>
    <t>HETP</t>
  </si>
  <si>
    <t>HTU</t>
  </si>
  <si>
    <t>K</t>
  </si>
  <si>
    <t>flow path length, ft</t>
  </si>
  <si>
    <t>tower liquid loading, gal/min</t>
  </si>
  <si>
    <t>enthalpy, Btu/lb</t>
  </si>
  <si>
    <t>height of packing equivalent to a theoretical plate</t>
  </si>
  <si>
    <t>height of a transfer unit</t>
  </si>
  <si>
    <t>L</t>
  </si>
  <si>
    <t>m</t>
  </si>
  <si>
    <t>M</t>
  </si>
  <si>
    <t>n</t>
  </si>
  <si>
    <t>tube length, ft</t>
  </si>
  <si>
    <t>number of stripping stages</t>
  </si>
  <si>
    <t>minimum number of theoretical stages</t>
  </si>
  <si>
    <t>NP</t>
  </si>
  <si>
    <t>N</t>
  </si>
  <si>
    <t>Q</t>
  </si>
  <si>
    <t>Re</t>
  </si>
  <si>
    <t>s</t>
  </si>
  <si>
    <t>TS</t>
  </si>
  <si>
    <t>ΔP</t>
  </si>
  <si>
    <t>q</t>
  </si>
  <si>
    <t>number of passes in a tray</t>
  </si>
  <si>
    <t>number of tubes</t>
  </si>
  <si>
    <t>pressure drop, psi</t>
  </si>
  <si>
    <t>moles of saturated liquid in the feed per mole of feed</t>
  </si>
  <si>
    <t>reflux ratio, moles of reflux divided by moles of net overhead product</t>
  </si>
  <si>
    <t>specific gravity</t>
  </si>
  <si>
    <t>number of stages</t>
  </si>
  <si>
    <t>Reynold's number, dimensionless</t>
  </si>
  <si>
    <t>v</t>
  </si>
  <si>
    <t>V</t>
  </si>
  <si>
    <t>maximum velocity, ft/hr</t>
  </si>
  <si>
    <t>w</t>
  </si>
  <si>
    <t>x</t>
  </si>
  <si>
    <t>X</t>
  </si>
  <si>
    <t>y</t>
  </si>
  <si>
    <t>liquid mole fraction</t>
  </si>
  <si>
    <t>moles of a component in the lean oil per mole of rich oil</t>
  </si>
  <si>
    <t>moles of a component in the liquid in equilibrium with the stripping medium per mole of entering rich oil</t>
  </si>
  <si>
    <t>vapor mole fraction</t>
  </si>
  <si>
    <t>moles of any component in the lean gas leaving the absorber per mole of rich gas</t>
  </si>
  <si>
    <t>Z</t>
  </si>
  <si>
    <t>α</t>
  </si>
  <si>
    <t>θ</t>
  </si>
  <si>
    <t>σ</t>
  </si>
  <si>
    <t>ρ</t>
  </si>
  <si>
    <t>ε</t>
  </si>
  <si>
    <t>μ</t>
  </si>
  <si>
    <t>moles of any component in the entering rich gas per mole of rich gas</t>
  </si>
  <si>
    <t>static head, ft</t>
  </si>
  <si>
    <t>relative volatility</t>
  </si>
  <si>
    <t>surface tension, dyne/cm</t>
  </si>
  <si>
    <t>efficiency</t>
  </si>
  <si>
    <t>Subscripts</t>
  </si>
  <si>
    <t>avg</t>
  </si>
  <si>
    <t>BP</t>
  </si>
  <si>
    <t>bottom</t>
  </si>
  <si>
    <t>calc</t>
  </si>
  <si>
    <t>corr</t>
  </si>
  <si>
    <t>G</t>
  </si>
  <si>
    <t>HK</t>
  </si>
  <si>
    <t>I</t>
  </si>
  <si>
    <t>LK</t>
  </si>
  <si>
    <t>top</t>
  </si>
  <si>
    <t>bottoms</t>
  </si>
  <si>
    <t>bubble point feed stream</t>
  </si>
  <si>
    <t>bottom of the column</t>
  </si>
  <si>
    <t>calculated value</t>
  </si>
  <si>
    <t>corrected value</t>
  </si>
  <si>
    <t>distillate (overhead)</t>
  </si>
  <si>
    <t>feed</t>
  </si>
  <si>
    <t xml:space="preserve">gas </t>
  </si>
  <si>
    <t>heavy key</t>
  </si>
  <si>
    <t>any component</t>
  </si>
  <si>
    <t>liquid</t>
  </si>
  <si>
    <t>light key</t>
  </si>
  <si>
    <t>tray number</t>
  </si>
  <si>
    <t>top of the column</t>
  </si>
  <si>
    <t>minimum</t>
  </si>
  <si>
    <t>Find the tray efficiency of the column in Example 19-2.</t>
  </si>
  <si>
    <t>Figure 19.18 will be used to estimate a plate efficiency. This needs the relative volatility and the viscosity of the key component at average column conditions.</t>
  </si>
  <si>
    <t>Tavg = (Ttop + Tbottom) / 2</t>
  </si>
  <si>
    <t>Tavg</t>
  </si>
  <si>
    <t>cp</t>
  </si>
  <si>
    <t>product</t>
  </si>
  <si>
    <t>From the figure, the efficiency was estimated to be 80%. The number of actual trays can be found with this number as follows. The method below counts the reboiler as a stage.</t>
  </si>
  <si>
    <t>Find the diameter for a packed tower using 2" plastic Pall rings for the column in Example 19-3. The given data for that problem are copied below.</t>
  </si>
  <si>
    <t>Also given:</t>
  </si>
  <si>
    <t>lb/h</t>
  </si>
  <si>
    <t xml:space="preserve">Using 0.420 on the bottom axis, following the graph up to the specified pressure drop, the left axis can be found. The left axis is equal to a large equation that includes Gp, which can be solved for. </t>
  </si>
  <si>
    <t>left axis</t>
  </si>
  <si>
    <t>Gp</t>
  </si>
  <si>
    <t>The cross sectional area of the column can be found by taking the mass of the gas flowrate and dividing by Gp and the conversion between seconds and hours.</t>
  </si>
  <si>
    <t>Ac</t>
  </si>
  <si>
    <t>The diameter of the tower can be found using the equation for area of a circle.</t>
  </si>
  <si>
    <t>This would likely be rounded to 7 ft</t>
  </si>
  <si>
    <t>Tube Data</t>
  </si>
  <si>
    <t>Surface Area</t>
  </si>
  <si>
    <t>Internal Tube Area</t>
  </si>
  <si>
    <t>Vapor Density</t>
  </si>
  <si>
    <t>Liquid Viscosity</t>
  </si>
  <si>
    <t>Liquid Specific Gravity</t>
  </si>
  <si>
    <t>Inner Diameter</t>
  </si>
  <si>
    <t>An energy balance should be calculated. Using thermodynamic data:</t>
  </si>
  <si>
    <t>Btu/lb</t>
  </si>
  <si>
    <t>The energy needed to make 40,800 lb/ vapor:</t>
  </si>
  <si>
    <t>Q = m * ΔH</t>
  </si>
  <si>
    <t>To find how much steam is needed:</t>
  </si>
  <si>
    <t>Enthalpy of steam at given conditions</t>
  </si>
  <si>
    <t>m= Q/ H</t>
  </si>
  <si>
    <t>lb/h steam</t>
  </si>
  <si>
    <t>Btu/h</t>
  </si>
  <si>
    <t>ΔT</t>
  </si>
  <si>
    <t>A = Q / flux</t>
  </si>
  <si>
    <t>N = required surface area / (length of tube * surface area of tube )</t>
  </si>
  <si>
    <t>Length of Tube</t>
  </si>
  <si>
    <t>tubes</t>
  </si>
  <si>
    <t>Using Equation 19.27, the static pressure of the reboiler leg can be found.</t>
  </si>
  <si>
    <t>Find the optimum heat exchanger for a vertical thermosyphon application given it must produce 40,800 lb/h vapor (assume pure butane). The pressure of the column is 275 psig, has an isothermal boiling point of 228 F. The energy for the reboiler will be supplied by saturated steam at 125 psig. The recirculation ratio should be at least 4:1.</t>
  </si>
  <si>
    <t>The weight of the recirculated liquid can be found by multiplying the vapor mass by 4 (the minimum recirculation ratio).</t>
  </si>
  <si>
    <t>lb liquid/hr</t>
  </si>
  <si>
    <t>With this, the total volume of the reboiler outlet can be found.</t>
  </si>
  <si>
    <t>Vv</t>
  </si>
  <si>
    <t>Total volume</t>
  </si>
  <si>
    <t>The specific volume of the outlet can now be found using the total volume and the total mass.</t>
  </si>
  <si>
    <t>P</t>
  </si>
  <si>
    <t>psi</t>
  </si>
  <si>
    <t>The mass velocity, Gt, can be found by dividing the mass flowrate by the area of the tube.</t>
  </si>
  <si>
    <t>ft*h/lb</t>
  </si>
  <si>
    <t>Converting the diameter of the pipe:</t>
  </si>
  <si>
    <t>Converting the viscosity units:</t>
  </si>
  <si>
    <t>Using a Moody plot, the friction factor can be found.</t>
  </si>
  <si>
    <t>The total resistance to flow can be calculated by adding the frictional resistance and static resistance.</t>
  </si>
  <si>
    <t>Total ΔP</t>
  </si>
  <si>
    <t>The driving force can be calculated:</t>
  </si>
  <si>
    <t>The difference in the driving force and resistance to flow determines whether or not the flow will go into the reboiler.</t>
  </si>
  <si>
    <t xml:space="preserve">Find the oil circulation rate and the composition of the residue gas given the following information. 75 percent of the propane needs to be removed from 100  mol of the rich gas stream. The absorber will have six theoretical plates, the average temperature and pressure of the absorber are 104 F and 1000 psig. Assume the lean oil is completely stripped of rich gas components. The feed composition is given below. </t>
  </si>
  <si>
    <t>Mol %</t>
  </si>
  <si>
    <t xml:space="preserve">K values can be found from the equilibrium data in Chapter 25, using the average absorber conditions. </t>
  </si>
  <si>
    <t>Equation 19.29 can now be used.</t>
  </si>
  <si>
    <t>Now, A can be calculated for the remaining components.</t>
  </si>
  <si>
    <t>Ea</t>
  </si>
  <si>
    <t>Now, the Ea value can be used to solve Eq 19.30 for the outlet composition of the lean gas.</t>
  </si>
  <si>
    <t>Now the moles of each component in the rich oil, I, can be calculated by steady state material balance.</t>
  </si>
  <si>
    <t>All the calculated properties are summarized in a table below.</t>
  </si>
  <si>
    <t>Y1</t>
  </si>
  <si>
    <t>Determine the number of theoretical stages given the following information. Sour water containing 2500 ppmw needs to be stripped to 1.5 ppmw. Enough energy is provided by the reboiler to produce .75 lb steam per gallon feed. The feed rate is 10 gpm and the top of the tower operates at 21 psia. First, an overall material balance will be performed using the given specifications.</t>
  </si>
  <si>
    <t>The feed will be converted to mass flowrate.</t>
  </si>
  <si>
    <t>Now the overall steady state material balance can be done, using the specifications given.</t>
  </si>
  <si>
    <t>Feed (lb/h)</t>
  </si>
  <si>
    <t>Overhead (lb/h)</t>
  </si>
  <si>
    <t>Bottoms (lb/h)</t>
  </si>
  <si>
    <t>In order to estimate the top temperature, the fraction of water in the overhead and the partial pressure of water in the overhead need to be found.</t>
  </si>
  <si>
    <t>Now the moles of vapor leaving the top tray can be found using the masses from the material balance and the molecular weights of each component.</t>
  </si>
  <si>
    <t>mol</t>
  </si>
  <si>
    <t>Es</t>
  </si>
  <si>
    <t>Using the steam tables from Chapter 24, the temperature of the top was estimated to be 229 °F.</t>
  </si>
  <si>
    <t>T (°F)</t>
  </si>
  <si>
    <r>
      <t>C</t>
    </r>
    <r>
      <rPr>
        <vertAlign val="subscript"/>
        <sz val="11"/>
        <rFont val="Times New Roman"/>
        <family val="1"/>
      </rPr>
      <t>2</t>
    </r>
  </si>
  <si>
    <r>
      <t>C</t>
    </r>
    <r>
      <rPr>
        <vertAlign val="subscript"/>
        <sz val="11"/>
        <rFont val="Times New Roman"/>
        <family val="1"/>
      </rPr>
      <t>3</t>
    </r>
  </si>
  <si>
    <r>
      <t>iC</t>
    </r>
    <r>
      <rPr>
        <vertAlign val="subscript"/>
        <sz val="11"/>
        <rFont val="Times New Roman"/>
        <family val="1"/>
      </rPr>
      <t>4</t>
    </r>
  </si>
  <si>
    <r>
      <t>nC</t>
    </r>
    <r>
      <rPr>
        <vertAlign val="subscript"/>
        <sz val="11"/>
        <rFont val="Times New Roman"/>
        <family val="1"/>
      </rPr>
      <t>4</t>
    </r>
  </si>
  <si>
    <r>
      <t>C</t>
    </r>
    <r>
      <rPr>
        <vertAlign val="subscript"/>
        <sz val="11"/>
        <rFont val="Times New Roman"/>
        <family val="1"/>
      </rPr>
      <t>5</t>
    </r>
  </si>
  <si>
    <r>
      <t>C</t>
    </r>
    <r>
      <rPr>
        <b/>
        <vertAlign val="subscript"/>
        <sz val="11"/>
        <rFont val="Times New Roman"/>
        <family val="1"/>
      </rPr>
      <t>2</t>
    </r>
  </si>
  <si>
    <r>
      <t>C</t>
    </r>
    <r>
      <rPr>
        <b/>
        <vertAlign val="subscript"/>
        <sz val="11"/>
        <rFont val="Times New Roman"/>
        <family val="1"/>
      </rPr>
      <t>3</t>
    </r>
  </si>
  <si>
    <r>
      <t>iC</t>
    </r>
    <r>
      <rPr>
        <b/>
        <vertAlign val="subscript"/>
        <sz val="11"/>
        <rFont val="Times New Roman"/>
        <family val="1"/>
      </rPr>
      <t>4</t>
    </r>
  </si>
  <si>
    <r>
      <t>nC</t>
    </r>
    <r>
      <rPr>
        <b/>
        <vertAlign val="subscript"/>
        <sz val="11"/>
        <rFont val="Times New Roman"/>
        <family val="1"/>
      </rPr>
      <t>4</t>
    </r>
  </si>
  <si>
    <r>
      <t>C</t>
    </r>
    <r>
      <rPr>
        <b/>
        <vertAlign val="subscript"/>
        <sz val="11"/>
        <rFont val="Times New Roman"/>
        <family val="1"/>
      </rPr>
      <t>5</t>
    </r>
  </si>
  <si>
    <t xml:space="preserve">First, θ needs to be found. This is done in the following table. </t>
  </si>
  <si>
    <t>α*XF/(α-θ)</t>
  </si>
  <si>
    <t>θ=16</t>
  </si>
  <si>
    <t>θ=15</t>
  </si>
  <si>
    <r>
      <t>iC</t>
    </r>
    <r>
      <rPr>
        <vertAlign val="subscript"/>
        <sz val="11"/>
        <rFont val="Times New Roman"/>
        <family val="1"/>
      </rPr>
      <t>5</t>
    </r>
  </si>
  <si>
    <r>
      <t>nC</t>
    </r>
    <r>
      <rPr>
        <vertAlign val="subscript"/>
        <sz val="11"/>
        <rFont val="Times New Roman"/>
        <family val="1"/>
      </rPr>
      <t>5</t>
    </r>
  </si>
  <si>
    <r>
      <t>C</t>
    </r>
    <r>
      <rPr>
        <vertAlign val="subscript"/>
        <sz val="11"/>
        <rFont val="Times New Roman"/>
        <family val="1"/>
      </rPr>
      <t>6</t>
    </r>
  </si>
  <si>
    <r>
      <t>iC</t>
    </r>
    <r>
      <rPr>
        <b/>
        <vertAlign val="subscript"/>
        <sz val="11"/>
        <rFont val="Times New Roman"/>
        <family val="1"/>
      </rPr>
      <t>5</t>
    </r>
  </si>
  <si>
    <r>
      <t>nC</t>
    </r>
    <r>
      <rPr>
        <b/>
        <vertAlign val="subscript"/>
        <sz val="11"/>
        <rFont val="Times New Roman"/>
        <family val="1"/>
      </rPr>
      <t>5</t>
    </r>
  </si>
  <si>
    <r>
      <t>C</t>
    </r>
    <r>
      <rPr>
        <b/>
        <vertAlign val="subscript"/>
        <sz val="11"/>
        <rFont val="Times New Roman"/>
        <family val="1"/>
      </rPr>
      <t>6</t>
    </r>
  </si>
  <si>
    <r>
      <t>α</t>
    </r>
    <r>
      <rPr>
        <vertAlign val="subscript"/>
        <sz val="11"/>
        <rFont val="Times New Roman"/>
        <family val="1"/>
      </rPr>
      <t>AVG</t>
    </r>
  </si>
  <si>
    <r>
      <t>To calculate S</t>
    </r>
    <r>
      <rPr>
        <vertAlign val="subscript"/>
        <sz val="11"/>
        <rFont val="Times New Roman"/>
        <family val="1"/>
      </rPr>
      <t>F</t>
    </r>
    <r>
      <rPr>
        <sz val="11"/>
        <rFont val="Times New Roman"/>
        <family val="1"/>
      </rPr>
      <t>, Equation 19-1 is used.</t>
    </r>
  </si>
  <si>
    <r>
      <t>S</t>
    </r>
    <r>
      <rPr>
        <vertAlign val="subscript"/>
        <sz val="11"/>
        <rFont val="Times New Roman"/>
        <family val="1"/>
      </rPr>
      <t>F</t>
    </r>
  </si>
  <si>
    <r>
      <t>x</t>
    </r>
    <r>
      <rPr>
        <vertAlign val="subscript"/>
        <sz val="11"/>
        <rFont val="Times New Roman"/>
        <family val="1"/>
      </rPr>
      <t>F</t>
    </r>
  </si>
  <si>
    <r>
      <t>L</t>
    </r>
    <r>
      <rPr>
        <vertAlign val="subscript"/>
        <sz val="11"/>
        <rFont val="Times New Roman"/>
        <family val="1"/>
      </rPr>
      <t>0</t>
    </r>
    <r>
      <rPr>
        <sz val="11"/>
        <rFont val="Times New Roman"/>
        <family val="1"/>
      </rPr>
      <t xml:space="preserve"> / V</t>
    </r>
    <r>
      <rPr>
        <vertAlign val="subscript"/>
        <sz val="11"/>
        <rFont val="Times New Roman"/>
        <family val="1"/>
      </rPr>
      <t>1</t>
    </r>
    <r>
      <rPr>
        <sz val="11"/>
        <rFont val="Times New Roman"/>
        <family val="1"/>
      </rPr>
      <t xml:space="preserve"> = R / ( R + 1 )</t>
    </r>
  </si>
  <si>
    <r>
      <t>( L</t>
    </r>
    <r>
      <rPr>
        <vertAlign val="subscript"/>
        <sz val="11"/>
        <rFont val="Times New Roman"/>
        <family val="1"/>
      </rPr>
      <t>0</t>
    </r>
    <r>
      <rPr>
        <sz val="11"/>
        <rFont val="Times New Roman"/>
        <family val="1"/>
      </rPr>
      <t xml:space="preserve"> / V</t>
    </r>
    <r>
      <rPr>
        <vertAlign val="subscript"/>
        <sz val="11"/>
        <rFont val="Times New Roman"/>
        <family val="1"/>
      </rPr>
      <t>1</t>
    </r>
    <r>
      <rPr>
        <sz val="11"/>
        <rFont val="Times New Roman"/>
        <family val="1"/>
      </rPr>
      <t xml:space="preserve"> )</t>
    </r>
    <r>
      <rPr>
        <vertAlign val="subscript"/>
        <sz val="11"/>
        <rFont val="Times New Roman"/>
        <family val="1"/>
      </rPr>
      <t>m</t>
    </r>
    <r>
      <rPr>
        <sz val="11"/>
        <rFont val="Times New Roman"/>
        <family val="1"/>
      </rPr>
      <t xml:space="preserve"> = R</t>
    </r>
    <r>
      <rPr>
        <vertAlign val="subscript"/>
        <sz val="11"/>
        <rFont val="Times New Roman"/>
        <family val="1"/>
      </rPr>
      <t>m</t>
    </r>
    <r>
      <rPr>
        <sz val="11"/>
        <rFont val="Times New Roman"/>
        <family val="1"/>
      </rPr>
      <t xml:space="preserve"> / ( R</t>
    </r>
    <r>
      <rPr>
        <vertAlign val="subscript"/>
        <sz val="11"/>
        <rFont val="Times New Roman"/>
        <family val="1"/>
      </rPr>
      <t>m</t>
    </r>
    <r>
      <rPr>
        <sz val="11"/>
        <rFont val="Times New Roman"/>
        <family val="1"/>
      </rPr>
      <t xml:space="preserve"> + 1 )</t>
    </r>
  </si>
  <si>
    <r>
      <t>ft</t>
    </r>
    <r>
      <rPr>
        <vertAlign val="superscript"/>
        <sz val="11"/>
        <rFont val="Times New Roman"/>
        <family val="1"/>
      </rPr>
      <t>3</t>
    </r>
    <r>
      <rPr>
        <sz val="11"/>
        <rFont val="Times New Roman"/>
        <family val="1"/>
      </rPr>
      <t>/h</t>
    </r>
  </si>
  <si>
    <r>
      <t>ft</t>
    </r>
    <r>
      <rPr>
        <vertAlign val="superscript"/>
        <sz val="11"/>
        <rFont val="Times New Roman"/>
        <family val="1"/>
      </rPr>
      <t>3</t>
    </r>
    <r>
      <rPr>
        <sz val="11"/>
        <rFont val="Times New Roman"/>
        <family val="1"/>
      </rPr>
      <t>/s</t>
    </r>
  </si>
  <si>
    <r>
      <t>lb/ft</t>
    </r>
    <r>
      <rPr>
        <vertAlign val="superscript"/>
        <sz val="11"/>
        <rFont val="Times New Roman"/>
        <family val="1"/>
      </rPr>
      <t>3</t>
    </r>
  </si>
  <si>
    <r>
      <t>Using Equation 19.11, v</t>
    </r>
    <r>
      <rPr>
        <vertAlign val="subscript"/>
        <sz val="11"/>
        <rFont val="Times New Roman"/>
        <family val="1"/>
      </rPr>
      <t>max</t>
    </r>
    <r>
      <rPr>
        <sz val="11"/>
        <rFont val="Times New Roman"/>
        <family val="1"/>
      </rPr>
      <t xml:space="preserve"> can be found.</t>
    </r>
  </si>
  <si>
    <r>
      <t>VD</t>
    </r>
    <r>
      <rPr>
        <vertAlign val="superscript"/>
        <sz val="11"/>
        <rFont val="Times New Roman"/>
        <family val="1"/>
      </rPr>
      <t>*</t>
    </r>
    <r>
      <rPr>
        <vertAlign val="subscript"/>
        <sz val="11"/>
        <rFont val="Times New Roman"/>
        <family val="1"/>
      </rPr>
      <t>dsg</t>
    </r>
  </si>
  <si>
    <r>
      <t>gpm/ft</t>
    </r>
    <r>
      <rPr>
        <vertAlign val="superscript"/>
        <sz val="11"/>
        <rFont val="Times New Roman"/>
        <family val="1"/>
      </rPr>
      <t>2</t>
    </r>
  </si>
  <si>
    <r>
      <t>CAF = CAF</t>
    </r>
    <r>
      <rPr>
        <vertAlign val="subscript"/>
        <sz val="11"/>
        <rFont val="Times New Roman"/>
        <family val="1"/>
      </rPr>
      <t>0</t>
    </r>
    <r>
      <rPr>
        <sz val="11"/>
        <rFont val="Times New Roman"/>
        <family val="1"/>
      </rPr>
      <t xml:space="preserve"> * System factor</t>
    </r>
  </si>
  <si>
    <r>
      <t>FPL = 9 * D</t>
    </r>
    <r>
      <rPr>
        <vertAlign val="subscript"/>
        <sz val="11"/>
        <rFont val="Times New Roman"/>
        <family val="1"/>
      </rPr>
      <t>T</t>
    </r>
    <r>
      <rPr>
        <sz val="11"/>
        <rFont val="Times New Roman"/>
        <family val="1"/>
      </rPr>
      <t xml:space="preserve"> / NP</t>
    </r>
  </si>
  <si>
    <r>
      <t>ft</t>
    </r>
    <r>
      <rPr>
        <vertAlign val="superscript"/>
        <sz val="11"/>
        <rFont val="Times New Roman"/>
        <family val="1"/>
      </rPr>
      <t>2</t>
    </r>
  </si>
  <si>
    <t>°F</t>
  </si>
  <si>
    <t>It is given that at 185 F, the viscosity of the feed is 0.076 cp and the average α is 1.854.</t>
  </si>
  <si>
    <r>
      <t>in H</t>
    </r>
    <r>
      <rPr>
        <vertAlign val="subscript"/>
        <sz val="11"/>
        <rFont val="Times New Roman"/>
        <family val="1"/>
      </rPr>
      <t>2</t>
    </r>
    <r>
      <rPr>
        <sz val="11"/>
        <rFont val="Times New Roman"/>
        <family val="1"/>
      </rPr>
      <t>O/ft packing</t>
    </r>
  </si>
  <si>
    <r>
      <t>F</t>
    </r>
    <r>
      <rPr>
        <vertAlign val="subscript"/>
        <sz val="11"/>
        <rFont val="Times New Roman"/>
        <family val="1"/>
      </rPr>
      <t>p</t>
    </r>
  </si>
  <si>
    <r>
      <t>M</t>
    </r>
    <r>
      <rPr>
        <vertAlign val="subscript"/>
        <sz val="11"/>
        <rFont val="Times New Roman"/>
        <family val="1"/>
      </rPr>
      <t>L</t>
    </r>
    <r>
      <rPr>
        <sz val="11"/>
        <rFont val="Times New Roman"/>
        <family val="1"/>
      </rPr>
      <t xml:space="preserve"> =( 1190 gpm * 18.8 lb/ft</t>
    </r>
    <r>
      <rPr>
        <vertAlign val="superscript"/>
        <sz val="11"/>
        <rFont val="Times New Roman"/>
        <family val="1"/>
      </rPr>
      <t>3</t>
    </r>
    <r>
      <rPr>
        <sz val="11"/>
        <rFont val="Times New Roman"/>
        <family val="1"/>
      </rPr>
      <t xml:space="preserve"> * 60 min/h )/ (7.48 gal/ft</t>
    </r>
    <r>
      <rPr>
        <vertAlign val="superscript"/>
        <sz val="11"/>
        <rFont val="Times New Roman"/>
        <family val="1"/>
      </rPr>
      <t>3</t>
    </r>
    <r>
      <rPr>
        <sz val="11"/>
        <rFont val="Times New Roman"/>
        <family val="1"/>
      </rPr>
      <t>)</t>
    </r>
  </si>
  <si>
    <r>
      <t>M</t>
    </r>
    <r>
      <rPr>
        <vertAlign val="subscript"/>
        <sz val="11"/>
        <rFont val="Times New Roman"/>
        <family val="1"/>
      </rPr>
      <t>L</t>
    </r>
  </si>
  <si>
    <r>
      <t>M</t>
    </r>
    <r>
      <rPr>
        <vertAlign val="subscript"/>
        <sz val="11"/>
        <rFont val="Times New Roman"/>
        <family val="1"/>
      </rPr>
      <t>G</t>
    </r>
  </si>
  <si>
    <r>
      <t>lb/ft</t>
    </r>
    <r>
      <rPr>
        <vertAlign val="superscript"/>
        <sz val="11"/>
        <rFont val="Times New Roman"/>
        <family val="1"/>
      </rPr>
      <t>2</t>
    </r>
    <r>
      <rPr>
        <sz val="11"/>
        <rFont val="Times New Roman"/>
        <family val="1"/>
      </rPr>
      <t>*s</t>
    </r>
  </si>
  <si>
    <r>
      <t>D</t>
    </r>
    <r>
      <rPr>
        <vertAlign val="subscript"/>
        <sz val="11"/>
        <rFont val="Times New Roman"/>
        <family val="1"/>
      </rPr>
      <t>T</t>
    </r>
  </si>
  <si>
    <r>
      <t>ft</t>
    </r>
    <r>
      <rPr>
        <vertAlign val="superscript"/>
        <sz val="11"/>
        <rFont val="Times New Roman"/>
        <family val="1"/>
      </rPr>
      <t>2</t>
    </r>
    <r>
      <rPr>
        <sz val="11"/>
        <rFont val="Times New Roman"/>
        <family val="1"/>
      </rPr>
      <t>/ft</t>
    </r>
  </si>
  <si>
    <r>
      <t>in</t>
    </r>
    <r>
      <rPr>
        <vertAlign val="superscript"/>
        <sz val="11"/>
        <rFont val="Times New Roman"/>
        <family val="1"/>
      </rPr>
      <t>2</t>
    </r>
  </si>
  <si>
    <r>
      <t>v</t>
    </r>
    <r>
      <rPr>
        <vertAlign val="subscript"/>
        <sz val="11"/>
        <rFont val="Times New Roman"/>
        <family val="1"/>
      </rPr>
      <t>v</t>
    </r>
    <r>
      <rPr>
        <sz val="11"/>
        <rFont val="Times New Roman"/>
        <family val="1"/>
      </rPr>
      <t xml:space="preserve"> = 1 / ρ</t>
    </r>
    <r>
      <rPr>
        <vertAlign val="subscript"/>
        <sz val="11"/>
        <rFont val="Times New Roman"/>
        <family val="1"/>
      </rPr>
      <t>v</t>
    </r>
  </si>
  <si>
    <r>
      <t>v</t>
    </r>
    <r>
      <rPr>
        <vertAlign val="subscript"/>
        <sz val="11"/>
        <rFont val="Times New Roman"/>
        <family val="1"/>
      </rPr>
      <t>v</t>
    </r>
  </si>
  <si>
    <r>
      <t>ft</t>
    </r>
    <r>
      <rPr>
        <vertAlign val="superscript"/>
        <sz val="11"/>
        <rFont val="Times New Roman"/>
        <family val="1"/>
      </rPr>
      <t>3</t>
    </r>
    <r>
      <rPr>
        <sz val="11"/>
        <rFont val="Times New Roman"/>
        <family val="1"/>
      </rPr>
      <t>/lb</t>
    </r>
  </si>
  <si>
    <r>
      <t>v</t>
    </r>
    <r>
      <rPr>
        <vertAlign val="subscript"/>
        <sz val="11"/>
        <rFont val="Times New Roman"/>
        <family val="1"/>
      </rPr>
      <t>L</t>
    </r>
    <r>
      <rPr>
        <sz val="11"/>
        <rFont val="Times New Roman"/>
        <family val="1"/>
      </rPr>
      <t xml:space="preserve"> = 1 / ρ</t>
    </r>
    <r>
      <rPr>
        <vertAlign val="subscript"/>
        <sz val="11"/>
        <rFont val="Times New Roman"/>
        <family val="1"/>
      </rPr>
      <t>L</t>
    </r>
    <r>
      <rPr>
        <sz val="11"/>
        <rFont val="Times New Roman"/>
        <family val="1"/>
      </rPr>
      <t xml:space="preserve"> </t>
    </r>
  </si>
  <si>
    <r>
      <t>v</t>
    </r>
    <r>
      <rPr>
        <vertAlign val="subscript"/>
        <sz val="11"/>
        <rFont val="Times New Roman"/>
        <family val="1"/>
      </rPr>
      <t>L</t>
    </r>
  </si>
  <si>
    <r>
      <t>V</t>
    </r>
    <r>
      <rPr>
        <vertAlign val="subscript"/>
        <sz val="11"/>
        <rFont val="Times New Roman"/>
        <family val="1"/>
      </rPr>
      <t>L</t>
    </r>
    <r>
      <rPr>
        <sz val="11"/>
        <rFont val="Times New Roman"/>
        <family val="1"/>
      </rPr>
      <t xml:space="preserve"> = M</t>
    </r>
    <r>
      <rPr>
        <vertAlign val="subscript"/>
        <sz val="11"/>
        <rFont val="Times New Roman"/>
        <family val="1"/>
      </rPr>
      <t>L</t>
    </r>
    <r>
      <rPr>
        <sz val="11"/>
        <rFont val="Times New Roman"/>
        <family val="1"/>
      </rPr>
      <t xml:space="preserve"> * v</t>
    </r>
    <r>
      <rPr>
        <vertAlign val="subscript"/>
        <sz val="11"/>
        <rFont val="Times New Roman"/>
        <family val="1"/>
      </rPr>
      <t>L</t>
    </r>
  </si>
  <si>
    <r>
      <t>V</t>
    </r>
    <r>
      <rPr>
        <vertAlign val="subscript"/>
        <sz val="11"/>
        <rFont val="Times New Roman"/>
        <family val="1"/>
      </rPr>
      <t>L</t>
    </r>
  </si>
  <si>
    <r>
      <t>ft</t>
    </r>
    <r>
      <rPr>
        <vertAlign val="superscript"/>
        <sz val="11"/>
        <rFont val="Times New Roman"/>
        <family val="1"/>
      </rPr>
      <t>3</t>
    </r>
  </si>
  <si>
    <r>
      <t>V</t>
    </r>
    <r>
      <rPr>
        <vertAlign val="subscript"/>
        <sz val="11"/>
        <rFont val="Times New Roman"/>
        <family val="1"/>
      </rPr>
      <t>v</t>
    </r>
    <r>
      <rPr>
        <sz val="11"/>
        <rFont val="Times New Roman"/>
        <family val="1"/>
      </rPr>
      <t xml:space="preserve"> = M</t>
    </r>
    <r>
      <rPr>
        <vertAlign val="subscript"/>
        <sz val="11"/>
        <rFont val="Times New Roman"/>
        <family val="1"/>
      </rPr>
      <t>v</t>
    </r>
    <r>
      <rPr>
        <sz val="11"/>
        <rFont val="Times New Roman"/>
        <family val="1"/>
      </rPr>
      <t xml:space="preserve"> * v</t>
    </r>
    <r>
      <rPr>
        <vertAlign val="subscript"/>
        <sz val="11"/>
        <rFont val="Times New Roman"/>
        <family val="1"/>
      </rPr>
      <t>v</t>
    </r>
  </si>
  <si>
    <r>
      <t>v</t>
    </r>
    <r>
      <rPr>
        <vertAlign val="subscript"/>
        <sz val="11"/>
        <rFont val="Times New Roman"/>
        <family val="1"/>
      </rPr>
      <t>o</t>
    </r>
    <r>
      <rPr>
        <sz val="11"/>
        <rFont val="Times New Roman"/>
        <family val="1"/>
      </rPr>
      <t xml:space="preserve"> = V</t>
    </r>
    <r>
      <rPr>
        <vertAlign val="subscript"/>
        <sz val="11"/>
        <rFont val="Times New Roman"/>
        <family val="1"/>
      </rPr>
      <t>o</t>
    </r>
    <r>
      <rPr>
        <sz val="11"/>
        <rFont val="Times New Roman"/>
        <family val="1"/>
      </rPr>
      <t xml:space="preserve"> / M</t>
    </r>
    <r>
      <rPr>
        <vertAlign val="subscript"/>
        <sz val="11"/>
        <rFont val="Times New Roman"/>
        <family val="1"/>
      </rPr>
      <t>o</t>
    </r>
  </si>
  <si>
    <r>
      <t>v</t>
    </r>
    <r>
      <rPr>
        <vertAlign val="subscript"/>
        <sz val="11"/>
        <rFont val="Times New Roman"/>
        <family val="1"/>
      </rPr>
      <t>o</t>
    </r>
  </si>
  <si>
    <r>
      <t>Now that v</t>
    </r>
    <r>
      <rPr>
        <vertAlign val="subscript"/>
        <sz val="11"/>
        <rFont val="Times New Roman"/>
        <family val="1"/>
      </rPr>
      <t>o</t>
    </r>
    <r>
      <rPr>
        <sz val="11"/>
        <rFont val="Times New Roman"/>
        <family val="1"/>
      </rPr>
      <t xml:space="preserve"> has been obtained, the static pressure of the reboiler leg can be found using Eq. 19.27.</t>
    </r>
  </si>
  <si>
    <r>
      <t>Now the frictional resistance can be found. When added to the static pressure, this will give the total resistance to flow. To find the frictional resistance to flow, the area of  flow must be found. This is a</t>
    </r>
    <r>
      <rPr>
        <vertAlign val="subscript"/>
        <sz val="11"/>
        <rFont val="Times New Roman"/>
        <family val="1"/>
      </rPr>
      <t>t</t>
    </r>
    <r>
      <rPr>
        <sz val="11"/>
        <rFont val="Times New Roman"/>
        <family val="1"/>
      </rPr>
      <t xml:space="preserve"> = N</t>
    </r>
    <r>
      <rPr>
        <vertAlign val="subscript"/>
        <sz val="11"/>
        <rFont val="Times New Roman"/>
        <family val="1"/>
      </rPr>
      <t>t</t>
    </r>
    <r>
      <rPr>
        <sz val="11"/>
        <rFont val="Times New Roman"/>
        <family val="1"/>
      </rPr>
      <t xml:space="preserve"> * a'</t>
    </r>
    <r>
      <rPr>
        <vertAlign val="subscript"/>
        <sz val="11"/>
        <rFont val="Times New Roman"/>
        <family val="1"/>
      </rPr>
      <t>t</t>
    </r>
    <r>
      <rPr>
        <sz val="11"/>
        <rFont val="Times New Roman"/>
        <family val="1"/>
      </rPr>
      <t xml:space="preserve"> / 144</t>
    </r>
  </si>
  <si>
    <r>
      <t>a</t>
    </r>
    <r>
      <rPr>
        <vertAlign val="subscript"/>
        <sz val="11"/>
        <rFont val="Times New Roman"/>
        <family val="1"/>
      </rPr>
      <t>t</t>
    </r>
  </si>
  <si>
    <r>
      <t>G</t>
    </r>
    <r>
      <rPr>
        <vertAlign val="subscript"/>
        <sz val="11"/>
        <rFont val="Times New Roman"/>
        <family val="1"/>
      </rPr>
      <t>t</t>
    </r>
  </si>
  <si>
    <r>
      <t>lb/hr * ft</t>
    </r>
    <r>
      <rPr>
        <vertAlign val="superscript"/>
        <sz val="11"/>
        <rFont val="Times New Roman"/>
        <family val="1"/>
      </rPr>
      <t>2</t>
    </r>
  </si>
  <si>
    <r>
      <t>Now the Reynold's number can be found. Re = D * G</t>
    </r>
    <r>
      <rPr>
        <vertAlign val="subscript"/>
        <sz val="11"/>
        <rFont val="Times New Roman"/>
        <family val="1"/>
      </rPr>
      <t>t</t>
    </r>
    <r>
      <rPr>
        <sz val="11"/>
        <rFont val="Times New Roman"/>
        <family val="1"/>
      </rPr>
      <t xml:space="preserve"> / μ</t>
    </r>
  </si>
  <si>
    <r>
      <t>ft</t>
    </r>
    <r>
      <rPr>
        <vertAlign val="superscript"/>
        <sz val="11"/>
        <rFont val="Times New Roman"/>
        <family val="1"/>
      </rPr>
      <t>2</t>
    </r>
    <r>
      <rPr>
        <sz val="11"/>
        <rFont val="Times New Roman"/>
        <family val="1"/>
      </rPr>
      <t>/in</t>
    </r>
    <r>
      <rPr>
        <vertAlign val="superscript"/>
        <sz val="11"/>
        <rFont val="Times New Roman"/>
        <family val="1"/>
      </rPr>
      <t>2</t>
    </r>
  </si>
  <si>
    <r>
      <t>s</t>
    </r>
    <r>
      <rPr>
        <vertAlign val="subscript"/>
        <sz val="11"/>
        <rFont val="Times New Roman"/>
        <family val="1"/>
      </rPr>
      <t>avg</t>
    </r>
  </si>
  <si>
    <r>
      <t>C</t>
    </r>
    <r>
      <rPr>
        <vertAlign val="subscript"/>
        <sz val="11"/>
        <rFont val="Times New Roman"/>
        <family val="1"/>
      </rPr>
      <t>1</t>
    </r>
  </si>
  <si>
    <r>
      <t>L</t>
    </r>
    <r>
      <rPr>
        <vertAlign val="subscript"/>
        <sz val="11"/>
        <rFont val="Times New Roman"/>
        <family val="1"/>
      </rPr>
      <t>0</t>
    </r>
  </si>
  <si>
    <r>
      <t>Y</t>
    </r>
    <r>
      <rPr>
        <vertAlign val="subscript"/>
        <sz val="11"/>
        <rFont val="Times New Roman"/>
        <family val="1"/>
      </rPr>
      <t>1</t>
    </r>
  </si>
  <si>
    <t>Now the stripping factor can be found. ST = K * V / L</t>
  </si>
  <si>
    <t>Now various values of Es, the efficiency, can be calculated assuming multiple values of m.</t>
  </si>
  <si>
    <t>Example 19-1</t>
  </si>
  <si>
    <t>Application of 19-1</t>
  </si>
  <si>
    <t>Maximum iso-butane content</t>
  </si>
  <si>
    <t>Example 19-2</t>
  </si>
  <si>
    <t>This will calculate a material balance for the following components, given the information below.</t>
  </si>
  <si>
    <t>times Rmin</t>
  </si>
  <si>
    <t xml:space="preserve">This will find the number of theoretical trays, the minimum reflux ratio, and the actual number of trays for the below specified reflux ratio. This is only applicable with this system of components, with the feed at its bubble point, and with air cooling. </t>
  </si>
  <si>
    <r>
      <t>K</t>
    </r>
    <r>
      <rPr>
        <vertAlign val="subscript"/>
        <sz val="11"/>
        <rFont val="Times New Roman"/>
        <family val="1"/>
      </rPr>
      <t>LK</t>
    </r>
    <r>
      <rPr>
        <sz val="11"/>
        <rFont val="Times New Roman"/>
        <family val="1"/>
      </rPr>
      <t xml:space="preserve"> = .93 = β * .45</t>
    </r>
    <r>
      <rPr>
        <vertAlign val="superscript"/>
        <sz val="11"/>
        <rFont val="Times New Roman"/>
        <family val="1"/>
      </rPr>
      <t>b</t>
    </r>
  </si>
  <si>
    <r>
      <t>K</t>
    </r>
    <r>
      <rPr>
        <vertAlign val="subscript"/>
        <sz val="11"/>
        <rFont val="Times New Roman"/>
        <family val="1"/>
      </rPr>
      <t>LK</t>
    </r>
    <r>
      <rPr>
        <sz val="11"/>
        <rFont val="Times New Roman"/>
        <family val="1"/>
      </rPr>
      <t xml:space="preserve"> = 2.3 = β * 1.4</t>
    </r>
    <r>
      <rPr>
        <vertAlign val="superscript"/>
        <sz val="11"/>
        <rFont val="Times New Roman"/>
        <family val="1"/>
      </rPr>
      <t>b</t>
    </r>
  </si>
  <si>
    <t>This finds the diameter of a depropanizer with the following specifications using three methods.</t>
  </si>
  <si>
    <r>
      <t>Using D</t>
    </r>
    <r>
      <rPr>
        <vertAlign val="subscript"/>
        <sz val="11"/>
        <rFont val="Times New Roman"/>
        <family val="1"/>
      </rPr>
      <t>t</t>
    </r>
    <r>
      <rPr>
        <sz val="11"/>
        <rFont val="Times New Roman"/>
        <family val="1"/>
      </rPr>
      <t xml:space="preserve"> from the nomograph method for a one pass tray (9.25 ft) and a two pass tray (7.1 ft)</t>
    </r>
  </si>
  <si>
    <r>
      <t>V</t>
    </r>
    <r>
      <rPr>
        <vertAlign val="subscript"/>
        <sz val="11"/>
        <rFont val="Times New Roman"/>
        <family val="1"/>
      </rPr>
      <t xml:space="preserve">load </t>
    </r>
  </si>
  <si>
    <r>
      <t>V</t>
    </r>
    <r>
      <rPr>
        <vertAlign val="subscript"/>
        <sz val="11"/>
        <rFont val="Times New Roman"/>
        <family val="1"/>
      </rPr>
      <t>load</t>
    </r>
    <r>
      <rPr>
        <sz val="11"/>
        <rFont val="Times New Roman"/>
        <family val="1"/>
      </rPr>
      <t xml:space="preserve"> </t>
    </r>
  </si>
  <si>
    <r>
      <t>VD</t>
    </r>
    <r>
      <rPr>
        <vertAlign val="subscript"/>
        <sz val="11"/>
        <rFont val="Times New Roman"/>
        <family val="1"/>
      </rPr>
      <t>dsg</t>
    </r>
  </si>
  <si>
    <r>
      <t>H</t>
    </r>
    <r>
      <rPr>
        <vertAlign val="subscript"/>
        <sz val="11"/>
        <rFont val="Times New Roman"/>
        <family val="1"/>
      </rPr>
      <t>2</t>
    </r>
    <r>
      <rPr>
        <sz val="11"/>
        <rFont val="Times New Roman"/>
        <family val="1"/>
      </rPr>
      <t>S</t>
    </r>
  </si>
  <si>
    <r>
      <t>H</t>
    </r>
    <r>
      <rPr>
        <vertAlign val="subscript"/>
        <sz val="11"/>
        <rFont val="Times New Roman"/>
        <family val="1"/>
      </rPr>
      <t>2</t>
    </r>
    <r>
      <rPr>
        <sz val="11"/>
        <rFont val="Times New Roman"/>
        <family val="1"/>
      </rPr>
      <t>O</t>
    </r>
  </si>
  <si>
    <r>
      <t>The fraction of H</t>
    </r>
    <r>
      <rPr>
        <vertAlign val="subscript"/>
        <sz val="11"/>
        <rFont val="Times New Roman"/>
        <family val="1"/>
      </rPr>
      <t>2</t>
    </r>
    <r>
      <rPr>
        <sz val="11"/>
        <rFont val="Times New Roman"/>
        <family val="1"/>
      </rPr>
      <t>S stripped can be found by dividing the H</t>
    </r>
    <r>
      <rPr>
        <vertAlign val="subscript"/>
        <sz val="11"/>
        <rFont val="Times New Roman"/>
        <family val="1"/>
      </rPr>
      <t>2</t>
    </r>
    <r>
      <rPr>
        <sz val="11"/>
        <rFont val="Times New Roman"/>
        <family val="1"/>
      </rPr>
      <t>S in the overhead by the H</t>
    </r>
    <r>
      <rPr>
        <vertAlign val="subscript"/>
        <sz val="11"/>
        <rFont val="Times New Roman"/>
        <family val="1"/>
      </rPr>
      <t>2</t>
    </r>
    <r>
      <rPr>
        <sz val="11"/>
        <rFont val="Times New Roman"/>
        <family val="1"/>
      </rPr>
      <t>S in the feed.</t>
    </r>
  </si>
  <si>
    <r>
      <t>Fraction H</t>
    </r>
    <r>
      <rPr>
        <vertAlign val="subscript"/>
        <sz val="11"/>
        <rFont val="Times New Roman"/>
        <family val="1"/>
      </rPr>
      <t>2</t>
    </r>
    <r>
      <rPr>
        <sz val="11"/>
        <rFont val="Times New Roman"/>
        <family val="1"/>
      </rPr>
      <t>S Stripped</t>
    </r>
  </si>
  <si>
    <r>
      <t>Fraction of H</t>
    </r>
    <r>
      <rPr>
        <vertAlign val="subscript"/>
        <sz val="11"/>
        <rFont val="Times New Roman"/>
        <family val="1"/>
      </rPr>
      <t>2</t>
    </r>
    <r>
      <rPr>
        <sz val="11"/>
        <rFont val="Times New Roman"/>
        <family val="1"/>
      </rPr>
      <t>O in overhead</t>
    </r>
  </si>
  <si>
    <r>
      <t>Partial pressure of H</t>
    </r>
    <r>
      <rPr>
        <vertAlign val="subscript"/>
        <sz val="11"/>
        <rFont val="Times New Roman"/>
        <family val="1"/>
      </rPr>
      <t>2</t>
    </r>
    <r>
      <rPr>
        <sz val="11"/>
        <rFont val="Times New Roman"/>
        <family val="1"/>
      </rPr>
      <t>O = fraction of H</t>
    </r>
    <r>
      <rPr>
        <vertAlign val="subscript"/>
        <sz val="11"/>
        <rFont val="Times New Roman"/>
        <family val="1"/>
      </rPr>
      <t>2</t>
    </r>
    <r>
      <rPr>
        <sz val="11"/>
        <rFont val="Times New Roman"/>
        <family val="1"/>
      </rPr>
      <t>O * pressure</t>
    </r>
  </si>
  <si>
    <r>
      <t>Now that the temperature is known, the K value for H</t>
    </r>
    <r>
      <rPr>
        <vertAlign val="subscript"/>
        <sz val="11"/>
        <rFont val="Times New Roman"/>
        <family val="1"/>
      </rPr>
      <t>2</t>
    </r>
    <r>
      <rPr>
        <sz val="11"/>
        <rFont val="Times New Roman"/>
        <family val="1"/>
      </rPr>
      <t>S can be obtained.  K = H / P where H is Henry's Law Constant and P is the pressure.</t>
    </r>
  </si>
  <si>
    <r>
      <t>At 229 °F, the Henry's constant was interpolated and found to be 2.05 10</t>
    </r>
    <r>
      <rPr>
        <vertAlign val="superscript"/>
        <sz val="11"/>
        <rFont val="Times New Roman"/>
        <family val="1"/>
      </rPr>
      <t>4</t>
    </r>
    <r>
      <rPr>
        <sz val="11"/>
        <rFont val="Times New Roman"/>
        <family val="1"/>
      </rPr>
      <t>.</t>
    </r>
  </si>
  <si>
    <r>
      <t>In order to get the required H</t>
    </r>
    <r>
      <rPr>
        <vertAlign val="subscript"/>
        <sz val="11"/>
        <rFont val="Times New Roman"/>
        <family val="1"/>
      </rPr>
      <t>2</t>
    </r>
    <r>
      <rPr>
        <sz val="11"/>
        <rFont val="Times New Roman"/>
        <family val="1"/>
      </rPr>
      <t>S removal fraction, 2 theoretical trays are needed.</t>
    </r>
  </si>
  <si>
    <t>User-entered data is in BOLD RED.</t>
  </si>
  <si>
    <t>This will find the tray efficiency of a column.</t>
  </si>
  <si>
    <t>User-entered data is in BOLD RED</t>
  </si>
  <si>
    <r>
      <t>T</t>
    </r>
    <r>
      <rPr>
        <vertAlign val="subscript"/>
        <sz val="11"/>
        <rFont val="Times New Roman"/>
        <family val="1"/>
      </rPr>
      <t>top</t>
    </r>
  </si>
  <si>
    <r>
      <t>T</t>
    </r>
    <r>
      <rPr>
        <vertAlign val="subscript"/>
        <sz val="11"/>
        <rFont val="Times New Roman"/>
        <family val="1"/>
      </rPr>
      <t>bottom</t>
    </r>
  </si>
  <si>
    <r>
      <t>T</t>
    </r>
    <r>
      <rPr>
        <vertAlign val="subscript"/>
        <sz val="11"/>
        <rFont val="Times New Roman"/>
        <family val="1"/>
      </rPr>
      <t>avg</t>
    </r>
  </si>
  <si>
    <r>
      <t>N</t>
    </r>
    <r>
      <rPr>
        <vertAlign val="subscript"/>
        <sz val="11"/>
        <rFont val="Times New Roman"/>
        <family val="1"/>
      </rPr>
      <t>trays</t>
    </r>
  </si>
  <si>
    <r>
      <t>N</t>
    </r>
    <r>
      <rPr>
        <vertAlign val="subscript"/>
        <sz val="11"/>
        <rFont val="Times New Roman"/>
        <family val="1"/>
      </rPr>
      <t>trays</t>
    </r>
    <r>
      <rPr>
        <sz val="11"/>
        <rFont val="Times New Roman"/>
        <family val="1"/>
      </rPr>
      <t xml:space="preserve"> = (theoretical trays - 1) / efficiency</t>
    </r>
  </si>
  <si>
    <t>Example 19-3</t>
  </si>
  <si>
    <t>Example 19-4</t>
  </si>
  <si>
    <t>Example 19-5</t>
  </si>
  <si>
    <t>This will find the diameter of a packed tower.</t>
  </si>
  <si>
    <t>lb vapor produced/h</t>
  </si>
  <si>
    <t>:1 recirculation ratio</t>
  </si>
  <si>
    <t xml:space="preserve">Enthalpy of bottoms vapor at specified T, P </t>
  </si>
  <si>
    <t>Isothermal Boiling Point:</t>
  </si>
  <si>
    <t>Column Pressure:</t>
  </si>
  <si>
    <t>Example 19.17</t>
  </si>
  <si>
    <t>K values can be found from the equilibrium data in Chapter 25, using the average absorber conditions. Enter them below.</t>
  </si>
  <si>
    <t>% of propane removed</t>
  </si>
  <si>
    <t>theoretical plates</t>
  </si>
  <si>
    <t>F, average temperature</t>
  </si>
  <si>
    <t>psig, average pressure</t>
  </si>
  <si>
    <t>This will find the oil recirculation rate and the composition of the residue gas for an absorber, assuming the lean oil comes in completely stripped.</t>
  </si>
  <si>
    <t>Example 19-8</t>
  </si>
  <si>
    <r>
      <t>This will calculate the number of theoretical stages needed to strip H</t>
    </r>
    <r>
      <rPr>
        <vertAlign val="subscript"/>
        <sz val="11"/>
        <rFont val="Times New Roman"/>
        <family val="1"/>
      </rPr>
      <t>2</t>
    </r>
    <r>
      <rPr>
        <sz val="11"/>
        <rFont val="Times New Roman"/>
        <family val="1"/>
      </rPr>
      <t>S from sour water.</t>
    </r>
  </si>
  <si>
    <t>outlet</t>
  </si>
  <si>
    <t>ppmw</t>
  </si>
  <si>
    <t>Using the steam tables from Chapter 24, estimate the temperature of the top and enter it below.</t>
  </si>
  <si>
    <t>psia</t>
  </si>
  <si>
    <t>operating pressure</t>
  </si>
  <si>
    <r>
      <t>S</t>
    </r>
    <r>
      <rPr>
        <vertAlign val="subscript"/>
        <sz val="11"/>
        <rFont val="Times New Roman"/>
        <family val="1"/>
      </rPr>
      <t>T</t>
    </r>
  </si>
  <si>
    <r>
      <t>E</t>
    </r>
    <r>
      <rPr>
        <vertAlign val="subscript"/>
        <sz val="11"/>
        <rFont val="Times New Roman"/>
        <family val="1"/>
      </rPr>
      <t>s</t>
    </r>
  </si>
  <si>
    <t>Required fraction</t>
  </si>
  <si>
    <t>Example 19-6</t>
  </si>
  <si>
    <r>
      <t>S</t>
    </r>
    <r>
      <rPr>
        <vertAlign val="subscript"/>
        <sz val="11"/>
        <rFont val="Times New Roman"/>
        <family val="1"/>
      </rPr>
      <t>F</t>
    </r>
    <r>
      <rPr>
        <sz val="11"/>
        <rFont val="Times New Roman"/>
        <family val="1"/>
      </rPr>
      <t xml:space="preserve"> = (X</t>
    </r>
    <r>
      <rPr>
        <vertAlign val="subscript"/>
        <sz val="11"/>
        <rFont val="Times New Roman"/>
        <family val="1"/>
      </rPr>
      <t>D</t>
    </r>
    <r>
      <rPr>
        <sz val="11"/>
        <rFont val="Times New Roman"/>
        <family val="1"/>
      </rPr>
      <t xml:space="preserve"> / X</t>
    </r>
    <r>
      <rPr>
        <vertAlign val="subscript"/>
        <sz val="11"/>
        <rFont val="Times New Roman"/>
        <family val="1"/>
      </rPr>
      <t>B</t>
    </r>
    <r>
      <rPr>
        <sz val="11"/>
        <rFont val="Times New Roman"/>
        <family val="1"/>
      </rPr>
      <t>)</t>
    </r>
    <r>
      <rPr>
        <vertAlign val="subscript"/>
        <sz val="11"/>
        <rFont val="Times New Roman"/>
        <family val="1"/>
      </rPr>
      <t>LK</t>
    </r>
    <r>
      <rPr>
        <sz val="11"/>
        <rFont val="Times New Roman"/>
        <family val="1"/>
      </rPr>
      <t xml:space="preserve"> * (X</t>
    </r>
    <r>
      <rPr>
        <vertAlign val="subscript"/>
        <sz val="11"/>
        <rFont val="Times New Roman"/>
        <family val="1"/>
      </rPr>
      <t>B</t>
    </r>
    <r>
      <rPr>
        <sz val="11"/>
        <rFont val="Times New Roman"/>
        <family val="1"/>
      </rPr>
      <t xml:space="preserve"> / X</t>
    </r>
    <r>
      <rPr>
        <vertAlign val="subscript"/>
        <sz val="11"/>
        <rFont val="Times New Roman"/>
        <family val="1"/>
      </rPr>
      <t>D</t>
    </r>
    <r>
      <rPr>
        <sz val="11"/>
        <rFont val="Times New Roman"/>
        <family val="1"/>
      </rPr>
      <t>)</t>
    </r>
    <r>
      <rPr>
        <vertAlign val="subscript"/>
        <sz val="11"/>
        <rFont val="Times New Roman"/>
        <family val="1"/>
      </rPr>
      <t>HK</t>
    </r>
  </si>
  <si>
    <t>T</t>
  </si>
  <si>
    <r>
      <t>S</t>
    </r>
    <r>
      <rPr>
        <vertAlign val="subscript"/>
        <sz val="11"/>
        <rFont val="Times New Roman"/>
        <family val="1"/>
      </rPr>
      <t>m</t>
    </r>
    <r>
      <rPr>
        <sz val="11"/>
        <rFont val="Times New Roman"/>
        <family val="1"/>
      </rPr>
      <t>/S</t>
    </r>
  </si>
  <si>
    <t>θ=15.8</t>
  </si>
  <si>
    <t>From the table, θ is between 11 and 10. Using linear interpolation,θ was found to be 15.9.</t>
  </si>
  <si>
    <r>
      <t>v</t>
    </r>
    <r>
      <rPr>
        <vertAlign val="subscript"/>
        <sz val="11"/>
        <rFont val="Times New Roman"/>
        <family val="1"/>
      </rPr>
      <t>i</t>
    </r>
  </si>
  <si>
    <r>
      <t>V</t>
    </r>
    <r>
      <rPr>
        <vertAlign val="subscript"/>
        <sz val="11"/>
        <rFont val="Times New Roman"/>
        <family val="1"/>
      </rPr>
      <t>1</t>
    </r>
  </si>
  <si>
    <r>
      <t>V</t>
    </r>
    <r>
      <rPr>
        <vertAlign val="subscript"/>
        <sz val="11"/>
        <rFont val="Times New Roman"/>
        <family val="1"/>
      </rPr>
      <t>max</t>
    </r>
  </si>
  <si>
    <r>
      <t>V</t>
    </r>
    <r>
      <rPr>
        <vertAlign val="subscript"/>
        <sz val="11"/>
        <rFont val="Times New Roman"/>
        <family val="1"/>
      </rPr>
      <t>load</t>
    </r>
  </si>
  <si>
    <r>
      <t>V</t>
    </r>
    <r>
      <rPr>
        <vertAlign val="subscript"/>
        <sz val="11"/>
        <rFont val="Times New Roman"/>
        <family val="1"/>
      </rPr>
      <t>0</t>
    </r>
  </si>
  <si>
    <r>
      <t>X</t>
    </r>
    <r>
      <rPr>
        <vertAlign val="subscript"/>
        <sz val="11"/>
        <rFont val="Times New Roman"/>
        <family val="1"/>
      </rPr>
      <t>m+1</t>
    </r>
  </si>
  <si>
    <r>
      <t>x</t>
    </r>
    <r>
      <rPr>
        <vertAlign val="subscript"/>
        <sz val="11"/>
        <rFont val="Times New Roman"/>
        <family val="1"/>
      </rPr>
      <t>1</t>
    </r>
  </si>
  <si>
    <r>
      <t>X</t>
    </r>
    <r>
      <rPr>
        <vertAlign val="subscript"/>
        <sz val="11"/>
        <rFont val="Times New Roman"/>
        <family val="1"/>
      </rPr>
      <t>0</t>
    </r>
  </si>
  <si>
    <r>
      <t>Y</t>
    </r>
    <r>
      <rPr>
        <vertAlign val="subscript"/>
        <sz val="11"/>
        <rFont val="Times New Roman"/>
        <family val="1"/>
      </rPr>
      <t>n+1</t>
    </r>
  </si>
  <si>
    <r>
      <t>Y</t>
    </r>
    <r>
      <rPr>
        <vertAlign val="subscript"/>
        <sz val="11"/>
        <rFont val="Times New Roman"/>
        <family val="1"/>
      </rPr>
      <t>0</t>
    </r>
  </si>
  <si>
    <r>
      <t>a'</t>
    </r>
    <r>
      <rPr>
        <vertAlign val="subscript"/>
        <sz val="11"/>
        <rFont val="Times New Roman"/>
        <family val="1"/>
      </rPr>
      <t>t</t>
    </r>
  </si>
  <si>
    <r>
      <t>A</t>
    </r>
    <r>
      <rPr>
        <vertAlign val="subscript"/>
        <sz val="11"/>
        <rFont val="Times New Roman"/>
        <family val="1"/>
      </rPr>
      <t>c</t>
    </r>
  </si>
  <si>
    <r>
      <t>A</t>
    </r>
    <r>
      <rPr>
        <vertAlign val="subscript"/>
        <sz val="11"/>
        <rFont val="Times New Roman"/>
        <family val="1"/>
      </rPr>
      <t>t</t>
    </r>
  </si>
  <si>
    <r>
      <t>E</t>
    </r>
    <r>
      <rPr>
        <vertAlign val="subscript"/>
        <sz val="11"/>
        <rFont val="Times New Roman"/>
        <family val="1"/>
      </rPr>
      <t>a</t>
    </r>
  </si>
  <si>
    <r>
      <t>g</t>
    </r>
    <r>
      <rPr>
        <vertAlign val="subscript"/>
        <sz val="11"/>
        <rFont val="Times New Roman"/>
        <family val="1"/>
      </rPr>
      <t>c</t>
    </r>
  </si>
  <si>
    <r>
      <t>G</t>
    </r>
    <r>
      <rPr>
        <vertAlign val="subscript"/>
        <sz val="11"/>
        <rFont val="Times New Roman"/>
        <family val="1"/>
      </rPr>
      <t>p</t>
    </r>
  </si>
  <si>
    <r>
      <t>L</t>
    </r>
    <r>
      <rPr>
        <vertAlign val="subscript"/>
        <sz val="11"/>
        <rFont val="Times New Roman"/>
        <family val="1"/>
      </rPr>
      <t>p</t>
    </r>
  </si>
  <si>
    <r>
      <t>L</t>
    </r>
    <r>
      <rPr>
        <vertAlign val="subscript"/>
        <sz val="11"/>
        <rFont val="Times New Roman"/>
        <family val="1"/>
      </rPr>
      <t>t</t>
    </r>
  </si>
  <si>
    <r>
      <t>L</t>
    </r>
    <r>
      <rPr>
        <vertAlign val="subscript"/>
        <sz val="11"/>
        <rFont val="Times New Roman"/>
        <family val="1"/>
      </rPr>
      <t>m+1</t>
    </r>
  </si>
  <si>
    <r>
      <t>N</t>
    </r>
    <r>
      <rPr>
        <vertAlign val="subscript"/>
        <sz val="11"/>
        <rFont val="Times New Roman"/>
        <family val="1"/>
      </rPr>
      <t>m</t>
    </r>
  </si>
  <si>
    <r>
      <t>Q</t>
    </r>
    <r>
      <rPr>
        <vertAlign val="subscript"/>
        <sz val="11"/>
        <rFont val="Times New Roman"/>
        <family val="1"/>
      </rPr>
      <t>c</t>
    </r>
  </si>
  <si>
    <t>This is the area that the heat exchanger must provide. Using the specification for the surface area and assuming a length, the number of tubes can be found. I'll start using 16 ft, 12 ft, and 10 ft long tubes.</t>
  </si>
  <si>
    <t xml:space="preserve">Because propane is the light key, all the ethane in the feed will appear in the overhead. </t>
  </si>
  <si>
    <r>
      <t>α = K</t>
    </r>
    <r>
      <rPr>
        <vertAlign val="subscript"/>
        <sz val="11"/>
        <rFont val="Times New Roman"/>
        <family val="1"/>
      </rPr>
      <t>C3</t>
    </r>
    <r>
      <rPr>
        <sz val="11"/>
        <rFont val="Times New Roman"/>
        <family val="1"/>
      </rPr>
      <t xml:space="preserve"> / K</t>
    </r>
    <r>
      <rPr>
        <vertAlign val="subscript"/>
        <sz val="11"/>
        <rFont val="Times New Roman"/>
        <family val="1"/>
      </rPr>
      <t>iC4</t>
    </r>
  </si>
  <si>
    <t>=</t>
  </si>
  <si>
    <r>
      <t>S</t>
    </r>
    <r>
      <rPr>
        <vertAlign val="subscript"/>
        <sz val="11"/>
        <rFont val="Times New Roman"/>
        <family val="1"/>
      </rPr>
      <t>m</t>
    </r>
    <r>
      <rPr>
        <sz val="11"/>
        <rFont val="Times New Roman"/>
        <family val="1"/>
      </rPr>
      <t xml:space="preserve"> = log S</t>
    </r>
    <r>
      <rPr>
        <vertAlign val="subscript"/>
        <sz val="11"/>
        <rFont val="Times New Roman"/>
        <family val="1"/>
      </rPr>
      <t>F</t>
    </r>
    <r>
      <rPr>
        <sz val="11"/>
        <rFont val="Times New Roman"/>
        <family val="1"/>
      </rPr>
      <t xml:space="preserve"> / log α</t>
    </r>
    <r>
      <rPr>
        <vertAlign val="subscript"/>
        <sz val="11"/>
        <rFont val="Times New Roman"/>
        <family val="1"/>
      </rPr>
      <t>AVG</t>
    </r>
  </si>
  <si>
    <r>
      <t>S</t>
    </r>
    <r>
      <rPr>
        <vertAlign val="subscript"/>
        <sz val="11"/>
        <rFont val="Times New Roman"/>
        <family val="1"/>
      </rPr>
      <t>m</t>
    </r>
  </si>
  <si>
    <t>trays (with relative volatility correction)</t>
  </si>
  <si>
    <t>trays (without relative volatility correction)</t>
  </si>
  <si>
    <t>Check to make sure that the relative volatility correction does not make a large difference, as that is how the spreadsheet is setup.</t>
  </si>
  <si>
    <r>
      <t>R</t>
    </r>
    <r>
      <rPr>
        <vertAlign val="subscript"/>
        <sz val="11"/>
        <rFont val="Times New Roman"/>
        <family val="1"/>
      </rPr>
      <t>m</t>
    </r>
  </si>
  <si>
    <r>
      <t>Now the theoretical trays at 1.3 R</t>
    </r>
    <r>
      <rPr>
        <vertAlign val="subscript"/>
        <sz val="11"/>
        <rFont val="Times New Roman"/>
        <family val="1"/>
      </rPr>
      <t>m</t>
    </r>
    <r>
      <rPr>
        <sz val="11"/>
        <rFont val="Times New Roman"/>
        <family val="1"/>
      </rPr>
      <t xml:space="preserve"> can be calculated.</t>
    </r>
  </si>
  <si>
    <t>Enthalpy of bottoms liquid at specified T, P</t>
  </si>
  <si>
    <t>The average specific gravity can be found.</t>
  </si>
  <si>
    <t>Using Bernoulli's equation the pressure drop can be found.</t>
  </si>
  <si>
    <t>difference</t>
  </si>
  <si>
    <r>
      <t>H, H</t>
    </r>
    <r>
      <rPr>
        <vertAlign val="subscript"/>
        <sz val="11"/>
        <rFont val="Times New Roman"/>
        <family val="1"/>
      </rPr>
      <t>2</t>
    </r>
    <r>
      <rPr>
        <sz val="11"/>
        <rFont val="Times New Roman"/>
        <family val="1"/>
      </rPr>
      <t>S (psia)</t>
    </r>
  </si>
  <si>
    <t>Application of 19-2</t>
  </si>
  <si>
    <t>Application of 19-3</t>
  </si>
  <si>
    <t>Application of 19-4</t>
  </si>
  <si>
    <t>Application  of 19-5</t>
  </si>
  <si>
    <t>Application of 19-6</t>
  </si>
  <si>
    <t>Application of 19.17</t>
  </si>
  <si>
    <t>Application of 19-8</t>
  </si>
  <si>
    <r>
      <t>Y</t>
    </r>
    <r>
      <rPr>
        <vertAlign val="subscript"/>
        <sz val="11"/>
        <rFont val="Times New Roman"/>
        <family val="1"/>
      </rPr>
      <t>i</t>
    </r>
  </si>
  <si>
    <r>
      <t>mol C</t>
    </r>
    <r>
      <rPr>
        <vertAlign val="subscript"/>
        <sz val="11"/>
        <rFont val="Times New Roman"/>
        <family val="1"/>
      </rPr>
      <t>3</t>
    </r>
    <r>
      <rPr>
        <sz val="11"/>
        <rFont val="Times New Roman"/>
        <family val="1"/>
      </rPr>
      <t>/h</t>
    </r>
  </si>
  <si>
    <r>
      <t>mol C</t>
    </r>
    <r>
      <rPr>
        <vertAlign val="subscript"/>
        <sz val="11"/>
        <rFont val="Times New Roman"/>
        <family val="1"/>
      </rPr>
      <t>2</t>
    </r>
    <r>
      <rPr>
        <sz val="11"/>
        <rFont val="Times New Roman"/>
        <family val="1"/>
      </rPr>
      <t>/h</t>
    </r>
  </si>
  <si>
    <r>
      <t>C</t>
    </r>
    <r>
      <rPr>
        <vertAlign val="subscript"/>
        <sz val="11"/>
        <rFont val="Times New Roman"/>
        <family val="1"/>
      </rPr>
      <t>2</t>
    </r>
    <r>
      <rPr>
        <sz val="11"/>
        <rFont val="Times New Roman"/>
        <family val="1"/>
      </rPr>
      <t xml:space="preserve"> in overhead = C</t>
    </r>
    <r>
      <rPr>
        <vertAlign val="subscript"/>
        <sz val="11"/>
        <rFont val="Times New Roman"/>
        <family val="1"/>
      </rPr>
      <t>2</t>
    </r>
    <r>
      <rPr>
        <sz val="11"/>
        <rFont val="Times New Roman"/>
        <family val="1"/>
      </rPr>
      <t xml:space="preserve"> in feed</t>
    </r>
  </si>
  <si>
    <r>
      <t>98% C</t>
    </r>
    <r>
      <rPr>
        <vertAlign val="subscript"/>
        <sz val="11"/>
        <rFont val="Times New Roman"/>
        <family val="1"/>
      </rPr>
      <t>3</t>
    </r>
    <r>
      <rPr>
        <sz val="11"/>
        <rFont val="Times New Roman"/>
        <family val="1"/>
      </rPr>
      <t xml:space="preserve"> in the overhead (relative to feed)</t>
    </r>
  </si>
  <si>
    <r>
      <t>1% iC</t>
    </r>
    <r>
      <rPr>
        <vertAlign val="subscript"/>
        <sz val="11"/>
        <rFont val="Times New Roman"/>
        <family val="1"/>
      </rPr>
      <t>4</t>
    </r>
    <r>
      <rPr>
        <sz val="11"/>
        <rFont val="Times New Roman"/>
        <family val="1"/>
      </rPr>
      <t xml:space="preserve"> in overhead</t>
    </r>
  </si>
  <si>
    <r>
      <t>C</t>
    </r>
    <r>
      <rPr>
        <vertAlign val="subscript"/>
        <sz val="11"/>
        <rFont val="Times New Roman"/>
        <family val="1"/>
      </rPr>
      <t>4</t>
    </r>
    <r>
      <rPr>
        <sz val="11"/>
        <rFont val="Times New Roman"/>
        <family val="1"/>
      </rPr>
      <t xml:space="preserve"> in overhead = .01 * moles in overhead</t>
    </r>
  </si>
  <si>
    <r>
      <t>Now θ can be used in Equation 19-8 to find R</t>
    </r>
    <r>
      <rPr>
        <vertAlign val="subscript"/>
        <sz val="11"/>
        <rFont val="Times New Roman"/>
        <family val="1"/>
      </rPr>
      <t>m</t>
    </r>
    <r>
      <rPr>
        <sz val="11"/>
        <rFont val="Times New Roman"/>
        <family val="1"/>
      </rPr>
      <t>.</t>
    </r>
  </si>
  <si>
    <r>
      <t>R = 1.3 * R</t>
    </r>
    <r>
      <rPr>
        <vertAlign val="subscript"/>
        <sz val="11"/>
        <rFont val="Times New Roman"/>
        <family val="1"/>
      </rPr>
      <t>m</t>
    </r>
  </si>
  <si>
    <t>must be at least 11% of AAM</t>
  </si>
  <si>
    <t>typically between 24.7 to 29.7 psia</t>
  </si>
  <si>
    <t>LIMITS</t>
  </si>
  <si>
    <t>Optimum operating reflux ratio are 1.2 to 1.3 times the minimum reflux ratio</t>
  </si>
  <si>
    <t>Add an extra tray to tray count for each feed tray and side exchanger</t>
  </si>
  <si>
    <t>Pressure drop for packed columns should be 0.20 to 0.60 inches of water per foot of pack depth; 1 inch maximum</t>
  </si>
  <si>
    <t>Use flooding factor of 0.82 for most systems</t>
  </si>
  <si>
    <t>Use recirculation ratios 4:1 or greater</t>
  </si>
  <si>
    <t>Example 19-7</t>
  </si>
  <si>
    <t>Typical operating conditions:</t>
  </si>
  <si>
    <t>10-15 psig</t>
  </si>
  <si>
    <t>Pressure</t>
  </si>
  <si>
    <t>Feed Temp.</t>
  </si>
  <si>
    <t>Bottoms Temp.</t>
  </si>
  <si>
    <t>Reboil Heat</t>
  </si>
  <si>
    <t>1000-2000 Btu/gal</t>
  </si>
  <si>
    <t>Residual H2S</t>
  </si>
  <si>
    <t>Material Balance</t>
  </si>
  <si>
    <r>
      <t>C</t>
    </r>
    <r>
      <rPr>
        <vertAlign val="subscript"/>
        <sz val="11"/>
        <rFont val="Times New Roman"/>
        <family val="1"/>
      </rPr>
      <t xml:space="preserve">3 </t>
    </r>
    <r>
      <rPr>
        <sz val="11"/>
        <rFont val="Times New Roman"/>
        <family val="1"/>
      </rPr>
      <t>in overhead</t>
    </r>
  </si>
  <si>
    <r>
      <t>C</t>
    </r>
    <r>
      <rPr>
        <vertAlign val="subscript"/>
        <sz val="11"/>
        <rFont val="Times New Roman"/>
        <family val="1"/>
      </rPr>
      <t>3</t>
    </r>
    <r>
      <rPr>
        <sz val="11"/>
        <rFont val="Times New Roman"/>
        <family val="1"/>
      </rPr>
      <t xml:space="preserve"> in bottoms</t>
    </r>
  </si>
  <si>
    <r>
      <t>C</t>
    </r>
    <r>
      <rPr>
        <vertAlign val="subscript"/>
        <sz val="11"/>
        <rFont val="Times New Roman"/>
        <family val="1"/>
      </rPr>
      <t>2</t>
    </r>
    <r>
      <rPr>
        <sz val="11"/>
        <rFont val="Times New Roman"/>
        <family val="1"/>
      </rPr>
      <t xml:space="preserve"> in overhead </t>
    </r>
  </si>
  <si>
    <r>
      <t>iC</t>
    </r>
    <r>
      <rPr>
        <vertAlign val="subscript"/>
        <sz val="11"/>
        <rFont val="Times New Roman"/>
        <family val="1"/>
      </rPr>
      <t xml:space="preserve">4 </t>
    </r>
    <r>
      <rPr>
        <sz val="11"/>
        <rFont val="Times New Roman"/>
        <family val="1"/>
      </rPr>
      <t>in overhead</t>
    </r>
  </si>
  <si>
    <r>
      <t>iC</t>
    </r>
    <r>
      <rPr>
        <vertAlign val="subscript"/>
        <sz val="11"/>
        <rFont val="Times New Roman"/>
        <family val="1"/>
      </rPr>
      <t>4</t>
    </r>
    <r>
      <rPr>
        <sz val="11"/>
        <rFont val="Times New Roman"/>
        <family val="1"/>
      </rPr>
      <t xml:space="preserve"> in bottoms</t>
    </r>
  </si>
  <si>
    <r>
      <t>nC</t>
    </r>
    <r>
      <rPr>
        <vertAlign val="subscript"/>
        <sz val="11"/>
        <rFont val="Times New Roman"/>
        <family val="1"/>
      </rPr>
      <t>4</t>
    </r>
    <r>
      <rPr>
        <sz val="11"/>
        <rFont val="Times New Roman"/>
        <family val="1"/>
      </rPr>
      <t xml:space="preserve"> in bottoms</t>
    </r>
  </si>
  <si>
    <r>
      <t>C</t>
    </r>
    <r>
      <rPr>
        <vertAlign val="subscript"/>
        <sz val="11"/>
        <rFont val="Times New Roman"/>
        <family val="1"/>
      </rPr>
      <t>5</t>
    </r>
    <r>
      <rPr>
        <sz val="11"/>
        <rFont val="Times New Roman"/>
        <family val="1"/>
      </rPr>
      <t xml:space="preserve"> in bottoms</t>
    </r>
  </si>
  <si>
    <t>Propane recovery in overhead</t>
  </si>
  <si>
    <r>
      <t>C</t>
    </r>
    <r>
      <rPr>
        <vertAlign val="subscript"/>
        <sz val="11"/>
        <rFont val="Times New Roman"/>
        <family val="1"/>
      </rPr>
      <t>3</t>
    </r>
    <r>
      <rPr>
        <sz val="11"/>
        <rFont val="Times New Roman"/>
        <family val="1"/>
      </rPr>
      <t xml:space="preserve"> in overhead = .98 * C</t>
    </r>
    <r>
      <rPr>
        <vertAlign val="subscript"/>
        <sz val="11"/>
        <rFont val="Times New Roman"/>
        <family val="1"/>
      </rPr>
      <t xml:space="preserve">3 </t>
    </r>
    <r>
      <rPr>
        <sz val="11"/>
        <rFont val="Times New Roman"/>
        <family val="1"/>
      </rPr>
      <t>in feed</t>
    </r>
  </si>
  <si>
    <r>
      <t>moles in overhead = (moles C</t>
    </r>
    <r>
      <rPr>
        <vertAlign val="subscript"/>
        <sz val="11"/>
        <rFont val="Times New Roman"/>
        <family val="1"/>
      </rPr>
      <t>2</t>
    </r>
    <r>
      <rPr>
        <sz val="11"/>
        <rFont val="Times New Roman"/>
        <family val="1"/>
      </rPr>
      <t xml:space="preserve"> + moles C</t>
    </r>
    <r>
      <rPr>
        <vertAlign val="subscript"/>
        <sz val="11"/>
        <rFont val="Times New Roman"/>
        <family val="1"/>
      </rPr>
      <t>3</t>
    </r>
    <r>
      <rPr>
        <sz val="11"/>
        <rFont val="Times New Roman"/>
        <family val="1"/>
      </rPr>
      <t>) / .99</t>
    </r>
  </si>
  <si>
    <r>
      <t>mol iC</t>
    </r>
    <r>
      <rPr>
        <vertAlign val="subscript"/>
        <sz val="11"/>
        <rFont val="Times New Roman"/>
        <family val="1"/>
      </rPr>
      <t>4</t>
    </r>
    <r>
      <rPr>
        <sz val="11"/>
        <rFont val="Times New Roman"/>
        <family val="1"/>
      </rPr>
      <t>/h</t>
    </r>
  </si>
  <si>
    <r>
      <t>α average, relative to C</t>
    </r>
    <r>
      <rPr>
        <vertAlign val="subscript"/>
        <sz val="11"/>
        <rFont val="Times New Roman"/>
        <family val="1"/>
      </rPr>
      <t>6</t>
    </r>
  </si>
  <si>
    <r>
      <t>α*x</t>
    </r>
    <r>
      <rPr>
        <vertAlign val="subscript"/>
        <sz val="11"/>
        <rFont val="Times New Roman"/>
        <family val="1"/>
      </rPr>
      <t>F</t>
    </r>
    <r>
      <rPr>
        <sz val="11"/>
        <rFont val="Times New Roman"/>
        <family val="1"/>
      </rPr>
      <t>/(α-θ)</t>
    </r>
  </si>
  <si>
    <t>Equation 19-3</t>
  </si>
  <si>
    <t>Equation 19-6</t>
  </si>
  <si>
    <t>Equation 19-8</t>
  </si>
  <si>
    <t>Equation 19-11</t>
  </si>
  <si>
    <t>Equation 19-12</t>
  </si>
  <si>
    <t>Equation 19-13</t>
  </si>
  <si>
    <t>Figure 19-15</t>
  </si>
  <si>
    <t>Figure 19-16</t>
  </si>
  <si>
    <t>Figure 19-18</t>
  </si>
  <si>
    <t>Equation 19-16</t>
  </si>
  <si>
    <t>Equation 19-17</t>
  </si>
  <si>
    <t>FPL - One Pass</t>
  </si>
  <si>
    <t>Two Pass</t>
  </si>
  <si>
    <t>AAM - One Pass</t>
  </si>
  <si>
    <t>ATM - One Pass</t>
  </si>
  <si>
    <t>Figure 19-17</t>
  </si>
  <si>
    <t>Equation 19-20</t>
  </si>
  <si>
    <t>Equation 19-19</t>
  </si>
  <si>
    <t>Equation 19-21</t>
  </si>
  <si>
    <t>μ*α</t>
  </si>
  <si>
    <r>
      <t>N</t>
    </r>
    <r>
      <rPr>
        <vertAlign val="subscript"/>
        <sz val="11"/>
        <rFont val="Times New Roman"/>
        <family val="1"/>
      </rPr>
      <t>theoretical trays</t>
    </r>
  </si>
  <si>
    <t>Figure 19-19</t>
  </si>
  <si>
    <t>Equation 19-22</t>
  </si>
  <si>
    <t>Figure 19.26</t>
  </si>
  <si>
    <t>Figure 19-27</t>
  </si>
  <si>
    <t>Horizontal Axis of Figure 19-27</t>
  </si>
  <si>
    <t>Equation 19-27</t>
  </si>
  <si>
    <t>Driving Force</t>
  </si>
  <si>
    <t>Equation 19-29</t>
  </si>
  <si>
    <t>Equation 19-28</t>
  </si>
  <si>
    <t>Figure 19-52</t>
  </si>
  <si>
    <t>Equation 19-30</t>
  </si>
  <si>
    <r>
      <t>Mass Fraction H</t>
    </r>
    <r>
      <rPr>
        <vertAlign val="subscript"/>
        <sz val="11"/>
        <rFont val="Times New Roman"/>
        <family val="1"/>
      </rPr>
      <t>2</t>
    </r>
    <r>
      <rPr>
        <sz val="11"/>
        <rFont val="Times New Roman"/>
        <family val="1"/>
      </rPr>
      <t>O in Overhead</t>
    </r>
  </si>
  <si>
    <r>
      <t>Partial Pressure H</t>
    </r>
    <r>
      <rPr>
        <vertAlign val="subscript"/>
        <sz val="11"/>
        <rFont val="Times New Roman"/>
        <family val="1"/>
      </rPr>
      <t>2</t>
    </r>
    <r>
      <rPr>
        <sz val="11"/>
        <rFont val="Times New Roman"/>
        <family val="1"/>
      </rPr>
      <t>O</t>
    </r>
  </si>
  <si>
    <t xml:space="preserve"> </t>
  </si>
  <si>
    <t>Operating Conditions and Design</t>
  </si>
  <si>
    <r>
      <t>%</t>
    </r>
    <r>
      <rPr>
        <vertAlign val="subscript"/>
        <sz val="11"/>
        <rFont val="Times New Roman"/>
        <family val="1"/>
      </rPr>
      <t/>
    </r>
  </si>
  <si>
    <t xml:space="preserve">% </t>
  </si>
  <si>
    <t>iC4 in overhead</t>
  </si>
  <si>
    <r>
      <t>C</t>
    </r>
    <r>
      <rPr>
        <vertAlign val="subscript"/>
        <sz val="11"/>
        <rFont val="Times New Roman"/>
        <family val="1"/>
      </rPr>
      <t>3</t>
    </r>
    <r>
      <rPr>
        <sz val="11"/>
        <rFont val="Times New Roman"/>
        <family val="1"/>
      </rPr>
      <t xml:space="preserve"> Recovery in the overhead</t>
    </r>
  </si>
  <si>
    <r>
      <t>C</t>
    </r>
    <r>
      <rPr>
        <vertAlign val="subscript"/>
        <sz val="11"/>
        <rFont val="Times New Roman"/>
        <family val="1"/>
      </rPr>
      <t>3</t>
    </r>
    <r>
      <rPr>
        <sz val="11"/>
        <rFont val="Times New Roman"/>
        <family val="1"/>
      </rPr>
      <t xml:space="preserve"> in overhead</t>
    </r>
  </si>
  <si>
    <r>
      <t>C</t>
    </r>
    <r>
      <rPr>
        <vertAlign val="subscript"/>
        <sz val="11"/>
        <rFont val="Times New Roman"/>
        <family val="1"/>
      </rPr>
      <t>2</t>
    </r>
    <r>
      <rPr>
        <sz val="11"/>
        <rFont val="Times New Roman"/>
        <family val="1"/>
      </rPr>
      <t xml:space="preserve"> in overhead</t>
    </r>
  </si>
  <si>
    <r>
      <t>iC</t>
    </r>
    <r>
      <rPr>
        <vertAlign val="subscript"/>
        <sz val="11"/>
        <rFont val="Times New Roman"/>
        <family val="1"/>
      </rPr>
      <t>4</t>
    </r>
    <r>
      <rPr>
        <sz val="11"/>
        <rFont val="Times New Roman"/>
        <family val="1"/>
      </rPr>
      <t xml:space="preserve"> in overhead</t>
    </r>
  </si>
  <si>
    <t xml:space="preserve"> =</t>
  </si>
  <si>
    <r>
      <t>α</t>
    </r>
    <r>
      <rPr>
        <vertAlign val="subscript"/>
        <sz val="11"/>
        <rFont val="Times New Roman"/>
        <family val="1"/>
      </rPr>
      <t xml:space="preserve">AVG </t>
    </r>
  </si>
  <si>
    <t xml:space="preserve">θ </t>
  </si>
  <si>
    <t>Figure 19-8</t>
  </si>
  <si>
    <t>IMPORTANT: Do not enter values of θ that are equal to any of the average relative volatilities because this will give a false solution.</t>
  </si>
  <si>
    <t>Values of θ</t>
  </si>
  <si>
    <r>
      <t>L</t>
    </r>
    <r>
      <rPr>
        <vertAlign val="subscript"/>
        <sz val="11"/>
        <rFont val="Times New Roman"/>
        <family val="1"/>
      </rPr>
      <t>0</t>
    </r>
    <r>
      <rPr>
        <sz val="11"/>
        <rFont val="Times New Roman"/>
        <family val="1"/>
      </rPr>
      <t xml:space="preserve"> / D</t>
    </r>
  </si>
  <si>
    <r>
      <t>( L</t>
    </r>
    <r>
      <rPr>
        <vertAlign val="subscript"/>
        <sz val="11"/>
        <rFont val="Times New Roman"/>
        <family val="1"/>
      </rPr>
      <t>0</t>
    </r>
    <r>
      <rPr>
        <sz val="11"/>
        <rFont val="Times New Roman"/>
        <family val="1"/>
      </rPr>
      <t xml:space="preserve"> / D )</t>
    </r>
    <r>
      <rPr>
        <vertAlign val="subscript"/>
        <sz val="11"/>
        <rFont val="Times New Roman"/>
        <family val="1"/>
      </rPr>
      <t>m</t>
    </r>
  </si>
  <si>
    <t>Relative Volatility</t>
  </si>
  <si>
    <t>Tray Count</t>
  </si>
  <si>
    <t>Figure 19-14</t>
  </si>
  <si>
    <t>Equation 19-15</t>
  </si>
  <si>
    <t>Equation 19-14</t>
  </si>
  <si>
    <t>ADM / AAM: -One Pass</t>
  </si>
  <si>
    <t>Tray Efficiency</t>
  </si>
  <si>
    <t>Vapor flow rate</t>
  </si>
  <si>
    <t>Packing Type</t>
  </si>
  <si>
    <t>2" plastic Pall Rings</t>
  </si>
  <si>
    <r>
      <t>Mass</t>
    </r>
    <r>
      <rPr>
        <vertAlign val="subscript"/>
        <sz val="11"/>
        <rFont val="Times New Roman"/>
        <family val="1"/>
      </rPr>
      <t>L</t>
    </r>
  </si>
  <si>
    <r>
      <t>Mass</t>
    </r>
    <r>
      <rPr>
        <vertAlign val="subscript"/>
        <sz val="11"/>
        <rFont val="Times New Roman"/>
        <family val="1"/>
      </rPr>
      <t>G</t>
    </r>
  </si>
  <si>
    <t>Vertical Axis of Figure 19-27</t>
  </si>
  <si>
    <t>Diameter</t>
  </si>
  <si>
    <t>recirculation ratio must be greater than or equal to 4:1</t>
  </si>
  <si>
    <t>Maximum Energy Flux</t>
  </si>
  <si>
    <r>
      <t>Btu/ft</t>
    </r>
    <r>
      <rPr>
        <vertAlign val="superscript"/>
        <sz val="11"/>
        <rFont val="Times New Roman"/>
        <family val="1"/>
      </rPr>
      <t>2</t>
    </r>
  </si>
  <si>
    <t>Thermodynamic Data and Energy Balance</t>
  </si>
  <si>
    <t>Tube Calculations</t>
  </si>
  <si>
    <r>
      <t>1/ρ</t>
    </r>
    <r>
      <rPr>
        <vertAlign val="subscript"/>
        <sz val="11"/>
        <rFont val="Times New Roman"/>
        <family val="1"/>
      </rPr>
      <t>L</t>
    </r>
  </si>
  <si>
    <t>Total</t>
  </si>
  <si>
    <t>l</t>
  </si>
  <si>
    <t>Mass Balance</t>
  </si>
  <si>
    <r>
      <t>H</t>
    </r>
    <r>
      <rPr>
        <vertAlign val="subscript"/>
        <sz val="11"/>
        <rFont val="Times New Roman"/>
        <family val="1"/>
      </rPr>
      <t>2</t>
    </r>
    <r>
      <rPr>
        <sz val="11"/>
        <rFont val="Times New Roman"/>
        <family val="1"/>
      </rPr>
      <t>S Concentration, inlet</t>
    </r>
  </si>
  <si>
    <t>lb</t>
  </si>
  <si>
    <t>steam produced per gallon feed</t>
  </si>
  <si>
    <t>Figure 19-53</t>
  </si>
  <si>
    <t>Equation 19-32</t>
  </si>
  <si>
    <t>Equation 19-31</t>
  </si>
  <si>
    <t>Stripping Calculation</t>
  </si>
  <si>
    <t>Equation 19-1</t>
  </si>
  <si>
    <t>From Figure 19.14, C was found to be approximately 425 ft/h.</t>
  </si>
  <si>
    <t>Using the surface tension and tray spacing entered above, use Figure 19.14 and input C.</t>
  </si>
  <si>
    <r>
      <t>V</t>
    </r>
    <r>
      <rPr>
        <vertAlign val="subscript"/>
        <sz val="11"/>
        <rFont val="Times New Roman"/>
        <family val="1"/>
      </rPr>
      <t>load</t>
    </r>
    <r>
      <rPr>
        <sz val="11"/>
        <rFont val="Times New Roman"/>
        <family val="1"/>
      </rPr>
      <t xml:space="preserve"> needs to be found in order to use Figure 19.15. V</t>
    </r>
    <r>
      <rPr>
        <vertAlign val="subscript"/>
        <sz val="11"/>
        <rFont val="Times New Roman"/>
        <family val="1"/>
      </rPr>
      <t>load</t>
    </r>
    <r>
      <rPr>
        <sz val="11"/>
        <rFont val="Times New Roman"/>
        <family val="1"/>
      </rPr>
      <t xml:space="preserve"> is found from Equation 19.13.</t>
    </r>
  </si>
  <si>
    <t>Using Vload and the liquid rate of 1190 gpm on Figure 19.15, tower diameters were read for one and two pass trays.</t>
  </si>
  <si>
    <t>From the equation in the bottom of Figure 19.16, the system factor for the tower was found.</t>
  </si>
  <si>
    <t>Using Figure 19.17 and the given specifications, VD*dsg was found.</t>
  </si>
  <si>
    <r>
      <t>From Figure 19.18, CAF</t>
    </r>
    <r>
      <rPr>
        <vertAlign val="subscript"/>
        <sz val="11"/>
        <rFont val="Times New Roman"/>
        <family val="1"/>
      </rPr>
      <t>0</t>
    </r>
    <r>
      <rPr>
        <sz val="11"/>
        <rFont val="Times New Roman"/>
        <family val="1"/>
      </rPr>
      <t xml:space="preserve"> is 0.41.</t>
    </r>
  </si>
  <si>
    <t>To use Figure 19.19, the product of these two is needed.</t>
  </si>
  <si>
    <r>
      <t>From Figure 19.26, the packing factor (F</t>
    </r>
    <r>
      <rPr>
        <vertAlign val="subscript"/>
        <sz val="11"/>
        <rFont val="Times New Roman"/>
        <family val="1"/>
      </rPr>
      <t>p</t>
    </r>
    <r>
      <rPr>
        <sz val="11"/>
        <rFont val="Times New Roman"/>
        <family val="1"/>
      </rPr>
      <t>) for the specified packing is 26.</t>
    </r>
  </si>
  <si>
    <r>
      <t>Figure 19.27 can now be used. The bottom axis is defined by ( L</t>
    </r>
    <r>
      <rPr>
        <vertAlign val="subscript"/>
        <sz val="11"/>
        <rFont val="Times New Roman"/>
        <family val="1"/>
      </rPr>
      <t>p</t>
    </r>
    <r>
      <rPr>
        <sz val="11"/>
        <rFont val="Times New Roman"/>
        <family val="1"/>
      </rPr>
      <t xml:space="preserve"> / G</t>
    </r>
    <r>
      <rPr>
        <vertAlign val="subscript"/>
        <sz val="11"/>
        <rFont val="Times New Roman"/>
        <family val="1"/>
      </rPr>
      <t>p</t>
    </r>
    <r>
      <rPr>
        <sz val="11"/>
        <rFont val="Times New Roman"/>
        <family val="1"/>
      </rPr>
      <t xml:space="preserve"> ) * sqrt ( ρ</t>
    </r>
    <r>
      <rPr>
        <vertAlign val="subscript"/>
        <sz val="11"/>
        <rFont val="Times New Roman"/>
        <family val="1"/>
      </rPr>
      <t>v</t>
    </r>
    <r>
      <rPr>
        <sz val="11"/>
        <rFont val="Times New Roman"/>
        <family val="1"/>
      </rPr>
      <t xml:space="preserve"> /  ρ</t>
    </r>
    <r>
      <rPr>
        <vertAlign val="subscript"/>
        <sz val="11"/>
        <rFont val="Times New Roman"/>
        <family val="1"/>
      </rPr>
      <t>L</t>
    </r>
    <r>
      <rPr>
        <sz val="11"/>
        <rFont val="Times New Roman"/>
        <family val="1"/>
      </rPr>
      <t>). L</t>
    </r>
    <r>
      <rPr>
        <vertAlign val="subscript"/>
        <sz val="11"/>
        <rFont val="Times New Roman"/>
        <family val="1"/>
      </rPr>
      <t>p</t>
    </r>
    <r>
      <rPr>
        <sz val="11"/>
        <rFont val="Times New Roman"/>
        <family val="1"/>
      </rPr>
      <t>/ G</t>
    </r>
    <r>
      <rPr>
        <vertAlign val="subscript"/>
        <sz val="11"/>
        <rFont val="Times New Roman"/>
        <family val="1"/>
      </rPr>
      <t>p</t>
    </r>
    <r>
      <rPr>
        <sz val="11"/>
        <rFont val="Times New Roman"/>
        <family val="1"/>
      </rPr>
      <t xml:space="preserve"> can be substituted with M</t>
    </r>
    <r>
      <rPr>
        <vertAlign val="subscript"/>
        <sz val="11"/>
        <rFont val="Times New Roman"/>
        <family val="1"/>
      </rPr>
      <t>L</t>
    </r>
    <r>
      <rPr>
        <sz val="11"/>
        <rFont val="Times New Roman"/>
        <family val="1"/>
      </rPr>
      <t xml:space="preserve"> / M</t>
    </r>
    <r>
      <rPr>
        <vertAlign val="subscript"/>
        <sz val="11"/>
        <rFont val="Times New Roman"/>
        <family val="1"/>
      </rPr>
      <t>G</t>
    </r>
    <r>
      <rPr>
        <sz val="11"/>
        <rFont val="Times New Roman"/>
        <family val="1"/>
      </rPr>
      <t xml:space="preserve">. </t>
    </r>
  </si>
  <si>
    <t>bottom axis of Figure 19.27</t>
  </si>
  <si>
    <t>Enthalpy at 228 F and 290 psia of:</t>
  </si>
  <si>
    <t>Liquid Butane</t>
  </si>
  <si>
    <t>Vapor Butane</t>
  </si>
  <si>
    <t>From Figure 19.52, A can be found using Ea as .75 (specified efficiency for propane absorption) and n=6 (specified trays).</t>
  </si>
  <si>
    <t>Now the absorption efficiencies can be determined for each component, using Figure 19.52.</t>
  </si>
  <si>
    <t>TOTAL</t>
  </si>
  <si>
    <t>From Figure 19.53:</t>
  </si>
  <si>
    <t>The same can be done for the moles of liquid leaving the top tray.</t>
  </si>
  <si>
    <r>
      <t>tube flow area, ft</t>
    </r>
    <r>
      <rPr>
        <vertAlign val="superscript"/>
        <sz val="11"/>
        <rFont val="Times New Roman"/>
        <family val="1"/>
      </rPr>
      <t>2</t>
    </r>
  </si>
  <si>
    <r>
      <t>total tube flow area, ft</t>
    </r>
    <r>
      <rPr>
        <vertAlign val="superscript"/>
        <sz val="11"/>
        <rFont val="Times New Roman"/>
        <family val="1"/>
      </rPr>
      <t>2</t>
    </r>
  </si>
  <si>
    <r>
      <t>cross sectional area, ft</t>
    </r>
    <r>
      <rPr>
        <vertAlign val="superscript"/>
        <sz val="11"/>
        <rFont val="Times New Roman"/>
        <family val="1"/>
      </rPr>
      <t>2</t>
    </r>
  </si>
  <si>
    <r>
      <t>tray active area, ft</t>
    </r>
    <r>
      <rPr>
        <vertAlign val="superscript"/>
        <sz val="11"/>
        <rFont val="Times New Roman"/>
        <family val="1"/>
      </rPr>
      <t>2</t>
    </r>
  </si>
  <si>
    <r>
      <t>tray downcomer area, ft</t>
    </r>
    <r>
      <rPr>
        <vertAlign val="superscript"/>
        <sz val="11"/>
        <rFont val="Times New Roman"/>
        <family val="1"/>
      </rPr>
      <t>2</t>
    </r>
  </si>
  <si>
    <r>
      <t>tower cross sectional area, ft</t>
    </r>
    <r>
      <rPr>
        <vertAlign val="superscript"/>
        <sz val="11"/>
        <rFont val="Times New Roman"/>
        <family val="1"/>
      </rPr>
      <t>2</t>
    </r>
  </si>
  <si>
    <r>
      <t>specific volume, ft</t>
    </r>
    <r>
      <rPr>
        <vertAlign val="superscript"/>
        <sz val="11"/>
        <rFont val="Times New Roman"/>
        <family val="1"/>
      </rPr>
      <t>3</t>
    </r>
    <r>
      <rPr>
        <sz val="11"/>
        <rFont val="Times New Roman"/>
        <family val="1"/>
      </rPr>
      <t>/lb</t>
    </r>
  </si>
  <si>
    <r>
      <t>downcomer velocity, uncorrected, gpm/ft</t>
    </r>
    <r>
      <rPr>
        <vertAlign val="superscript"/>
        <sz val="11"/>
        <rFont val="Times New Roman"/>
        <family val="1"/>
      </rPr>
      <t>2</t>
    </r>
  </si>
  <si>
    <r>
      <t>downcomer velocity, corrected, gpm/ft</t>
    </r>
    <r>
      <rPr>
        <vertAlign val="superscript"/>
        <sz val="11"/>
        <rFont val="Times New Roman"/>
        <family val="1"/>
      </rPr>
      <t>2</t>
    </r>
  </si>
  <si>
    <r>
      <t>density, lb/ft</t>
    </r>
    <r>
      <rPr>
        <vertAlign val="superscript"/>
        <sz val="11"/>
        <rFont val="Times New Roman"/>
        <family val="1"/>
      </rPr>
      <t>3</t>
    </r>
  </si>
  <si>
    <t>Greek</t>
  </si>
  <si>
    <r>
      <t>β</t>
    </r>
    <r>
      <rPr>
        <vertAlign val="subscript"/>
        <sz val="11"/>
        <rFont val="Times New Roman"/>
        <family val="1"/>
      </rPr>
      <t>ij</t>
    </r>
  </si>
  <si>
    <t>i</t>
  </si>
  <si>
    <t>VF</t>
  </si>
  <si>
    <t>vaporized feed stream</t>
  </si>
  <si>
    <t>vapor phase</t>
  </si>
  <si>
    <t>number of absorber stages</t>
  </si>
  <si>
    <r>
      <t>N</t>
    </r>
    <r>
      <rPr>
        <vertAlign val="subscript"/>
        <sz val="11"/>
        <rFont val="Times New Roman"/>
        <family val="1"/>
      </rPr>
      <t>t</t>
    </r>
  </si>
  <si>
    <r>
      <t>U</t>
    </r>
    <r>
      <rPr>
        <vertAlign val="subscript"/>
        <sz val="11"/>
        <rFont val="Times New Roman"/>
        <family val="1"/>
      </rPr>
      <t>D</t>
    </r>
  </si>
  <si>
    <t>Nomenclature</t>
  </si>
  <si>
    <t>FIG. 19-1</t>
  </si>
  <si>
    <t>exponent used in Equations 19-5 and 19-6</t>
  </si>
  <si>
    <t>absorption efficiency, Equation 19-30</t>
  </si>
  <si>
    <t>stripping efficiency, Equation 19-32</t>
  </si>
  <si>
    <t>correlating parameter in Equations 19-7, 19-8</t>
  </si>
  <si>
    <t>absorption factor used in Equation 19-28</t>
  </si>
  <si>
    <t>flooding factor used in Equation 19-17, usually 0.82</t>
  </si>
  <si>
    <t>stripping factor used in Equation 19-31</t>
  </si>
  <si>
    <t>separation factor defined by Equation 19-1</t>
  </si>
  <si>
    <t>volatility factor defined in Equation 19-5</t>
  </si>
  <si>
    <t>viscosity, cp</t>
  </si>
  <si>
    <r>
      <t>heat transfer surface, ft</t>
    </r>
    <r>
      <rPr>
        <vertAlign val="superscript"/>
        <sz val="11"/>
        <rFont val="Times New Roman"/>
        <family val="1"/>
      </rPr>
      <t>2</t>
    </r>
  </si>
  <si>
    <r>
      <t>friction factor (Moody friction factor/144), ft</t>
    </r>
    <r>
      <rPr>
        <vertAlign val="superscript"/>
        <sz val="11"/>
        <rFont val="Times New Roman"/>
        <family val="1"/>
      </rPr>
      <t>2</t>
    </r>
    <r>
      <rPr>
        <sz val="11"/>
        <rFont val="Times New Roman"/>
        <family val="1"/>
      </rPr>
      <t>/in</t>
    </r>
    <r>
      <rPr>
        <vertAlign val="superscript"/>
        <sz val="11"/>
        <rFont val="Times New Roman"/>
        <family val="1"/>
      </rPr>
      <t>2</t>
    </r>
  </si>
  <si>
    <t>equilibrium K-value, y/x</t>
  </si>
  <si>
    <t>tray spacing, inches</t>
  </si>
  <si>
    <r>
      <t>specific volume of the inlet, ft</t>
    </r>
    <r>
      <rPr>
        <vertAlign val="superscript"/>
        <sz val="11"/>
        <rFont val="Times New Roman"/>
        <family val="1"/>
      </rPr>
      <t>3</t>
    </r>
    <r>
      <rPr>
        <sz val="11"/>
        <rFont val="Times New Roman"/>
        <family val="1"/>
      </rPr>
      <t>/lb</t>
    </r>
  </si>
  <si>
    <r>
      <t>specific volume of the outlet, ft</t>
    </r>
    <r>
      <rPr>
        <vertAlign val="superscript"/>
        <sz val="11"/>
        <rFont val="Times New Roman"/>
        <family val="1"/>
      </rPr>
      <t>3</t>
    </r>
    <r>
      <rPr>
        <sz val="11"/>
        <rFont val="Times New Roman"/>
        <family val="1"/>
      </rPr>
      <t>/lb</t>
    </r>
  </si>
  <si>
    <t>moles of a component in the rich oil entering a stripper per mole of rich oil entering the stripper</t>
  </si>
  <si>
    <t>moles of any component in the gas in equilibrium with the entering lean oil, per mole of rich gas</t>
  </si>
  <si>
    <t>average value</t>
  </si>
  <si>
    <t>coefficient in Equation 19.11, ft/hr</t>
  </si>
  <si>
    <t>mass flowrate, lb/hr</t>
  </si>
  <si>
    <t>condenser duty, Btu/hr</t>
  </si>
  <si>
    <r>
      <t>volumetric vapor flow rate, ft</t>
    </r>
    <r>
      <rPr>
        <vertAlign val="superscript"/>
        <sz val="11"/>
        <rFont val="Times New Roman"/>
        <family val="1"/>
      </rPr>
      <t>3</t>
    </r>
    <r>
      <rPr>
        <sz val="11"/>
        <rFont val="Times New Roman"/>
        <family val="1"/>
      </rPr>
      <t>/hr</t>
    </r>
  </si>
  <si>
    <t>vapor capacity factor, corrected, ft/sec</t>
  </si>
  <si>
    <t>vapor capacity factor, uncorrected, ft/sec</t>
  </si>
  <si>
    <r>
      <t>vapor loading, ft</t>
    </r>
    <r>
      <rPr>
        <vertAlign val="superscript"/>
        <sz val="11"/>
        <rFont val="Times New Roman"/>
        <family val="1"/>
      </rPr>
      <t>3</t>
    </r>
    <r>
      <rPr>
        <sz val="11"/>
        <rFont val="Times New Roman"/>
        <family val="1"/>
      </rPr>
      <t>/sec</t>
    </r>
  </si>
  <si>
    <t>vapor rate, moles/unit time</t>
  </si>
  <si>
    <t>vapor rate leaving top tray, moles/unit time</t>
  </si>
  <si>
    <t>bottoms product flowrate, moles/unit time</t>
  </si>
  <si>
    <t>stripping medium rate, moles/unit time</t>
  </si>
  <si>
    <t>distillate (overhead) product flowrate, moles/unit time</t>
  </si>
  <si>
    <t>liquid rate, moles/unit time</t>
  </si>
  <si>
    <t>feed rate, moles/unit time</t>
  </si>
  <si>
    <t>rich oil entering stripper, moles/unit time</t>
  </si>
  <si>
    <t>liquid reflux rate, moles/unit time</t>
  </si>
  <si>
    <r>
      <t>conversion factor, 32.174 (ft·lb</t>
    </r>
    <r>
      <rPr>
        <vertAlign val="subscript"/>
        <sz val="11"/>
        <rFont val="Times New Roman"/>
        <family val="1"/>
      </rPr>
      <t>m</t>
    </r>
    <r>
      <rPr>
        <sz val="11"/>
        <rFont val="Times New Roman"/>
        <family val="1"/>
      </rPr>
      <t>) / (lb</t>
    </r>
    <r>
      <rPr>
        <vertAlign val="subscript"/>
        <sz val="11"/>
        <rFont val="Times New Roman"/>
        <family val="1"/>
      </rPr>
      <t>f</t>
    </r>
    <r>
      <rPr>
        <sz val="11"/>
        <rFont val="Times New Roman"/>
        <family val="1"/>
      </rPr>
      <t>·sec</t>
    </r>
    <r>
      <rPr>
        <vertAlign val="superscript"/>
        <sz val="11"/>
        <rFont val="Times New Roman"/>
        <family val="1"/>
      </rPr>
      <t>2</t>
    </r>
    <r>
      <rPr>
        <sz val="11"/>
        <rFont val="Times New Roman"/>
        <family val="1"/>
      </rPr>
      <t>)</t>
    </r>
  </si>
  <si>
    <r>
      <t>mass velocity, lb/(hr·ft</t>
    </r>
    <r>
      <rPr>
        <vertAlign val="superscript"/>
        <sz val="11"/>
        <rFont val="Times New Roman"/>
        <family val="1"/>
      </rPr>
      <t>2</t>
    </r>
    <r>
      <rPr>
        <sz val="11"/>
        <rFont val="Times New Roman"/>
        <family val="1"/>
      </rPr>
      <t>)</t>
    </r>
  </si>
  <si>
    <r>
      <t>tower vapor loading, lb/(ft</t>
    </r>
    <r>
      <rPr>
        <vertAlign val="superscript"/>
        <sz val="11"/>
        <rFont val="Times New Roman"/>
        <family val="1"/>
      </rPr>
      <t>2</t>
    </r>
    <r>
      <rPr>
        <sz val="11"/>
        <rFont val="Times New Roman"/>
        <family val="1"/>
      </rPr>
      <t>·sec)</t>
    </r>
  </si>
  <si>
    <r>
      <t>liquid loading, lb/(ft</t>
    </r>
    <r>
      <rPr>
        <vertAlign val="superscript"/>
        <sz val="11"/>
        <rFont val="Times New Roman"/>
        <family val="1"/>
      </rPr>
      <t>2</t>
    </r>
    <r>
      <rPr>
        <sz val="11"/>
        <rFont val="Times New Roman"/>
        <family val="1"/>
      </rPr>
      <t>·sec)</t>
    </r>
  </si>
  <si>
    <r>
      <t>vapor loading defined by Equation 19-13, ft</t>
    </r>
    <r>
      <rPr>
        <vertAlign val="superscript"/>
        <sz val="11"/>
        <rFont val="Times New Roman"/>
        <family val="1"/>
      </rPr>
      <t>3</t>
    </r>
    <r>
      <rPr>
        <sz val="11"/>
        <rFont val="Times New Roman"/>
        <family val="1"/>
      </rPr>
      <t>/sec</t>
    </r>
  </si>
  <si>
    <t>weight flow, lb/hr</t>
  </si>
  <si>
    <r>
      <t>overall heat transfer coefficient, Btu/(hr·ft</t>
    </r>
    <r>
      <rPr>
        <vertAlign val="superscript"/>
        <sz val="11"/>
        <rFont val="Times New Roman"/>
        <family val="1"/>
      </rPr>
      <t>2</t>
    </r>
    <r>
      <rPr>
        <sz val="11"/>
        <rFont val="Times New Roman"/>
        <family val="1"/>
      </rPr>
      <t>·°F)</t>
    </r>
  </si>
  <si>
    <r>
      <t>C</t>
    </r>
    <r>
      <rPr>
        <vertAlign val="subscript"/>
        <sz val="11"/>
        <rFont val="Times New Roman"/>
        <family val="1"/>
      </rPr>
      <t>3</t>
    </r>
    <r>
      <rPr>
        <sz val="11"/>
        <rFont val="Times New Roman"/>
        <family val="1"/>
      </rPr>
      <t xml:space="preserve"> in overhead = .98 * 162.8</t>
    </r>
  </si>
  <si>
    <r>
      <t>C</t>
    </r>
    <r>
      <rPr>
        <vertAlign val="subscript"/>
        <sz val="11"/>
        <rFont val="Times New Roman"/>
        <family val="1"/>
      </rPr>
      <t>2</t>
    </r>
    <r>
      <rPr>
        <sz val="11"/>
        <rFont val="Times New Roman"/>
        <family val="1"/>
      </rPr>
      <t xml:space="preserve"> + C</t>
    </r>
    <r>
      <rPr>
        <vertAlign val="subscript"/>
        <sz val="11"/>
        <rFont val="Times New Roman"/>
        <family val="1"/>
      </rPr>
      <t>3</t>
    </r>
  </si>
  <si>
    <r>
      <t>iC</t>
    </r>
    <r>
      <rPr>
        <vertAlign val="subscript"/>
        <sz val="11"/>
        <rFont val="Times New Roman"/>
        <family val="1"/>
      </rPr>
      <t>4</t>
    </r>
    <r>
      <rPr>
        <sz val="11"/>
        <rFont val="Times New Roman"/>
        <family val="1"/>
      </rPr>
      <t xml:space="preserve"> in bottoms = iC</t>
    </r>
    <r>
      <rPr>
        <vertAlign val="subscript"/>
        <sz val="11"/>
        <rFont val="Times New Roman"/>
        <family val="1"/>
      </rPr>
      <t>4</t>
    </r>
    <r>
      <rPr>
        <sz val="11"/>
        <rFont val="Times New Roman"/>
        <family val="1"/>
      </rPr>
      <t>, feed - iC</t>
    </r>
    <r>
      <rPr>
        <vertAlign val="subscript"/>
        <sz val="11"/>
        <rFont val="Times New Roman"/>
        <family val="1"/>
      </rPr>
      <t>4</t>
    </r>
    <r>
      <rPr>
        <sz val="11"/>
        <rFont val="Times New Roman"/>
        <family val="1"/>
      </rPr>
      <t>, overhead</t>
    </r>
  </si>
  <si>
    <r>
      <t>The remainder of the components (nC</t>
    </r>
    <r>
      <rPr>
        <vertAlign val="subscript"/>
        <sz val="11"/>
        <rFont val="Times New Roman"/>
        <family val="1"/>
      </rPr>
      <t>4</t>
    </r>
    <r>
      <rPr>
        <sz val="11"/>
        <rFont val="Times New Roman"/>
        <family val="1"/>
      </rPr>
      <t>, C</t>
    </r>
    <r>
      <rPr>
        <vertAlign val="subscript"/>
        <sz val="11"/>
        <rFont val="Times New Roman"/>
        <family val="1"/>
      </rPr>
      <t>5</t>
    </r>
    <r>
      <rPr>
        <sz val="11"/>
        <rFont val="Times New Roman"/>
        <family val="1"/>
      </rPr>
      <t>) will all be in the bottoms. A material balance table is shown below.</t>
    </r>
  </si>
  <si>
    <r>
      <t xml:space="preserve">Air cooling available (120 </t>
    </r>
    <r>
      <rPr>
        <sz val="11"/>
        <rFont val="Calibri"/>
        <family val="2"/>
      </rPr>
      <t>°</t>
    </r>
    <r>
      <rPr>
        <sz val="11"/>
        <rFont val="Times New Roman"/>
        <family val="1"/>
      </rPr>
      <t>F condensing temperature)</t>
    </r>
  </si>
  <si>
    <r>
      <t>The light key, C</t>
    </r>
    <r>
      <rPr>
        <vertAlign val="subscript"/>
        <sz val="11"/>
        <rFont val="Times New Roman"/>
        <family val="1"/>
      </rPr>
      <t>3</t>
    </r>
    <r>
      <rPr>
        <sz val="11"/>
        <rFont val="Times New Roman"/>
        <family val="1"/>
      </rPr>
      <t>, and the heavy key, iC</t>
    </r>
    <r>
      <rPr>
        <vertAlign val="subscript"/>
        <sz val="11"/>
        <rFont val="Times New Roman"/>
        <family val="1"/>
      </rPr>
      <t>4</t>
    </r>
    <r>
      <rPr>
        <sz val="11"/>
        <rFont val="Times New Roman"/>
        <family val="1"/>
      </rPr>
      <t>, will be used to determine the compositions.</t>
    </r>
  </si>
  <si>
    <r>
      <t xml:space="preserve">The pressure of the tower needs to be found. This is set by the cooling medium used. For air, the temperature is 120 </t>
    </r>
    <r>
      <rPr>
        <sz val="11"/>
        <rFont val="Calibri"/>
        <family val="2"/>
      </rPr>
      <t>°</t>
    </r>
    <r>
      <rPr>
        <sz val="11"/>
        <rFont val="Times New Roman"/>
        <family val="1"/>
      </rPr>
      <t>F.</t>
    </r>
  </si>
  <si>
    <t>R =</t>
  </si>
  <si>
    <t>Totals</t>
  </si>
  <si>
    <r>
      <t>α</t>
    </r>
    <r>
      <rPr>
        <vertAlign val="subscript"/>
        <sz val="11"/>
        <rFont val="Times New Roman"/>
        <family val="1"/>
      </rPr>
      <t>C3/iC4</t>
    </r>
  </si>
  <si>
    <t>Equation 19-4</t>
  </si>
  <si>
    <t>The arithmetic average of the relative volatilities is as follows using Equation 19-4.</t>
  </si>
  <si>
    <r>
      <t xml:space="preserve">checking for changes in </t>
    </r>
    <r>
      <rPr>
        <sz val="11"/>
        <rFont val="Calibri"/>
        <family val="2"/>
      </rPr>
      <t>α</t>
    </r>
    <r>
      <rPr>
        <sz val="11"/>
        <rFont val="Times New Roman"/>
        <family val="1"/>
      </rPr>
      <t xml:space="preserve">      b</t>
    </r>
  </si>
  <si>
    <r>
      <t>S</t>
    </r>
    <r>
      <rPr>
        <vertAlign val="subscript"/>
        <sz val="11"/>
        <rFont val="Times New Roman"/>
        <family val="1"/>
      </rPr>
      <t>M</t>
    </r>
  </si>
  <si>
    <t>minimum number of stages defined by Equation 19-6</t>
  </si>
  <si>
    <t>Available cooling condensing temperature</t>
  </si>
  <si>
    <r>
      <t>Enter values of θ</t>
    </r>
    <r>
      <rPr>
        <sz val="11"/>
        <color indexed="16"/>
        <rFont val="Times New Roman"/>
        <family val="1"/>
      </rPr>
      <t xml:space="preserve"> such that they are </t>
    </r>
    <r>
      <rPr>
        <b/>
        <sz val="11"/>
        <color indexed="16"/>
        <rFont val="Times New Roman"/>
        <family val="1"/>
      </rPr>
      <t>consecutive</t>
    </r>
    <r>
      <rPr>
        <sz val="11"/>
        <color indexed="16"/>
        <rFont val="Times New Roman"/>
        <family val="1"/>
      </rPr>
      <t xml:space="preserve"> and there is a positive number in </t>
    </r>
    <r>
      <rPr>
        <b/>
        <sz val="11"/>
        <color indexed="17"/>
        <rFont val="Times New Roman"/>
        <family val="1"/>
      </rPr>
      <t>green</t>
    </r>
    <r>
      <rPr>
        <sz val="11"/>
        <color indexed="16"/>
        <rFont val="Times New Roman"/>
        <family val="1"/>
      </rPr>
      <t xml:space="preserve"> and a negative number in </t>
    </r>
    <r>
      <rPr>
        <b/>
        <sz val="11"/>
        <color indexed="18"/>
        <rFont val="Times New Roman"/>
        <family val="1"/>
      </rPr>
      <t>blue</t>
    </r>
    <r>
      <rPr>
        <b/>
        <sz val="11"/>
        <rFont val="Times New Roman"/>
        <family val="1"/>
      </rPr>
      <t xml:space="preserve"> Totals</t>
    </r>
    <r>
      <rPr>
        <sz val="11"/>
        <rFont val="Times New Roman"/>
        <family val="1"/>
      </rPr>
      <t>.</t>
    </r>
  </si>
  <si>
    <r>
      <t>D</t>
    </r>
    <r>
      <rPr>
        <vertAlign val="subscript"/>
        <sz val="11"/>
        <rFont val="Times New Roman"/>
        <family val="1"/>
      </rPr>
      <t>T</t>
    </r>
    <r>
      <rPr>
        <sz val="11"/>
        <rFont val="Times New Roman"/>
        <family val="1"/>
      </rPr>
      <t xml:space="preserve"> - One Pass Tray</t>
    </r>
  </si>
  <si>
    <t>Two Pass Tray</t>
  </si>
  <si>
    <r>
      <t>D</t>
    </r>
    <r>
      <rPr>
        <vertAlign val="subscript"/>
        <sz val="11"/>
        <rFont val="Times New Roman"/>
        <family val="1"/>
      </rPr>
      <t>T</t>
    </r>
    <r>
      <rPr>
        <sz val="11"/>
        <rFont val="Times New Roman"/>
        <family val="1"/>
      </rPr>
      <t xml:space="preserve"> - One Pass</t>
    </r>
  </si>
  <si>
    <t>In no event will the GPA or GPSA and their members be liable for any damages whatsoever (including without limitation, those resulting from lost profits, lost data or business interruption) arising from the use, inability to, reference to or reliance on the information in this Publication, whether based on warranty, contract, tort or any other legal theory and whether or not advised of the possibility of such damages.</t>
  </si>
  <si>
    <t>This will find the optimum heat exchanger tube length for a vertical thermosyphon.</t>
  </si>
  <si>
    <t>psig</t>
  </si>
  <si>
    <t>Isothermal boiling point at column pressure</t>
  </si>
  <si>
    <t>Log Mean Temperature Difference</t>
  </si>
  <si>
    <t>LMTD</t>
  </si>
  <si>
    <t>log mean temperature difference</t>
  </si>
  <si>
    <t>Starting assumption</t>
  </si>
  <si>
    <r>
      <t>v</t>
    </r>
    <r>
      <rPr>
        <vertAlign val="subscript"/>
        <sz val="11"/>
        <rFont val="Times New Roman"/>
        <family val="1"/>
      </rPr>
      <t>v</t>
    </r>
    <r>
      <rPr>
        <sz val="11"/>
        <rFont val="Times New Roman"/>
        <family val="1"/>
      </rPr>
      <t xml:space="preserve">  =  1/ρ</t>
    </r>
    <r>
      <rPr>
        <vertAlign val="subscript"/>
        <sz val="11"/>
        <rFont val="Times New Roman"/>
        <family val="1"/>
      </rPr>
      <t>v</t>
    </r>
  </si>
  <si>
    <t>Saturated steam heat supply</t>
  </si>
  <si>
    <t>Moody plot</t>
  </si>
  <si>
    <r>
      <t>ΔP</t>
    </r>
    <r>
      <rPr>
        <vertAlign val="subscript"/>
        <sz val="11"/>
        <rFont val="Times New Roman"/>
        <family val="1"/>
      </rPr>
      <t>t</t>
    </r>
  </si>
  <si>
    <t>Difference</t>
  </si>
  <si>
    <t>GRAPHIC SOLUTION</t>
  </si>
  <si>
    <t>GOAL SEEKING SOLUTION</t>
  </si>
  <si>
    <t xml:space="preserve">To find the length where the difference is zero, use Goal Seek. This is found on the Data Ribbon, in the Data Tools group by pulling down the What-If Analysis button and selecting Goal Seek. Fill in the pop-up form with the information shown in the figure to the right and click OK. Cell P34 will show the maximum length where the required recirculation ratio is assured. </t>
  </si>
  <si>
    <t>Overhead steam</t>
  </si>
  <si>
    <r>
      <t>Fraction H</t>
    </r>
    <r>
      <rPr>
        <vertAlign val="subscript"/>
        <sz val="11"/>
        <rFont val="Times New Roman"/>
        <family val="1"/>
      </rPr>
      <t>2</t>
    </r>
    <r>
      <rPr>
        <sz val="11"/>
        <rFont val="Times New Roman"/>
        <family val="1"/>
      </rPr>
      <t xml:space="preserve">S Stripped </t>
    </r>
  </si>
  <si>
    <r>
      <t>C</t>
    </r>
    <r>
      <rPr>
        <vertAlign val="subscript"/>
        <sz val="11"/>
        <rFont val="Times New Roman"/>
        <family val="1"/>
      </rPr>
      <t>3</t>
    </r>
    <r>
      <rPr>
        <sz val="11"/>
        <rFont val="Times New Roman"/>
        <family val="1"/>
      </rPr>
      <t xml:space="preserve"> in bottoms = C</t>
    </r>
    <r>
      <rPr>
        <vertAlign val="subscript"/>
        <sz val="11"/>
        <rFont val="Times New Roman"/>
        <family val="1"/>
      </rPr>
      <t>3</t>
    </r>
    <r>
      <rPr>
        <sz val="11"/>
        <rFont val="Times New Roman"/>
        <family val="1"/>
      </rPr>
      <t xml:space="preserve"> feed - C</t>
    </r>
    <r>
      <rPr>
        <vertAlign val="subscript"/>
        <sz val="11"/>
        <rFont val="Times New Roman"/>
        <family val="1"/>
      </rPr>
      <t>3</t>
    </r>
    <r>
      <rPr>
        <sz val="11"/>
        <rFont val="Times New Roman"/>
        <family val="1"/>
      </rPr>
      <t xml:space="preserve"> overhead</t>
    </r>
  </si>
  <si>
    <r>
      <t>M</t>
    </r>
    <r>
      <rPr>
        <vertAlign val="subscript"/>
        <sz val="11"/>
        <rFont val="Times New Roman"/>
        <family val="1"/>
      </rPr>
      <t>G</t>
    </r>
    <r>
      <rPr>
        <sz val="11"/>
        <rFont val="Times New Roman"/>
        <family val="1"/>
      </rPr>
      <t xml:space="preserve"> = 70,418 ft</t>
    </r>
    <r>
      <rPr>
        <vertAlign val="superscript"/>
        <sz val="11"/>
        <rFont val="Times New Roman"/>
        <family val="1"/>
      </rPr>
      <t>3</t>
    </r>
    <r>
      <rPr>
        <sz val="11"/>
        <rFont val="Times New Roman"/>
        <family val="1"/>
      </rPr>
      <t>/h * 3 lb/ft</t>
    </r>
    <r>
      <rPr>
        <vertAlign val="superscript"/>
        <sz val="11"/>
        <rFont val="Times New Roman"/>
        <family val="1"/>
      </rPr>
      <t>3</t>
    </r>
  </si>
  <si>
    <r>
      <t>The maximum energy flux is 12,000 Btu/ft</t>
    </r>
    <r>
      <rPr>
        <vertAlign val="superscript"/>
        <sz val="11"/>
        <rFont val="Times New Roman"/>
        <family val="1"/>
      </rPr>
      <t>2</t>
    </r>
  </si>
  <si>
    <t>The moles in the overhead can be found by the following (see Example 19-1).</t>
  </si>
  <si>
    <t>Using Figure 19.8 and the above values:</t>
  </si>
  <si>
    <t>Length of Tube, ft</t>
  </si>
  <si>
    <t>Length of Tubes, ft</t>
  </si>
  <si>
    <t>To find the length where the difference is zero, use this curve. Enter a length in cell N64. The table will populate with lengths plus or minus 2 feet and calculate the difference. Find where the curve intersects with the y axis to find the maximum length where the required recirculation ratio is assured. If there is no intersect, choose a difference value for N64 outside the range.</t>
  </si>
  <si>
    <t>heat transfer duty, Btu/hr</t>
  </si>
  <si>
    <t>Using the pressure found from the bubble point calculation, find the bubble point temperature using the Bottoms composition. With this temperature and pressure, find K values from Section 25 and enter them below.</t>
  </si>
  <si>
    <t>Now the mass of overhead steam can be calculated using the given specification.</t>
  </si>
  <si>
    <t>Use the maximum allowable flux when initially determining reboiler surface area</t>
  </si>
  <si>
    <t>Use average absorption factor determined by Kremser and Brown, eqn. 19-28,29</t>
  </si>
  <si>
    <t>0.5-2.0 ppmw</t>
  </si>
  <si>
    <t>240-250 °F</t>
  </si>
  <si>
    <t>GPSA Engineering Data Book 14th Edition</t>
  </si>
  <si>
    <t>REVISION</t>
  </si>
  <si>
    <t>DATE</t>
  </si>
  <si>
    <t>REASON(S) FOR REVISION</t>
  </si>
  <si>
    <t xml:space="preserve">Initial release </t>
  </si>
  <si>
    <t>200-230 °F</t>
  </si>
  <si>
    <t>The sample calculations, equations and spreadsheets presented herein were developed using examples published in the Engineering Data Book as published by the Gas Processors Suppliers Association as a service to the gas processing industry.  All information and calculation formulae has been compiled and edited in cooperation with Gas Processors Association (GPA).</t>
  </si>
  <si>
    <t>While every effort has been made to present accurate and reliable technical information and calculation spreadsheets based on the GPSA Engineering Data Book sample calculations, the use of such information is voluntary and the GPA and GPSA do not guarantee the accuracy, completeness, efficacy, or timeliness of such information.  Reference herein to any specific commercial product, calculation method, process, or service by trade-name, trademark, and service mark manufacturer or otherwise does not constitute or imply endorsement, recommendation or favoring by the GPA and/or GPSA.</t>
  </si>
  <si>
    <t>The Calculation Spreadsheets are provided without warranty of any kind including warranties of accuracy or reasonableness of factual or scientific assumptions, studies or conclusions, or merchantability, fitness for a particular purpose, or non-infringement of intellectual property.</t>
  </si>
  <si>
    <t>These calculation spreadsheets are provided to provide an “Operational level” of accuracy calculation based on rather broad assumptions (including but not limited to: temperatures, pressures, compositions, imperial curves, site conditions etc) and do not replace detailed and accurate Design Engineering taking into account actual process conditions, fluid properties, equipment condition or fowling and actual control set-point dead-band limitations.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</si>
</sst>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
    <numFmt numFmtId="165" formatCode="0.000"/>
    <numFmt numFmtId="166" formatCode="0.00000"/>
    <numFmt numFmtId="167" formatCode="0.0000"/>
    <numFmt numFmtId="168" formatCode="#,##0.0"/>
    <numFmt numFmtId="169" formatCode="#,##0.000"/>
    <numFmt numFmtId="170" formatCode="#,##0.00\ ;&quot; (&quot;#,##0.00\);&quot; -&quot;#\ ;@\ "/>
  </numFmts>
  <fonts count="29" x14ac:knownFonts="1">
    <font>
      <sz val="10"/>
      <name val="Arial"/>
    </font>
    <font>
      <sz val="10"/>
      <name val="Arial"/>
      <family val="2"/>
    </font>
    <font>
      <b/>
      <sz val="10"/>
      <name val="Arial"/>
      <family val="2"/>
    </font>
    <font>
      <sz val="8"/>
      <name val="Arial"/>
      <family val="2"/>
    </font>
    <font>
      <sz val="11"/>
      <name val="Times New Roman"/>
      <family val="1"/>
    </font>
    <font>
      <b/>
      <sz val="11"/>
      <name val="Times New Roman"/>
      <family val="1"/>
    </font>
    <font>
      <vertAlign val="subscript"/>
      <sz val="11"/>
      <name val="Times New Roman"/>
      <family val="1"/>
    </font>
    <font>
      <b/>
      <vertAlign val="subscript"/>
      <sz val="11"/>
      <name val="Times New Roman"/>
      <family val="1"/>
    </font>
    <font>
      <vertAlign val="superscript"/>
      <sz val="11"/>
      <name val="Times New Roman"/>
      <family val="1"/>
    </font>
    <font>
      <sz val="11"/>
      <name val="Arial"/>
      <family val="2"/>
    </font>
    <font>
      <b/>
      <sz val="11"/>
      <color indexed="60"/>
      <name val="Times New Roman"/>
      <family val="1"/>
    </font>
    <font>
      <b/>
      <sz val="11"/>
      <color indexed="17"/>
      <name val="Times New Roman"/>
      <family val="1"/>
    </font>
    <font>
      <b/>
      <sz val="11"/>
      <color indexed="18"/>
      <name val="Times New Roman"/>
      <family val="1"/>
    </font>
    <font>
      <b/>
      <sz val="11"/>
      <color indexed="16"/>
      <name val="Times New Roman"/>
      <family val="1"/>
    </font>
    <font>
      <sz val="11"/>
      <color indexed="16"/>
      <name val="Times New Roman"/>
      <family val="1"/>
    </font>
    <font>
      <sz val="10"/>
      <color indexed="47"/>
      <name val="Arial"/>
      <family val="2"/>
    </font>
    <font>
      <sz val="11"/>
      <color indexed="47"/>
      <name val="Times New Roman"/>
      <family val="1"/>
    </font>
    <font>
      <sz val="10"/>
      <name val="Arial"/>
      <family val="2"/>
    </font>
    <font>
      <b/>
      <sz val="11"/>
      <color rgb="FF800000"/>
      <name val="Times New Roman"/>
      <family val="1"/>
    </font>
    <font>
      <sz val="10"/>
      <name val="Times New Roman"/>
      <family val="1"/>
    </font>
    <font>
      <sz val="10"/>
      <name val="Calibri"/>
      <family val="2"/>
    </font>
    <font>
      <b/>
      <sz val="11"/>
      <color rgb="FFFF0000"/>
      <name val="Times New Roman"/>
      <family val="1"/>
    </font>
    <font>
      <sz val="11"/>
      <name val="Calibri"/>
      <family val="2"/>
    </font>
    <font>
      <sz val="11"/>
      <color rgb="FFFF0000"/>
      <name val="Times New Roman"/>
      <family val="1"/>
    </font>
    <font>
      <sz val="10"/>
      <color theme="9" tint="0.59999389629810485"/>
      <name val="Arial"/>
      <family val="2"/>
    </font>
    <font>
      <sz val="11"/>
      <color indexed="8"/>
      <name val="Calibri"/>
      <family val="2"/>
    </font>
    <font>
      <b/>
      <sz val="10"/>
      <name val="Times New Roman"/>
      <family val="1"/>
    </font>
    <font>
      <sz val="11"/>
      <color rgb="FFC00000"/>
      <name val="Times New Roman"/>
      <family val="1"/>
    </font>
    <font>
      <b/>
      <sz val="11"/>
      <color theme="1"/>
      <name val="Times New Roman"/>
      <family val="1"/>
    </font>
  </fonts>
  <fills count="5">
    <fill>
      <patternFill patternType="none"/>
    </fill>
    <fill>
      <patternFill patternType="gray125"/>
    </fill>
    <fill>
      <patternFill patternType="solid">
        <fgColor theme="9" tint="0.59999389629810485"/>
        <bgColor indexed="64"/>
      </patternFill>
    </fill>
    <fill>
      <patternFill patternType="solid">
        <fgColor theme="6" tint="0.59999389629810485"/>
        <bgColor indexed="64"/>
      </patternFill>
    </fill>
    <fill>
      <patternFill patternType="solid">
        <fgColor theme="0" tint="-0.14999847407452621"/>
        <bgColor indexed="64"/>
      </patternFill>
    </fill>
  </fills>
  <borders count="17">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s>
  <cellStyleXfs count="4">
    <xf numFmtId="0" fontId="0" fillId="0" borderId="0"/>
    <xf numFmtId="0" fontId="1" fillId="0" borderId="0"/>
    <xf numFmtId="170" fontId="25" fillId="0" borderId="0"/>
    <xf numFmtId="0" fontId="25" fillId="0" borderId="0"/>
  </cellStyleXfs>
  <cellXfs count="327">
    <xf numFmtId="0" fontId="0" fillId="0" borderId="0" xfId="0"/>
    <xf numFmtId="0" fontId="5" fillId="3" borderId="0" xfId="0" applyFont="1" applyFill="1" applyProtection="1"/>
    <xf numFmtId="0" fontId="4" fillId="3" borderId="0" xfId="0" applyFont="1" applyFill="1" applyProtection="1"/>
    <xf numFmtId="0" fontId="0" fillId="0" borderId="0" xfId="0" applyProtection="1"/>
    <xf numFmtId="0" fontId="4" fillId="3" borderId="0" xfId="0" applyFont="1" applyFill="1" applyAlignment="1" applyProtection="1">
      <alignment wrapText="1"/>
    </xf>
    <xf numFmtId="0" fontId="5" fillId="3" borderId="0" xfId="0" applyFont="1" applyFill="1" applyAlignment="1" applyProtection="1">
      <alignment horizontal="center"/>
    </xf>
    <xf numFmtId="0" fontId="5" fillId="3" borderId="0" xfId="0" applyFont="1" applyFill="1" applyAlignment="1" applyProtection="1">
      <alignment horizontal="center" wrapText="1"/>
    </xf>
    <xf numFmtId="0" fontId="4" fillId="3" borderId="0" xfId="0" applyFont="1" applyFill="1" applyAlignment="1" applyProtection="1">
      <alignment horizontal="center"/>
    </xf>
    <xf numFmtId="164" fontId="4" fillId="3" borderId="0" xfId="0" applyNumberFormat="1" applyFont="1" applyFill="1" applyAlignment="1" applyProtection="1">
      <alignment wrapText="1"/>
    </xf>
    <xf numFmtId="0" fontId="4" fillId="3" borderId="0" xfId="0" applyFont="1" applyFill="1" applyAlignment="1" applyProtection="1">
      <alignment horizontal="center" wrapText="1"/>
    </xf>
    <xf numFmtId="164" fontId="4" fillId="3" borderId="0" xfId="0" applyNumberFormat="1" applyFont="1" applyFill="1" applyProtection="1"/>
    <xf numFmtId="0" fontId="4" fillId="3" borderId="0" xfId="0" applyFont="1" applyFill="1" applyAlignment="1" applyProtection="1"/>
    <xf numFmtId="0" fontId="4" fillId="3" borderId="1" xfId="0" applyFont="1" applyFill="1" applyBorder="1" applyAlignment="1" applyProtection="1">
      <alignment horizontal="center"/>
    </xf>
    <xf numFmtId="164" fontId="4" fillId="3" borderId="1" xfId="0" applyNumberFormat="1" applyFont="1" applyFill="1" applyBorder="1" applyAlignment="1" applyProtection="1">
      <alignment wrapText="1"/>
    </xf>
    <xf numFmtId="0" fontId="5" fillId="3" borderId="2" xfId="0" applyFont="1" applyFill="1" applyBorder="1" applyAlignment="1" applyProtection="1">
      <alignment horizontal="center"/>
    </xf>
    <xf numFmtId="0" fontId="5" fillId="3" borderId="1" xfId="0" applyFont="1" applyFill="1" applyBorder="1" applyAlignment="1" applyProtection="1">
      <alignment horizontal="center"/>
    </xf>
    <xf numFmtId="0" fontId="5" fillId="3" borderId="3" xfId="0" applyFont="1" applyFill="1" applyBorder="1" applyAlignment="1" applyProtection="1">
      <alignment horizontal="center"/>
    </xf>
    <xf numFmtId="0" fontId="5" fillId="3" borderId="0" xfId="0" applyFont="1" applyFill="1" applyBorder="1" applyAlignment="1" applyProtection="1">
      <alignment horizontal="center"/>
    </xf>
    <xf numFmtId="164" fontId="4" fillId="3" borderId="4" xfId="0" applyNumberFormat="1" applyFont="1" applyFill="1" applyBorder="1" applyAlignment="1" applyProtection="1">
      <alignment wrapText="1"/>
    </xf>
    <xf numFmtId="164" fontId="4" fillId="3" borderId="5" xfId="0" applyNumberFormat="1" applyFont="1" applyFill="1" applyBorder="1" applyProtection="1"/>
    <xf numFmtId="164" fontId="4" fillId="3" borderId="4" xfId="0" applyNumberFormat="1" applyFont="1" applyFill="1" applyBorder="1" applyProtection="1"/>
    <xf numFmtId="0" fontId="5" fillId="3" borderId="0" xfId="0" applyFont="1" applyFill="1" applyBorder="1" applyAlignment="1" applyProtection="1">
      <alignment horizontal="center" wrapText="1"/>
    </xf>
    <xf numFmtId="164" fontId="4" fillId="3" borderId="6" xfId="0" applyNumberFormat="1" applyFont="1" applyFill="1" applyBorder="1" applyProtection="1"/>
    <xf numFmtId="164" fontId="4" fillId="3" borderId="7" xfId="0" applyNumberFormat="1" applyFont="1" applyFill="1" applyBorder="1" applyProtection="1"/>
    <xf numFmtId="164" fontId="4" fillId="3" borderId="6" xfId="0" applyNumberFormat="1" applyFont="1" applyFill="1" applyBorder="1" applyAlignment="1" applyProtection="1">
      <alignment wrapText="1"/>
    </xf>
    <xf numFmtId="0" fontId="4" fillId="3" borderId="0" xfId="0" applyFont="1" applyFill="1" applyAlignment="1" applyProtection="1">
      <alignment horizontal="right"/>
    </xf>
    <xf numFmtId="164" fontId="4" fillId="3" borderId="2" xfId="0" applyNumberFormat="1" applyFont="1" applyFill="1" applyBorder="1" applyAlignment="1" applyProtection="1">
      <alignment wrapText="1"/>
    </xf>
    <xf numFmtId="164" fontId="4" fillId="3" borderId="3" xfId="0" applyNumberFormat="1" applyFont="1" applyFill="1" applyBorder="1" applyProtection="1"/>
    <xf numFmtId="0" fontId="4" fillId="3" borderId="1" xfId="0" applyFont="1" applyFill="1" applyBorder="1" applyAlignment="1" applyProtection="1">
      <alignment horizontal="right"/>
    </xf>
    <xf numFmtId="164" fontId="4" fillId="3" borderId="1" xfId="0" applyNumberFormat="1" applyFont="1" applyFill="1" applyBorder="1" applyProtection="1"/>
    <xf numFmtId="164" fontId="4" fillId="3" borderId="2" xfId="0" applyNumberFormat="1" applyFont="1" applyFill="1" applyBorder="1" applyProtection="1"/>
    <xf numFmtId="0" fontId="4" fillId="3" borderId="1" xfId="0" applyFont="1" applyFill="1" applyBorder="1" applyProtection="1"/>
    <xf numFmtId="2" fontId="4" fillId="3" borderId="0" xfId="0" applyNumberFormat="1" applyFont="1" applyFill="1" applyAlignment="1" applyProtection="1">
      <alignment horizontal="right" wrapText="1"/>
    </xf>
    <xf numFmtId="165" fontId="4" fillId="3" borderId="0" xfId="0" applyNumberFormat="1" applyFont="1" applyFill="1" applyAlignment="1" applyProtection="1">
      <alignment horizontal="right" wrapText="1"/>
    </xf>
    <xf numFmtId="2" fontId="4" fillId="3" borderId="0" xfId="0" applyNumberFormat="1" applyFont="1" applyFill="1" applyAlignment="1" applyProtection="1">
      <alignment horizontal="left" wrapText="1"/>
    </xf>
    <xf numFmtId="165" fontId="4" fillId="3" borderId="0" xfId="0" applyNumberFormat="1" applyFont="1" applyFill="1" applyProtection="1"/>
    <xf numFmtId="2" fontId="4" fillId="3" borderId="0" xfId="0" applyNumberFormat="1" applyFont="1" applyFill="1" applyProtection="1"/>
    <xf numFmtId="0" fontId="4" fillId="3" borderId="0" xfId="0" applyFont="1" applyFill="1" applyBorder="1" applyAlignment="1" applyProtection="1"/>
    <xf numFmtId="0" fontId="4" fillId="3" borderId="0" xfId="0" applyFont="1" applyFill="1" applyAlignment="1" applyProtection="1">
      <alignment horizontal="center" vertical="center" wrapText="1"/>
    </xf>
    <xf numFmtId="0" fontId="4" fillId="3" borderId="8"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2" xfId="0" applyFont="1" applyFill="1" applyBorder="1" applyProtection="1"/>
    <xf numFmtId="0" fontId="4" fillId="3" borderId="0" xfId="0" applyFont="1" applyFill="1" applyBorder="1" applyProtection="1"/>
    <xf numFmtId="165" fontId="4" fillId="3" borderId="1" xfId="0" applyNumberFormat="1" applyFont="1" applyFill="1" applyBorder="1" applyProtection="1"/>
    <xf numFmtId="2" fontId="4" fillId="3" borderId="1" xfId="0" applyNumberFormat="1" applyFont="1" applyFill="1" applyBorder="1" applyProtection="1"/>
    <xf numFmtId="0" fontId="4" fillId="3" borderId="13" xfId="0" applyFont="1" applyFill="1" applyBorder="1" applyProtection="1"/>
    <xf numFmtId="165" fontId="5" fillId="3" borderId="0" xfId="0" applyNumberFormat="1" applyFont="1" applyFill="1" applyProtection="1"/>
    <xf numFmtId="1" fontId="4" fillId="3" borderId="0" xfId="0" applyNumberFormat="1" applyFont="1" applyFill="1" applyProtection="1"/>
    <xf numFmtId="0" fontId="4" fillId="3" borderId="0" xfId="0" applyFont="1" applyFill="1" applyAlignment="1" applyProtection="1">
      <alignment vertical="center" wrapText="1"/>
    </xf>
    <xf numFmtId="0" fontId="5" fillId="3" borderId="1" xfId="0" applyFont="1" applyFill="1" applyBorder="1" applyAlignment="1" applyProtection="1">
      <alignment horizontal="center" vertical="center" wrapText="1"/>
    </xf>
    <xf numFmtId="0" fontId="5" fillId="3" borderId="1" xfId="0" applyFont="1" applyFill="1" applyBorder="1" applyAlignment="1" applyProtection="1">
      <alignment vertical="center" wrapText="1"/>
    </xf>
    <xf numFmtId="0" fontId="0" fillId="0" borderId="0" xfId="0" applyAlignment="1" applyProtection="1">
      <alignment vertical="center" wrapText="1"/>
    </xf>
    <xf numFmtId="0" fontId="0" fillId="3" borderId="0" xfId="0" applyFill="1" applyProtection="1"/>
    <xf numFmtId="0" fontId="4" fillId="3" borderId="6" xfId="0" applyFont="1" applyFill="1" applyBorder="1" applyProtection="1"/>
    <xf numFmtId="1" fontId="4" fillId="3" borderId="6" xfId="0" applyNumberFormat="1" applyFont="1" applyFill="1" applyBorder="1" applyProtection="1"/>
    <xf numFmtId="167" fontId="4" fillId="3" borderId="0" xfId="0" applyNumberFormat="1" applyFont="1" applyFill="1" applyProtection="1"/>
    <xf numFmtId="167" fontId="4" fillId="3" borderId="6" xfId="0" applyNumberFormat="1" applyFont="1" applyFill="1" applyBorder="1" applyProtection="1"/>
    <xf numFmtId="2" fontId="4" fillId="3" borderId="6" xfId="0" applyNumberFormat="1" applyFont="1" applyFill="1" applyBorder="1" applyProtection="1"/>
    <xf numFmtId="165" fontId="4" fillId="3" borderId="6" xfId="0" applyNumberFormat="1" applyFont="1" applyFill="1" applyBorder="1" applyProtection="1"/>
    <xf numFmtId="0" fontId="4" fillId="0" borderId="0" xfId="0" applyFont="1" applyProtection="1"/>
    <xf numFmtId="0" fontId="0" fillId="0" borderId="0" xfId="0" applyAlignment="1" applyProtection="1">
      <alignment wrapText="1"/>
    </xf>
    <xf numFmtId="0" fontId="4" fillId="3" borderId="1" xfId="0" applyFont="1" applyFill="1" applyBorder="1" applyAlignment="1" applyProtection="1">
      <alignment horizontal="center" wrapText="1"/>
    </xf>
    <xf numFmtId="0" fontId="0" fillId="3" borderId="0" xfId="0" applyFill="1" applyAlignment="1" applyProtection="1">
      <alignment horizontal="center" wrapText="1"/>
    </xf>
    <xf numFmtId="166" fontId="4" fillId="3" borderId="0" xfId="0" applyNumberFormat="1" applyFont="1" applyFill="1" applyProtection="1"/>
    <xf numFmtId="0" fontId="4" fillId="2" borderId="0" xfId="0" applyFont="1" applyFill="1" applyProtection="1">
      <protection locked="0"/>
    </xf>
    <xf numFmtId="0" fontId="13" fillId="2" borderId="0" xfId="0" applyFont="1" applyFill="1" applyProtection="1">
      <protection locked="0"/>
    </xf>
    <xf numFmtId="0" fontId="0" fillId="0" borderId="0" xfId="0" applyProtection="1">
      <protection locked="0"/>
    </xf>
    <xf numFmtId="0" fontId="13" fillId="0" borderId="0" xfId="0" applyFont="1" applyFill="1" applyProtection="1">
      <protection locked="0"/>
    </xf>
    <xf numFmtId="0" fontId="13" fillId="2" borderId="0" xfId="0" applyFont="1" applyFill="1" applyAlignment="1" applyProtection="1">
      <alignment horizontal="center" wrapText="1"/>
      <protection locked="0"/>
    </xf>
    <xf numFmtId="0" fontId="13" fillId="2" borderId="0" xfId="0" applyFont="1" applyFill="1" applyAlignment="1" applyProtection="1">
      <alignment horizontal="center"/>
      <protection locked="0"/>
    </xf>
    <xf numFmtId="0" fontId="13" fillId="2" borderId="0" xfId="0" applyFont="1" applyFill="1" applyBorder="1" applyProtection="1">
      <protection locked="0"/>
    </xf>
    <xf numFmtId="164" fontId="0" fillId="3" borderId="0" xfId="0" applyNumberFormat="1" applyFill="1" applyProtection="1"/>
    <xf numFmtId="2" fontId="0" fillId="3" borderId="0" xfId="0" applyNumberFormat="1" applyFill="1" applyProtection="1"/>
    <xf numFmtId="3" fontId="13" fillId="2" borderId="0" xfId="0" applyNumberFormat="1" applyFont="1" applyFill="1" applyAlignment="1" applyProtection="1">
      <alignment horizontal="center"/>
      <protection locked="0"/>
    </xf>
    <xf numFmtId="164" fontId="21" fillId="2" borderId="0" xfId="0" applyNumberFormat="1" applyFont="1" applyFill="1" applyAlignment="1" applyProtection="1">
      <alignment horizontal="center" wrapText="1"/>
      <protection locked="0"/>
    </xf>
    <xf numFmtId="164" fontId="21" fillId="2" borderId="0" xfId="0" applyNumberFormat="1" applyFont="1" applyFill="1" applyAlignment="1" applyProtection="1">
      <alignment horizontal="center"/>
      <protection locked="0"/>
    </xf>
    <xf numFmtId="164" fontId="21" fillId="2" borderId="1" xfId="0" applyNumberFormat="1" applyFont="1" applyFill="1" applyBorder="1" applyAlignment="1" applyProtection="1">
      <alignment horizontal="center" wrapText="1"/>
      <protection locked="0"/>
    </xf>
    <xf numFmtId="164" fontId="4" fillId="3" borderId="11" xfId="0" applyNumberFormat="1" applyFont="1" applyFill="1" applyBorder="1" applyProtection="1"/>
    <xf numFmtId="0" fontId="4" fillId="3" borderId="11" xfId="0" applyFont="1" applyFill="1" applyBorder="1" applyProtection="1"/>
    <xf numFmtId="0" fontId="5" fillId="3" borderId="11" xfId="0" applyFont="1" applyFill="1" applyBorder="1" applyAlignment="1" applyProtection="1">
      <alignment horizontal="right"/>
    </xf>
    <xf numFmtId="1" fontId="13" fillId="2" borderId="0" xfId="0" applyNumberFormat="1" applyFont="1" applyFill="1" applyAlignment="1" applyProtection="1">
      <alignment horizontal="center"/>
      <protection locked="0"/>
    </xf>
    <xf numFmtId="0" fontId="21" fillId="2" borderId="0" xfId="0" applyFont="1" applyFill="1" applyAlignment="1" applyProtection="1">
      <alignment horizontal="right"/>
      <protection locked="0"/>
    </xf>
    <xf numFmtId="0" fontId="21" fillId="2" borderId="0" xfId="0" applyFont="1" applyFill="1" applyAlignment="1" applyProtection="1">
      <alignment horizontal="center"/>
      <protection locked="0"/>
    </xf>
    <xf numFmtId="0" fontId="4" fillId="3" borderId="0" xfId="0" applyFont="1" applyFill="1" applyAlignment="1" applyProtection="1">
      <alignment horizontal="left" wrapText="1"/>
    </xf>
    <xf numFmtId="0" fontId="13" fillId="2" borderId="0" xfId="0" applyFont="1" applyFill="1" applyAlignment="1" applyProtection="1">
      <alignment horizontal="left" wrapText="1"/>
      <protection locked="0"/>
    </xf>
    <xf numFmtId="0" fontId="4" fillId="3" borderId="0" xfId="0" applyFont="1" applyFill="1" applyAlignment="1" applyProtection="1">
      <alignment horizontal="left"/>
    </xf>
    <xf numFmtId="0" fontId="21" fillId="2" borderId="0" xfId="0" applyFont="1" applyFill="1" applyBorder="1" applyAlignment="1" applyProtection="1">
      <alignment horizontal="center"/>
      <protection locked="0"/>
    </xf>
    <xf numFmtId="0" fontId="21" fillId="2" borderId="0" xfId="0" applyFont="1" applyFill="1" applyProtection="1">
      <protection locked="0"/>
    </xf>
    <xf numFmtId="165" fontId="21" fillId="2" borderId="0" xfId="0" applyNumberFormat="1" applyFont="1" applyFill="1" applyAlignment="1" applyProtection="1">
      <alignment horizontal="center"/>
      <protection locked="0"/>
    </xf>
    <xf numFmtId="0" fontId="21" fillId="2" borderId="0" xfId="0" applyFont="1" applyFill="1" applyAlignment="1" applyProtection="1">
      <alignment horizontal="center" wrapText="1"/>
      <protection locked="0"/>
    </xf>
    <xf numFmtId="3" fontId="21" fillId="2" borderId="0" xfId="0" applyNumberFormat="1" applyFont="1" applyFill="1" applyAlignment="1" applyProtection="1">
      <alignment horizontal="center"/>
      <protection locked="0"/>
    </xf>
    <xf numFmtId="164" fontId="21" fillId="2" borderId="1" xfId="0" applyNumberFormat="1" applyFont="1" applyFill="1" applyBorder="1" applyAlignment="1" applyProtection="1">
      <alignment horizontal="center"/>
      <protection locked="0"/>
    </xf>
    <xf numFmtId="2" fontId="21" fillId="2" borderId="0" xfId="0" applyNumberFormat="1" applyFont="1" applyFill="1" applyAlignment="1" applyProtection="1">
      <alignment horizontal="center" vertical="center" wrapText="1"/>
      <protection locked="0"/>
    </xf>
    <xf numFmtId="2" fontId="21" fillId="2" borderId="0" xfId="0" applyNumberFormat="1" applyFont="1" applyFill="1" applyBorder="1" applyAlignment="1" applyProtection="1">
      <alignment horizontal="center" vertical="center" wrapText="1"/>
      <protection locked="0"/>
    </xf>
    <xf numFmtId="167" fontId="21" fillId="2" borderId="0" xfId="0" applyNumberFormat="1" applyFont="1" applyFill="1" applyBorder="1" applyAlignment="1" applyProtection="1">
      <alignment horizontal="center" vertical="center"/>
      <protection locked="0"/>
    </xf>
    <xf numFmtId="0" fontId="21" fillId="2" borderId="8" xfId="0" applyFont="1" applyFill="1" applyBorder="1" applyAlignment="1" applyProtection="1">
      <alignment horizontal="center" vertical="center" wrapText="1"/>
      <protection locked="0"/>
    </xf>
    <xf numFmtId="0" fontId="21" fillId="2" borderId="10" xfId="0" applyFont="1" applyFill="1" applyBorder="1" applyAlignment="1" applyProtection="1">
      <alignment horizontal="center" vertical="center" wrapText="1"/>
      <protection locked="0"/>
    </xf>
    <xf numFmtId="0" fontId="21" fillId="2" borderId="9" xfId="0" applyFont="1" applyFill="1" applyBorder="1" applyAlignment="1" applyProtection="1">
      <alignment horizontal="center" vertical="center" wrapText="1"/>
      <protection locked="0"/>
    </xf>
    <xf numFmtId="3" fontId="21" fillId="2" borderId="0" xfId="0" applyNumberFormat="1" applyFont="1" applyFill="1" applyAlignment="1" applyProtection="1">
      <alignment wrapText="1"/>
      <protection locked="0"/>
    </xf>
    <xf numFmtId="3" fontId="4" fillId="3" borderId="0" xfId="0" applyNumberFormat="1" applyFont="1" applyFill="1" applyProtection="1"/>
    <xf numFmtId="169" fontId="4" fillId="3" borderId="0" xfId="0" applyNumberFormat="1" applyFont="1" applyFill="1" applyProtection="1"/>
    <xf numFmtId="169" fontId="4" fillId="3" borderId="1" xfId="0" applyNumberFormat="1" applyFont="1" applyFill="1" applyBorder="1" applyProtection="1"/>
    <xf numFmtId="168" fontId="4" fillId="3" borderId="0" xfId="0" applyNumberFormat="1" applyFont="1" applyFill="1" applyProtection="1"/>
    <xf numFmtId="168" fontId="4" fillId="3" borderId="11" xfId="0" applyNumberFormat="1" applyFont="1" applyFill="1" applyBorder="1" applyProtection="1"/>
    <xf numFmtId="3" fontId="4" fillId="3" borderId="6" xfId="0" applyNumberFormat="1" applyFont="1" applyFill="1" applyBorder="1" applyProtection="1"/>
    <xf numFmtId="0" fontId="4" fillId="3" borderId="0" xfId="0" applyFont="1" applyFill="1" applyAlignment="1" applyProtection="1">
      <alignment horizontal="left" wrapText="1"/>
    </xf>
    <xf numFmtId="0" fontId="5" fillId="3" borderId="4" xfId="0" applyFont="1" applyFill="1" applyBorder="1" applyAlignment="1" applyProtection="1">
      <alignment horizontal="center"/>
    </xf>
    <xf numFmtId="0" fontId="5" fillId="3" borderId="14" xfId="0" applyFont="1" applyFill="1" applyBorder="1" applyAlignment="1" applyProtection="1">
      <alignment horizontal="center"/>
    </xf>
    <xf numFmtId="0" fontId="5" fillId="3" borderId="5" xfId="0" applyFont="1" applyFill="1" applyBorder="1" applyAlignment="1" applyProtection="1">
      <alignment horizontal="center"/>
    </xf>
    <xf numFmtId="0" fontId="13" fillId="2" borderId="0" xfId="0" applyFont="1" applyFill="1" applyAlignment="1" applyProtection="1">
      <alignment horizontal="left" wrapText="1"/>
      <protection locked="0"/>
    </xf>
    <xf numFmtId="0" fontId="13" fillId="2" borderId="0" xfId="0" applyFont="1" applyFill="1" applyAlignment="1" applyProtection="1">
      <alignment vertical="center" wrapText="1"/>
      <protection locked="0"/>
    </xf>
    <xf numFmtId="0" fontId="4" fillId="3" borderId="8" xfId="0" applyFont="1" applyFill="1" applyBorder="1" applyAlignment="1" applyProtection="1">
      <alignment horizontal="center"/>
    </xf>
    <xf numFmtId="0" fontId="4" fillId="3" borderId="10" xfId="0" applyFont="1" applyFill="1" applyBorder="1" applyAlignment="1" applyProtection="1">
      <alignment horizontal="center"/>
    </xf>
    <xf numFmtId="0" fontId="4" fillId="3" borderId="9" xfId="0" applyFont="1" applyFill="1" applyBorder="1" applyAlignment="1" applyProtection="1">
      <alignment horizontal="center"/>
    </xf>
    <xf numFmtId="0" fontId="4" fillId="3" borderId="0" xfId="0" applyFont="1" applyFill="1" applyAlignment="1" applyProtection="1">
      <alignment horizontal="left"/>
    </xf>
    <xf numFmtId="0" fontId="4" fillId="3" borderId="16" xfId="0" applyFont="1" applyFill="1" applyBorder="1" applyAlignment="1" applyProtection="1">
      <alignment horizontal="center"/>
    </xf>
    <xf numFmtId="0" fontId="17" fillId="0" borderId="0" xfId="0" applyFont="1" applyProtection="1"/>
    <xf numFmtId="0" fontId="5" fillId="0" borderId="0" xfId="0" applyFont="1" applyAlignment="1" applyProtection="1">
      <alignment horizontal="center"/>
    </xf>
    <xf numFmtId="0" fontId="4" fillId="0" borderId="0" xfId="1" applyFont="1" applyProtection="1"/>
    <xf numFmtId="0" fontId="1" fillId="0" borderId="0" xfId="1" applyProtection="1"/>
    <xf numFmtId="0" fontId="26" fillId="4" borderId="11" xfId="1" applyFont="1" applyFill="1" applyBorder="1" applyAlignment="1" applyProtection="1">
      <alignment horizontal="center"/>
    </xf>
    <xf numFmtId="0" fontId="26" fillId="4" borderId="11" xfId="1" applyFont="1" applyFill="1" applyBorder="1" applyAlignment="1" applyProtection="1">
      <alignment horizontal="left"/>
    </xf>
    <xf numFmtId="0" fontId="4" fillId="0" borderId="11" xfId="1" applyFont="1" applyBorder="1" applyAlignment="1" applyProtection="1">
      <alignment horizontal="center"/>
    </xf>
    <xf numFmtId="14" fontId="4" fillId="0" borderId="11" xfId="1" applyNumberFormat="1" applyFont="1" applyBorder="1" applyAlignment="1" applyProtection="1">
      <alignment horizontal="center"/>
    </xf>
    <xf numFmtId="0" fontId="4" fillId="0" borderId="11" xfId="1" applyFont="1" applyBorder="1" applyProtection="1"/>
    <xf numFmtId="0" fontId="19" fillId="0" borderId="11" xfId="1" applyFont="1" applyBorder="1" applyProtection="1"/>
    <xf numFmtId="0" fontId="4" fillId="0" borderId="0" xfId="1" applyFont="1" applyProtection="1">
      <protection locked="0"/>
    </xf>
    <xf numFmtId="0" fontId="27" fillId="0" borderId="0" xfId="1" applyFont="1" applyFill="1" applyProtection="1">
      <protection locked="0"/>
    </xf>
    <xf numFmtId="0" fontId="27" fillId="0" borderId="0" xfId="1" applyFont="1" applyProtection="1">
      <protection locked="0"/>
    </xf>
    <xf numFmtId="0" fontId="27" fillId="0" borderId="0" xfId="1" applyFont="1" applyFill="1" applyProtection="1"/>
    <xf numFmtId="0" fontId="27" fillId="0" borderId="0" xfId="1" applyFont="1" applyProtection="1"/>
    <xf numFmtId="0" fontId="5" fillId="0" borderId="1" xfId="0" applyFont="1" applyBorder="1" applyAlignment="1" applyProtection="1">
      <alignment horizontal="center"/>
    </xf>
    <xf numFmtId="0" fontId="4" fillId="0" borderId="0" xfId="0" applyFont="1" applyAlignment="1" applyProtection="1">
      <alignment vertical="center" wrapText="1"/>
    </xf>
    <xf numFmtId="0" fontId="4" fillId="0" borderId="0" xfId="0" applyFont="1" applyAlignment="1" applyProtection="1">
      <alignment horizontal="center" vertical="center" wrapText="1"/>
    </xf>
    <xf numFmtId="0" fontId="20" fillId="0" borderId="0" xfId="0" applyFont="1" applyProtection="1"/>
    <xf numFmtId="0" fontId="5" fillId="0" borderId="0" xfId="0" applyFont="1" applyAlignment="1" applyProtection="1">
      <alignment vertical="center" wrapText="1"/>
    </xf>
    <xf numFmtId="0" fontId="17" fillId="0" borderId="0" xfId="0" applyFont="1" applyAlignment="1" applyProtection="1">
      <alignment vertical="center" wrapText="1"/>
    </xf>
    <xf numFmtId="0" fontId="5" fillId="2" borderId="0" xfId="0" applyFont="1" applyFill="1" applyProtection="1">
      <protection locked="0"/>
    </xf>
    <xf numFmtId="0" fontId="0" fillId="2" borderId="0" xfId="0" applyFill="1" applyProtection="1">
      <protection locked="0"/>
    </xf>
    <xf numFmtId="0" fontId="4" fillId="2" borderId="0" xfId="0" applyFont="1" applyFill="1" applyAlignment="1" applyProtection="1">
      <alignment wrapText="1"/>
      <protection locked="0"/>
    </xf>
    <xf numFmtId="0" fontId="5" fillId="2" borderId="0" xfId="0" applyFont="1" applyFill="1" applyBorder="1" applyProtection="1">
      <protection locked="0"/>
    </xf>
    <xf numFmtId="0" fontId="4" fillId="2" borderId="0" xfId="0" applyFont="1" applyFill="1" applyAlignment="1" applyProtection="1">
      <alignment horizontal="center"/>
      <protection locked="0"/>
    </xf>
    <xf numFmtId="0" fontId="4" fillId="2" borderId="0" xfId="0" applyFont="1" applyFill="1" applyAlignment="1" applyProtection="1">
      <protection locked="0"/>
    </xf>
    <xf numFmtId="0" fontId="5" fillId="2" borderId="1" xfId="0" applyFont="1" applyFill="1" applyBorder="1" applyAlignment="1" applyProtection="1">
      <alignment horizontal="center"/>
      <protection locked="0"/>
    </xf>
    <xf numFmtId="0" fontId="4" fillId="2" borderId="0" xfId="0" applyFont="1" applyFill="1" applyAlignment="1" applyProtection="1">
      <alignment horizontal="center" wrapText="1"/>
      <protection locked="0"/>
    </xf>
    <xf numFmtId="0" fontId="4" fillId="2" borderId="1" xfId="0" applyFont="1" applyFill="1" applyBorder="1" applyAlignment="1" applyProtection="1">
      <alignment horizontal="center"/>
      <protection locked="0"/>
    </xf>
    <xf numFmtId="164" fontId="4" fillId="2" borderId="0" xfId="0" applyNumberFormat="1" applyFont="1" applyFill="1" applyAlignment="1" applyProtection="1">
      <alignment horizontal="center"/>
      <protection locked="0"/>
    </xf>
    <xf numFmtId="0" fontId="4" fillId="2" borderId="0" xfId="0" applyFont="1" applyFill="1" applyAlignment="1" applyProtection="1">
      <alignment horizontal="right"/>
      <protection locked="0"/>
    </xf>
    <xf numFmtId="164" fontId="4" fillId="2" borderId="0" xfId="0" applyNumberFormat="1" applyFont="1" applyFill="1" applyAlignment="1" applyProtection="1">
      <alignment horizontal="left"/>
      <protection locked="0"/>
    </xf>
    <xf numFmtId="164" fontId="4" fillId="2" borderId="0" xfId="0" applyNumberFormat="1" applyFont="1" applyFill="1" applyProtection="1">
      <protection locked="0"/>
    </xf>
    <xf numFmtId="0" fontId="5" fillId="2" borderId="4" xfId="0" applyFont="1" applyFill="1" applyBorder="1" applyAlignment="1" applyProtection="1">
      <alignment horizontal="center"/>
      <protection locked="0"/>
    </xf>
    <xf numFmtId="0" fontId="5" fillId="2" borderId="5" xfId="0" applyFont="1" applyFill="1" applyBorder="1" applyAlignment="1" applyProtection="1">
      <alignment horizontal="center"/>
      <protection locked="0"/>
    </xf>
    <xf numFmtId="0" fontId="5" fillId="2" borderId="6" xfId="0" applyFont="1" applyFill="1" applyBorder="1" applyAlignment="1" applyProtection="1">
      <alignment horizontal="right"/>
      <protection locked="0"/>
    </xf>
    <xf numFmtId="0" fontId="5" fillId="2" borderId="7" xfId="0" applyFont="1" applyFill="1" applyBorder="1" applyAlignment="1" applyProtection="1">
      <alignment horizontal="right"/>
      <protection locked="0"/>
    </xf>
    <xf numFmtId="0" fontId="5" fillId="2" borderId="2" xfId="0" applyFont="1" applyFill="1" applyBorder="1" applyAlignment="1" applyProtection="1">
      <alignment horizontal="right"/>
      <protection locked="0"/>
    </xf>
    <xf numFmtId="0" fontId="5" fillId="2" borderId="3" xfId="0" applyFont="1" applyFill="1" applyBorder="1" applyAlignment="1" applyProtection="1">
      <alignment horizontal="right"/>
      <protection locked="0"/>
    </xf>
    <xf numFmtId="0" fontId="5" fillId="2" borderId="0" xfId="0" applyFont="1" applyFill="1" applyBorder="1" applyAlignment="1" applyProtection="1">
      <alignment horizontal="center"/>
      <protection locked="0"/>
    </xf>
    <xf numFmtId="164" fontId="4" fillId="2" borderId="4" xfId="0" applyNumberFormat="1" applyFont="1" applyFill="1" applyBorder="1" applyAlignment="1" applyProtection="1">
      <alignment wrapText="1"/>
      <protection locked="0"/>
    </xf>
    <xf numFmtId="164" fontId="4" fillId="2" borderId="5" xfId="0" applyNumberFormat="1" applyFont="1" applyFill="1" applyBorder="1" applyProtection="1">
      <protection locked="0"/>
    </xf>
    <xf numFmtId="164" fontId="4" fillId="2" borderId="4" xfId="0" applyNumberFormat="1" applyFont="1" applyFill="1" applyBorder="1" applyProtection="1">
      <protection locked="0"/>
    </xf>
    <xf numFmtId="0" fontId="5" fillId="2" borderId="0" xfId="0" applyFont="1" applyFill="1" applyBorder="1" applyAlignment="1" applyProtection="1">
      <alignment horizontal="center" wrapText="1"/>
      <protection locked="0"/>
    </xf>
    <xf numFmtId="164" fontId="4" fillId="2" borderId="6" xfId="0" applyNumberFormat="1" applyFont="1" applyFill="1" applyBorder="1" applyAlignment="1" applyProtection="1">
      <alignment wrapText="1"/>
      <protection locked="0"/>
    </xf>
    <xf numFmtId="164" fontId="4" fillId="2" borderId="7" xfId="0" applyNumberFormat="1" applyFont="1" applyFill="1" applyBorder="1" applyProtection="1">
      <protection locked="0"/>
    </xf>
    <xf numFmtId="164" fontId="4" fillId="2" borderId="6" xfId="0" applyNumberFormat="1" applyFont="1" applyFill="1" applyBorder="1" applyProtection="1">
      <protection locked="0"/>
    </xf>
    <xf numFmtId="0" fontId="4" fillId="2" borderId="6" xfId="0" applyFont="1" applyFill="1" applyBorder="1" applyAlignment="1" applyProtection="1">
      <alignment horizontal="right"/>
      <protection locked="0"/>
    </xf>
    <xf numFmtId="164" fontId="4" fillId="2" borderId="2" xfId="0" applyNumberFormat="1" applyFont="1" applyFill="1" applyBorder="1" applyAlignment="1" applyProtection="1">
      <alignment wrapText="1"/>
      <protection locked="0"/>
    </xf>
    <xf numFmtId="164" fontId="4" fillId="2" borderId="3" xfId="0" applyNumberFormat="1" applyFont="1" applyFill="1" applyBorder="1" applyProtection="1">
      <protection locked="0"/>
    </xf>
    <xf numFmtId="0" fontId="4" fillId="2" borderId="2" xfId="0" applyFont="1" applyFill="1" applyBorder="1" applyAlignment="1" applyProtection="1">
      <alignment horizontal="right"/>
      <protection locked="0"/>
    </xf>
    <xf numFmtId="164" fontId="4" fillId="2" borderId="2" xfId="0" applyNumberFormat="1" applyFont="1" applyFill="1" applyBorder="1" applyProtection="1">
      <protection locked="0"/>
    </xf>
    <xf numFmtId="0" fontId="4" fillId="2" borderId="0" xfId="0" quotePrefix="1" applyFont="1" applyFill="1" applyProtection="1">
      <protection locked="0"/>
    </xf>
    <xf numFmtId="0" fontId="4" fillId="2" borderId="0" xfId="0" applyFont="1" applyFill="1" applyAlignment="1" applyProtection="1">
      <alignment horizontal="left"/>
      <protection locked="0"/>
    </xf>
    <xf numFmtId="0" fontId="0" fillId="0" borderId="0" xfId="0" applyBorder="1" applyProtection="1">
      <protection locked="0"/>
    </xf>
    <xf numFmtId="0" fontId="4" fillId="2" borderId="0" xfId="0" applyFont="1" applyFill="1" applyAlignment="1" applyProtection="1">
      <alignment horizontal="left" wrapText="1"/>
      <protection locked="0"/>
    </xf>
    <xf numFmtId="0" fontId="1" fillId="2" borderId="0" xfId="0" applyFont="1" applyFill="1" applyProtection="1">
      <protection locked="0"/>
    </xf>
    <xf numFmtId="0" fontId="4" fillId="2" borderId="0" xfId="0" applyNumberFormat="1" applyFont="1" applyFill="1" applyAlignment="1" applyProtection="1">
      <alignment horizontal="left" wrapText="1"/>
      <protection locked="0"/>
    </xf>
    <xf numFmtId="0" fontId="15" fillId="2" borderId="0" xfId="0" applyFont="1" applyFill="1" applyProtection="1">
      <protection locked="0"/>
    </xf>
    <xf numFmtId="0" fontId="13" fillId="2" borderId="0" xfId="0" applyFont="1" applyFill="1" applyAlignment="1" applyProtection="1">
      <protection locked="0"/>
    </xf>
    <xf numFmtId="0" fontId="4" fillId="2" borderId="0" xfId="0" quotePrefix="1" applyFont="1" applyFill="1" applyAlignment="1" applyProtection="1">
      <alignment horizontal="center"/>
      <protection locked="0"/>
    </xf>
    <xf numFmtId="0" fontId="5" fillId="2" borderId="1" xfId="0" applyFont="1" applyFill="1" applyBorder="1" applyAlignment="1" applyProtection="1">
      <alignment horizontal="right"/>
      <protection locked="0"/>
    </xf>
    <xf numFmtId="2" fontId="4" fillId="2" borderId="0" xfId="0" applyNumberFormat="1" applyFont="1" applyFill="1" applyAlignment="1" applyProtection="1">
      <alignment horizontal="center"/>
      <protection locked="0"/>
    </xf>
    <xf numFmtId="0" fontId="4" fillId="2" borderId="1" xfId="0" applyFont="1" applyFill="1" applyBorder="1" applyAlignment="1" applyProtection="1">
      <alignment horizontal="right"/>
      <protection locked="0"/>
    </xf>
    <xf numFmtId="2" fontId="4" fillId="2" borderId="1" xfId="0" applyNumberFormat="1" applyFont="1" applyFill="1" applyBorder="1" applyAlignment="1" applyProtection="1">
      <alignment horizontal="center"/>
      <protection locked="0"/>
    </xf>
    <xf numFmtId="168" fontId="4" fillId="2" borderId="0" xfId="0" applyNumberFormat="1" applyFont="1" applyFill="1" applyAlignment="1" applyProtection="1">
      <alignment horizontal="center"/>
      <protection locked="0"/>
    </xf>
    <xf numFmtId="0" fontId="4" fillId="2" borderId="0" xfId="0" quotePrefix="1" applyFont="1" applyFill="1" applyAlignment="1" applyProtection="1">
      <alignment horizontal="center" vertical="center"/>
      <protection locked="0"/>
    </xf>
    <xf numFmtId="0" fontId="5" fillId="2" borderId="11" xfId="0" applyFont="1" applyFill="1" applyBorder="1" applyAlignment="1" applyProtection="1">
      <alignment horizontal="center"/>
      <protection locked="0"/>
    </xf>
    <xf numFmtId="0" fontId="5" fillId="2" borderId="13" xfId="0" applyFont="1" applyFill="1" applyBorder="1" applyAlignment="1" applyProtection="1">
      <alignment horizontal="center"/>
      <protection locked="0"/>
    </xf>
    <xf numFmtId="0" fontId="5" fillId="2" borderId="0" xfId="0" applyFont="1" applyFill="1" applyAlignment="1" applyProtection="1">
      <alignment horizontal="center"/>
      <protection locked="0"/>
    </xf>
    <xf numFmtId="164" fontId="4" fillId="2" borderId="12" xfId="0" applyNumberFormat="1" applyFont="1" applyFill="1" applyBorder="1" applyProtection="1">
      <protection locked="0"/>
    </xf>
    <xf numFmtId="164" fontId="4" fillId="2" borderId="13" xfId="0" applyNumberFormat="1" applyFont="1" applyFill="1" applyBorder="1" applyProtection="1">
      <protection locked="0"/>
    </xf>
    <xf numFmtId="0" fontId="4" fillId="2" borderId="13" xfId="0" applyFont="1" applyFill="1" applyBorder="1" applyProtection="1">
      <protection locked="0"/>
    </xf>
    <xf numFmtId="0" fontId="4" fillId="2" borderId="0" xfId="0" applyFont="1" applyFill="1" applyAlignment="1" applyProtection="1">
      <alignment horizontal="left" wrapText="1"/>
      <protection locked="0"/>
    </xf>
    <xf numFmtId="0" fontId="5" fillId="2" borderId="0" xfId="0" applyFont="1" applyFill="1" applyAlignment="1" applyProtection="1">
      <alignment horizontal="left" wrapText="1"/>
      <protection locked="0"/>
    </xf>
    <xf numFmtId="0" fontId="4" fillId="2" borderId="0" xfId="0" applyFont="1" applyFill="1" applyAlignment="1" applyProtection="1">
      <alignment horizontal="center" vertical="center"/>
      <protection locked="0"/>
    </xf>
    <xf numFmtId="0" fontId="4" fillId="2" borderId="0" xfId="0" applyFont="1" applyFill="1" applyAlignment="1" applyProtection="1">
      <alignment horizontal="center" vertical="center" wrapText="1"/>
      <protection locked="0"/>
    </xf>
    <xf numFmtId="165" fontId="4" fillId="2" borderId="0" xfId="0" applyNumberFormat="1" applyFont="1" applyFill="1" applyAlignment="1" applyProtection="1">
      <alignment horizontal="right" wrapText="1"/>
      <protection locked="0"/>
    </xf>
    <xf numFmtId="2" fontId="4" fillId="2" borderId="0" xfId="0" applyNumberFormat="1" applyFont="1" applyFill="1" applyAlignment="1" applyProtection="1">
      <alignment horizontal="right" wrapText="1"/>
      <protection locked="0"/>
    </xf>
    <xf numFmtId="165" fontId="4" fillId="2" borderId="0" xfId="0" applyNumberFormat="1" applyFont="1" applyFill="1" applyAlignment="1" applyProtection="1">
      <alignment horizontal="center" wrapText="1"/>
      <protection locked="0"/>
    </xf>
    <xf numFmtId="165" fontId="4" fillId="2" borderId="0" xfId="0" applyNumberFormat="1" applyFont="1" applyFill="1" applyAlignment="1" applyProtection="1">
      <alignment horizontal="center"/>
      <protection locked="0"/>
    </xf>
    <xf numFmtId="165" fontId="4" fillId="2" borderId="0" xfId="0" applyNumberFormat="1" applyFont="1" applyFill="1" applyAlignment="1" applyProtection="1">
      <alignment wrapText="1"/>
      <protection locked="0"/>
    </xf>
    <xf numFmtId="167" fontId="4" fillId="2" borderId="0" xfId="0" applyNumberFormat="1" applyFont="1" applyFill="1" applyAlignment="1" applyProtection="1">
      <alignment wrapText="1"/>
      <protection locked="0"/>
    </xf>
    <xf numFmtId="0" fontId="4" fillId="2" borderId="15" xfId="0"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4" fillId="2" borderId="9" xfId="0" applyFont="1" applyFill="1" applyBorder="1" applyAlignment="1" applyProtection="1">
      <alignment horizontal="center" vertical="center"/>
      <protection locked="0"/>
    </xf>
    <xf numFmtId="0" fontId="4" fillId="2" borderId="12" xfId="0"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protection locked="0"/>
    </xf>
    <xf numFmtId="0" fontId="4" fillId="2" borderId="10" xfId="0" applyFont="1" applyFill="1" applyBorder="1" applyAlignment="1" applyProtection="1">
      <alignment horizontal="center"/>
      <protection locked="0"/>
    </xf>
    <xf numFmtId="0" fontId="4" fillId="2" borderId="9" xfId="0" applyFont="1" applyFill="1" applyBorder="1" applyAlignment="1" applyProtection="1">
      <alignment horizontal="center"/>
      <protection locked="0"/>
    </xf>
    <xf numFmtId="0" fontId="4" fillId="2" borderId="13" xfId="0" applyFont="1" applyFill="1" applyBorder="1" applyAlignment="1" applyProtection="1">
      <alignment horizontal="center" vertical="center" wrapText="1"/>
      <protection locked="0"/>
    </xf>
    <xf numFmtId="167" fontId="4" fillId="2" borderId="4" xfId="0" applyNumberFormat="1" applyFont="1" applyFill="1" applyBorder="1" applyProtection="1">
      <protection locked="0"/>
    </xf>
    <xf numFmtId="2" fontId="4" fillId="2" borderId="14" xfId="0" applyNumberFormat="1" applyFont="1" applyFill="1" applyBorder="1" applyAlignment="1" applyProtection="1">
      <alignment horizontal="right" wrapText="1"/>
      <protection locked="0"/>
    </xf>
    <xf numFmtId="0" fontId="4" fillId="2" borderId="14" xfId="0" applyFont="1" applyFill="1" applyBorder="1" applyProtection="1">
      <protection locked="0"/>
    </xf>
    <xf numFmtId="2" fontId="4" fillId="2" borderId="7" xfId="0" applyNumberFormat="1" applyFont="1" applyFill="1" applyBorder="1" applyAlignment="1" applyProtection="1">
      <alignment horizontal="center"/>
      <protection locked="0"/>
    </xf>
    <xf numFmtId="167" fontId="4" fillId="2" borderId="0" xfId="0" applyNumberFormat="1" applyFont="1" applyFill="1" applyBorder="1" applyProtection="1">
      <protection locked="0"/>
    </xf>
    <xf numFmtId="167" fontId="4" fillId="2" borderId="7" xfId="0" applyNumberFormat="1" applyFont="1" applyFill="1" applyBorder="1" applyProtection="1">
      <protection locked="0"/>
    </xf>
    <xf numFmtId="167" fontId="4" fillId="2" borderId="6" xfId="0" applyNumberFormat="1" applyFont="1" applyFill="1" applyBorder="1" applyProtection="1">
      <protection locked="0"/>
    </xf>
    <xf numFmtId="2" fontId="4" fillId="2" borderId="0" xfId="0" applyNumberFormat="1" applyFont="1" applyFill="1" applyBorder="1" applyAlignment="1" applyProtection="1">
      <alignment horizontal="right" wrapText="1"/>
      <protection locked="0"/>
    </xf>
    <xf numFmtId="0" fontId="4" fillId="2" borderId="0" xfId="0" applyFont="1" applyFill="1" applyBorder="1" applyProtection="1">
      <protection locked="0"/>
    </xf>
    <xf numFmtId="167" fontId="4" fillId="2" borderId="2" xfId="0" applyNumberFormat="1" applyFont="1" applyFill="1" applyBorder="1" applyProtection="1">
      <protection locked="0"/>
    </xf>
    <xf numFmtId="165" fontId="4" fillId="2" borderId="1" xfId="0" applyNumberFormat="1" applyFont="1" applyFill="1" applyBorder="1" applyAlignment="1" applyProtection="1">
      <alignment horizontal="right" wrapText="1"/>
      <protection locked="0"/>
    </xf>
    <xf numFmtId="0" fontId="4" fillId="2" borderId="1" xfId="0" applyFont="1" applyFill="1" applyBorder="1" applyProtection="1">
      <protection locked="0"/>
    </xf>
    <xf numFmtId="2" fontId="4" fillId="2" borderId="3" xfId="0" applyNumberFormat="1" applyFont="1" applyFill="1" applyBorder="1" applyAlignment="1" applyProtection="1">
      <alignment horizontal="center"/>
      <protection locked="0"/>
    </xf>
    <xf numFmtId="167" fontId="4" fillId="2" borderId="1" xfId="0" applyNumberFormat="1" applyFont="1" applyFill="1" applyBorder="1" applyProtection="1">
      <protection locked="0"/>
    </xf>
    <xf numFmtId="167" fontId="4" fillId="2" borderId="3" xfId="0" applyNumberFormat="1" applyFont="1" applyFill="1" applyBorder="1" applyProtection="1">
      <protection locked="0"/>
    </xf>
    <xf numFmtId="0" fontId="11" fillId="2" borderId="0" xfId="0" applyFont="1" applyFill="1" applyProtection="1">
      <protection locked="0"/>
    </xf>
    <xf numFmtId="167" fontId="12" fillId="2" borderId="0" xfId="0" applyNumberFormat="1" applyFont="1" applyFill="1" applyProtection="1">
      <protection locked="0"/>
    </xf>
    <xf numFmtId="165" fontId="12" fillId="2" borderId="0" xfId="0" applyNumberFormat="1" applyFont="1" applyFill="1" applyProtection="1">
      <protection locked="0"/>
    </xf>
    <xf numFmtId="1" fontId="4" fillId="2" borderId="0" xfId="0" applyNumberFormat="1" applyFont="1" applyFill="1" applyAlignment="1" applyProtection="1">
      <alignment horizontal="center"/>
      <protection locked="0"/>
    </xf>
    <xf numFmtId="0" fontId="0" fillId="0" borderId="0" xfId="0" applyFill="1" applyProtection="1">
      <protection locked="0"/>
    </xf>
    <xf numFmtId="0" fontId="4" fillId="0" borderId="0" xfId="0" applyFont="1" applyFill="1" applyProtection="1">
      <protection locked="0"/>
    </xf>
    <xf numFmtId="0" fontId="15" fillId="0" borderId="0" xfId="0" applyFont="1" applyFill="1" applyProtection="1">
      <protection locked="0"/>
    </xf>
    <xf numFmtId="0" fontId="4" fillId="0" borderId="0" xfId="0" applyFont="1" applyFill="1" applyBorder="1" applyAlignment="1" applyProtection="1">
      <protection locked="0"/>
    </xf>
    <xf numFmtId="0" fontId="4" fillId="0" borderId="0" xfId="0" applyFont="1" applyFill="1"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5" fillId="0" borderId="0" xfId="0" applyFont="1" applyFill="1" applyAlignment="1" applyProtection="1">
      <alignment horizontal="center" vertical="center" wrapText="1"/>
      <protection locked="0"/>
    </xf>
    <xf numFmtId="0" fontId="0" fillId="0" borderId="0" xfId="0" applyFill="1" applyAlignment="1" applyProtection="1">
      <alignment horizontal="right" vertical="center" wrapText="1"/>
      <protection locked="0"/>
    </xf>
    <xf numFmtId="0" fontId="0" fillId="0" borderId="0" xfId="0" applyAlignment="1" applyProtection="1">
      <alignment horizontal="right" vertical="center" wrapText="1"/>
      <protection locked="0"/>
    </xf>
    <xf numFmtId="0" fontId="4" fillId="0" borderId="0" xfId="0" applyFont="1" applyFill="1" applyBorder="1" applyProtection="1">
      <protection locked="0"/>
    </xf>
    <xf numFmtId="0" fontId="16" fillId="0" borderId="0" xfId="0" applyFont="1" applyFill="1" applyBorder="1" applyProtection="1">
      <protection locked="0"/>
    </xf>
    <xf numFmtId="0" fontId="4" fillId="0" borderId="0" xfId="0" applyFont="1" applyFill="1" applyAlignment="1" applyProtection="1">
      <alignment horizontal="left"/>
      <protection locked="0"/>
    </xf>
    <xf numFmtId="0" fontId="0" fillId="0" borderId="0" xfId="0" applyFill="1" applyBorder="1" applyProtection="1">
      <protection locked="0"/>
    </xf>
    <xf numFmtId="0" fontId="15" fillId="0" borderId="0" xfId="0" applyFont="1" applyFill="1" applyBorder="1" applyProtection="1">
      <protection locked="0"/>
    </xf>
    <xf numFmtId="0" fontId="4" fillId="0" borderId="0" xfId="0" applyFont="1" applyFill="1" applyAlignment="1" applyProtection="1">
      <alignment horizontal="center"/>
      <protection locked="0"/>
    </xf>
    <xf numFmtId="165" fontId="4" fillId="0" borderId="0" xfId="0" applyNumberFormat="1" applyFont="1" applyFill="1" applyAlignment="1" applyProtection="1">
      <alignment horizontal="left"/>
      <protection locked="0"/>
    </xf>
    <xf numFmtId="165" fontId="0" fillId="0" borderId="0" xfId="0" applyNumberFormat="1" applyFill="1" applyProtection="1">
      <protection locked="0"/>
    </xf>
    <xf numFmtId="2" fontId="4" fillId="0" borderId="0" xfId="0" applyNumberFormat="1" applyFont="1" applyFill="1" applyProtection="1">
      <protection locked="0"/>
    </xf>
    <xf numFmtId="0" fontId="1" fillId="2" borderId="0" xfId="0" quotePrefix="1" applyFont="1" applyFill="1" applyAlignment="1" applyProtection="1">
      <alignment horizontal="center"/>
      <protection locked="0"/>
    </xf>
    <xf numFmtId="0" fontId="0" fillId="2" borderId="0" xfId="0" applyFill="1" applyAlignment="1" applyProtection="1">
      <alignment horizontal="right"/>
      <protection locked="0"/>
    </xf>
    <xf numFmtId="3" fontId="4" fillId="2" borderId="0" xfId="0" applyNumberFormat="1" applyFont="1" applyFill="1" applyAlignment="1" applyProtection="1">
      <alignment horizontal="center"/>
      <protection locked="0"/>
    </xf>
    <xf numFmtId="0" fontId="0" fillId="2" borderId="0" xfId="0" applyFill="1" applyAlignment="1" applyProtection="1">
      <alignment horizontal="center"/>
      <protection locked="0"/>
    </xf>
    <xf numFmtId="0" fontId="9" fillId="2" borderId="0" xfId="0" applyFont="1" applyFill="1" applyAlignment="1" applyProtection="1">
      <alignment horizontal="right"/>
      <protection locked="0"/>
    </xf>
    <xf numFmtId="0" fontId="9" fillId="0" borderId="0" xfId="0" applyFont="1" applyProtection="1">
      <protection locked="0"/>
    </xf>
    <xf numFmtId="0" fontId="5"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right" vertical="center" wrapText="1"/>
      <protection locked="0"/>
    </xf>
    <xf numFmtId="1" fontId="4" fillId="2" borderId="0" xfId="0" applyNumberFormat="1" applyFont="1" applyFill="1" applyProtection="1">
      <protection locked="0"/>
    </xf>
    <xf numFmtId="0" fontId="0" fillId="0" borderId="0" xfId="0" applyAlignment="1" applyProtection="1">
      <alignment vertical="center" wrapText="1"/>
      <protection locked="0"/>
    </xf>
    <xf numFmtId="0" fontId="4" fillId="0" borderId="0" xfId="0" applyFont="1" applyFill="1" applyAlignment="1" applyProtection="1">
      <alignment vertical="center" wrapText="1"/>
      <protection locked="0"/>
    </xf>
    <xf numFmtId="0" fontId="0" fillId="0" borderId="0" xfId="0" applyFill="1" applyAlignment="1" applyProtection="1">
      <alignment vertical="center" wrapText="1"/>
      <protection locked="0"/>
    </xf>
    <xf numFmtId="0" fontId="4" fillId="0" borderId="0" xfId="0" applyFont="1" applyFill="1" applyAlignment="1" applyProtection="1">
      <alignment wrapText="1"/>
      <protection locked="0"/>
    </xf>
    <xf numFmtId="0" fontId="4" fillId="2" borderId="0" xfId="0" applyFont="1" applyFill="1" applyAlignment="1" applyProtection="1">
      <alignment horizontal="right" wrapText="1"/>
      <protection locked="0"/>
    </xf>
    <xf numFmtId="0" fontId="4" fillId="0" borderId="0" xfId="0" quotePrefix="1" applyFont="1" applyFill="1" applyProtection="1">
      <protection locked="0"/>
    </xf>
    <xf numFmtId="0" fontId="19" fillId="2" borderId="0" xfId="0" applyFont="1" applyFill="1" applyProtection="1">
      <protection locked="0"/>
    </xf>
    <xf numFmtId="0" fontId="19" fillId="2" borderId="0" xfId="0" quotePrefix="1" applyFont="1" applyFill="1" applyAlignment="1" applyProtection="1">
      <alignment horizontal="center"/>
      <protection locked="0"/>
    </xf>
    <xf numFmtId="0" fontId="19" fillId="2" borderId="0" xfId="0" applyFont="1" applyFill="1" applyAlignment="1" applyProtection="1">
      <alignment horizontal="right"/>
      <protection locked="0"/>
    </xf>
    <xf numFmtId="0" fontId="19" fillId="2" borderId="0" xfId="0" applyFont="1" applyFill="1" applyAlignment="1" applyProtection="1">
      <alignment horizontal="center"/>
      <protection locked="0"/>
    </xf>
    <xf numFmtId="0" fontId="23" fillId="2" borderId="0" xfId="0" applyFont="1" applyFill="1" applyAlignment="1" applyProtection="1">
      <alignment horizontal="center"/>
      <protection locked="0"/>
    </xf>
    <xf numFmtId="165" fontId="4" fillId="2" borderId="0" xfId="0" applyNumberFormat="1" applyFont="1" applyFill="1" applyAlignment="1" applyProtection="1">
      <alignment horizontal="left"/>
      <protection locked="0"/>
    </xf>
    <xf numFmtId="0" fontId="19" fillId="0" borderId="0" xfId="0" applyFont="1" applyFill="1" applyProtection="1">
      <protection locked="0"/>
    </xf>
    <xf numFmtId="0" fontId="14" fillId="2" borderId="0" xfId="0" applyFont="1" applyFill="1" applyAlignment="1" applyProtection="1">
      <alignment horizontal="left" wrapText="1"/>
      <protection locked="0"/>
    </xf>
    <xf numFmtId="3" fontId="18" fillId="2" borderId="0" xfId="0" applyNumberFormat="1" applyFont="1" applyFill="1" applyAlignment="1" applyProtection="1">
      <alignment horizontal="center"/>
      <protection locked="0"/>
    </xf>
    <xf numFmtId="0" fontId="1" fillId="0" borderId="0" xfId="0" applyFont="1" applyProtection="1">
      <protection locked="0"/>
    </xf>
    <xf numFmtId="0" fontId="4" fillId="2" borderId="0" xfId="0" applyFont="1" applyFill="1" applyBorder="1" applyAlignment="1" applyProtection="1">
      <alignment horizontal="right"/>
      <protection locked="0"/>
    </xf>
    <xf numFmtId="1" fontId="4" fillId="2" borderId="0" xfId="0" applyNumberFormat="1" applyFont="1" applyFill="1" applyBorder="1" applyAlignment="1" applyProtection="1">
      <alignment horizontal="center"/>
      <protection locked="0"/>
    </xf>
    <xf numFmtId="167" fontId="4" fillId="2" borderId="0" xfId="0" applyNumberFormat="1" applyFont="1" applyFill="1" applyBorder="1" applyAlignment="1" applyProtection="1">
      <alignment horizontal="center"/>
      <protection locked="0"/>
    </xf>
    <xf numFmtId="0" fontId="4" fillId="2" borderId="0" xfId="0" applyFont="1" applyFill="1" applyBorder="1" applyAlignment="1" applyProtection="1">
      <alignment horizontal="center"/>
      <protection locked="0"/>
    </xf>
    <xf numFmtId="3" fontId="4" fillId="2" borderId="0" xfId="0" applyNumberFormat="1" applyFont="1" applyFill="1" applyBorder="1" applyAlignment="1" applyProtection="1">
      <alignment horizontal="center"/>
      <protection locked="0"/>
    </xf>
    <xf numFmtId="0" fontId="13" fillId="2" borderId="0" xfId="0" applyFont="1" applyFill="1" applyAlignment="1" applyProtection="1">
      <alignment wrapText="1"/>
      <protection locked="0"/>
    </xf>
    <xf numFmtId="2" fontId="4" fillId="2" borderId="0" xfId="0" applyNumberFormat="1" applyFont="1" applyFill="1" applyBorder="1" applyAlignment="1" applyProtection="1">
      <alignment horizontal="center"/>
      <protection locked="0"/>
    </xf>
    <xf numFmtId="165" fontId="4" fillId="2" borderId="0" xfId="0" applyNumberFormat="1" applyFont="1" applyFill="1" applyBorder="1" applyAlignment="1" applyProtection="1">
      <alignment horizontal="center"/>
      <protection locked="0"/>
    </xf>
    <xf numFmtId="165" fontId="4" fillId="2" borderId="0" xfId="0" applyNumberFormat="1" applyFont="1" applyFill="1" applyBorder="1" applyProtection="1">
      <protection locked="0"/>
    </xf>
    <xf numFmtId="0" fontId="4" fillId="2" borderId="0" xfId="0" applyFont="1" applyFill="1" applyBorder="1" applyAlignment="1" applyProtection="1">
      <protection locked="0"/>
    </xf>
    <xf numFmtId="1" fontId="4" fillId="2" borderId="0" xfId="0" applyNumberFormat="1" applyFont="1" applyFill="1" applyBorder="1" applyProtection="1">
      <protection locked="0"/>
    </xf>
    <xf numFmtId="2" fontId="4" fillId="2" borderId="0" xfId="0" applyNumberFormat="1" applyFont="1" applyFill="1" applyBorder="1" applyProtection="1">
      <protection locked="0"/>
    </xf>
    <xf numFmtId="0" fontId="5" fillId="2" borderId="0" xfId="0" applyFont="1" applyFill="1" applyBorder="1" applyAlignment="1" applyProtection="1">
      <alignment horizontal="right"/>
      <protection locked="0"/>
    </xf>
    <xf numFmtId="0" fontId="4" fillId="2" borderId="0" xfId="0" applyFont="1" applyFill="1" applyBorder="1" applyAlignment="1" applyProtection="1">
      <alignment horizontal="left" vertical="center" wrapText="1"/>
      <protection locked="0"/>
    </xf>
    <xf numFmtId="0" fontId="4" fillId="2" borderId="11" xfId="0" applyFont="1" applyFill="1" applyBorder="1" applyAlignment="1" applyProtection="1">
      <alignment horizontal="right"/>
      <protection locked="0"/>
    </xf>
    <xf numFmtId="0" fontId="4" fillId="2" borderId="11" xfId="0" applyFont="1" applyFill="1" applyBorder="1" applyProtection="1">
      <protection locked="0"/>
    </xf>
    <xf numFmtId="2" fontId="24" fillId="2" borderId="11" xfId="0" applyNumberFormat="1" applyFont="1" applyFill="1" applyBorder="1" applyProtection="1">
      <protection locked="0"/>
    </xf>
    <xf numFmtId="167" fontId="0" fillId="2" borderId="11" xfId="0" applyNumberFormat="1" applyFill="1" applyBorder="1" applyProtection="1">
      <protection locked="0"/>
    </xf>
    <xf numFmtId="0" fontId="21" fillId="2" borderId="11" xfId="0" applyFont="1" applyFill="1" applyBorder="1" applyProtection="1">
      <protection locked="0"/>
    </xf>
    <xf numFmtId="0" fontId="4" fillId="2" borderId="0" xfId="0" applyFont="1" applyFill="1" applyAlignment="1" applyProtection="1">
      <alignment horizontal="left" vertical="center" wrapText="1"/>
      <protection locked="0"/>
    </xf>
    <xf numFmtId="0" fontId="4" fillId="2" borderId="11" xfId="0" applyFont="1" applyFill="1" applyBorder="1" applyAlignment="1" applyProtection="1">
      <alignment horizontal="center"/>
      <protection locked="0"/>
    </xf>
    <xf numFmtId="0" fontId="0" fillId="2" borderId="11" xfId="0" applyFill="1" applyBorder="1" applyProtection="1">
      <protection locked="0"/>
    </xf>
    <xf numFmtId="0" fontId="21" fillId="2" borderId="11" xfId="0" applyFont="1" applyFill="1" applyBorder="1" applyAlignment="1" applyProtection="1">
      <alignment horizontal="center"/>
      <protection locked="0"/>
    </xf>
    <xf numFmtId="2" fontId="0" fillId="2" borderId="0" xfId="0" applyNumberFormat="1" applyFill="1" applyProtection="1">
      <protection locked="0"/>
    </xf>
    <xf numFmtId="165" fontId="4" fillId="0" borderId="0" xfId="0" applyNumberFormat="1" applyFont="1" applyFill="1" applyBorder="1" applyProtection="1">
      <protection locked="0"/>
    </xf>
    <xf numFmtId="2" fontId="4" fillId="0" borderId="0" xfId="0" applyNumberFormat="1" applyFont="1" applyFill="1" applyBorder="1" applyProtection="1">
      <protection locked="0"/>
    </xf>
    <xf numFmtId="0" fontId="4" fillId="0" borderId="0" xfId="0" applyFont="1" applyAlignment="1" applyProtection="1">
      <alignment wrapText="1"/>
      <protection locked="0"/>
    </xf>
    <xf numFmtId="0" fontId="4" fillId="0" borderId="0" xfId="0" applyFont="1" applyProtection="1">
      <protection locked="0"/>
    </xf>
    <xf numFmtId="0" fontId="0" fillId="0" borderId="0" xfId="0" applyAlignment="1" applyProtection="1">
      <alignment wrapText="1"/>
      <protection locked="0"/>
    </xf>
    <xf numFmtId="0" fontId="13" fillId="2" borderId="0" xfId="0" applyFont="1" applyFill="1" applyAlignment="1" applyProtection="1">
      <alignment horizontal="left"/>
      <protection locked="0"/>
    </xf>
    <xf numFmtId="165" fontId="4" fillId="2" borderId="0" xfId="0" applyNumberFormat="1" applyFont="1" applyFill="1" applyProtection="1">
      <protection locked="0"/>
    </xf>
    <xf numFmtId="2" fontId="4" fillId="2" borderId="0" xfId="0" applyNumberFormat="1" applyFont="1" applyFill="1" applyProtection="1">
      <protection locked="0"/>
    </xf>
    <xf numFmtId="164" fontId="4" fillId="2" borderId="1" xfId="0" applyNumberFormat="1" applyFont="1" applyFill="1" applyBorder="1" applyProtection="1">
      <protection locked="0"/>
    </xf>
    <xf numFmtId="2" fontId="4" fillId="2" borderId="1" xfId="0" applyNumberFormat="1" applyFont="1" applyFill="1" applyBorder="1" applyProtection="1">
      <protection locked="0"/>
    </xf>
    <xf numFmtId="0" fontId="2" fillId="0" borderId="0" xfId="0" applyFont="1" applyAlignment="1" applyProtection="1">
      <alignment horizontal="center"/>
      <protection locked="0"/>
    </xf>
    <xf numFmtId="0" fontId="2" fillId="2" borderId="0" xfId="0" applyFont="1" applyFill="1" applyAlignment="1" applyProtection="1">
      <alignment horizontal="center"/>
      <protection locked="0"/>
    </xf>
    <xf numFmtId="0" fontId="4" fillId="2" borderId="0" xfId="0" applyFont="1" applyFill="1" applyAlignment="1" applyProtection="1">
      <alignment horizontal="center" wrapText="1"/>
      <protection locked="0"/>
    </xf>
    <xf numFmtId="0" fontId="0" fillId="0" borderId="0" xfId="0" applyAlignment="1" applyProtection="1">
      <alignment horizontal="center" wrapText="1"/>
      <protection locked="0"/>
    </xf>
    <xf numFmtId="0" fontId="4" fillId="2" borderId="1" xfId="0" applyFont="1" applyFill="1" applyBorder="1" applyAlignment="1" applyProtection="1">
      <alignment horizontal="center" wrapText="1"/>
      <protection locked="0"/>
    </xf>
    <xf numFmtId="0" fontId="0" fillId="2" borderId="0" xfId="0" applyFill="1" applyAlignment="1" applyProtection="1">
      <alignment horizontal="center" wrapText="1"/>
      <protection locked="0"/>
    </xf>
    <xf numFmtId="0" fontId="4" fillId="0" borderId="0" xfId="0" applyFont="1" applyFill="1" applyAlignment="1" applyProtection="1">
      <alignment horizontal="center" wrapText="1"/>
      <protection locked="0"/>
    </xf>
    <xf numFmtId="169" fontId="4" fillId="2" borderId="0" xfId="0" applyNumberFormat="1" applyFont="1" applyFill="1" applyProtection="1">
      <protection locked="0"/>
    </xf>
    <xf numFmtId="169" fontId="4" fillId="2" borderId="1" xfId="0" applyNumberFormat="1" applyFont="1" applyFill="1" applyBorder="1" applyProtection="1">
      <protection locked="0"/>
    </xf>
    <xf numFmtId="167" fontId="4" fillId="2" borderId="0" xfId="0" applyNumberFormat="1" applyFont="1" applyFill="1" applyAlignment="1" applyProtection="1">
      <alignment horizontal="center"/>
      <protection locked="0"/>
    </xf>
    <xf numFmtId="166" fontId="4" fillId="2" borderId="0" xfId="0" applyNumberFormat="1" applyFont="1" applyFill="1" applyProtection="1">
      <protection locked="0"/>
    </xf>
    <xf numFmtId="167" fontId="4" fillId="2" borderId="0" xfId="0" applyNumberFormat="1" applyFont="1" applyFill="1" applyProtection="1">
      <protection locked="0"/>
    </xf>
    <xf numFmtId="0" fontId="0" fillId="2" borderId="0" xfId="0" applyFill="1" applyBorder="1" applyProtection="1">
      <protection locked="0"/>
    </xf>
    <xf numFmtId="0" fontId="13" fillId="0" borderId="0" xfId="0" applyFont="1" applyFill="1" applyBorder="1" applyProtection="1">
      <protection locked="0"/>
    </xf>
    <xf numFmtId="0" fontId="4" fillId="0" borderId="0" xfId="0" quotePrefix="1" applyFont="1" applyFill="1" applyAlignment="1" applyProtection="1">
      <alignment horizontal="center"/>
      <protection locked="0"/>
    </xf>
    <xf numFmtId="164" fontId="4" fillId="0" borderId="0" xfId="0" applyNumberFormat="1" applyFont="1" applyFill="1" applyAlignment="1" applyProtection="1">
      <alignment horizontal="center"/>
      <protection locked="0"/>
    </xf>
    <xf numFmtId="2" fontId="4" fillId="0" borderId="0" xfId="0" applyNumberFormat="1" applyFont="1" applyFill="1" applyAlignment="1" applyProtection="1">
      <alignment horizontal="center"/>
      <protection locked="0"/>
    </xf>
    <xf numFmtId="0" fontId="28" fillId="0" borderId="0" xfId="0" applyFont="1" applyProtection="1"/>
  </cellXfs>
  <cellStyles count="4">
    <cellStyle name="Comma 2" xfId="2"/>
    <cellStyle name="Excel Built-in Normal" xfId="3"/>
    <cellStyle name="Normal" xfId="0" builtinId="0"/>
    <cellStyle name="Normal 2" xfId="1"/>
  </cellStyles>
  <dxfs count="0"/>
  <tableStyles count="0" defaultTableStyle="TableStyleMedium9" defaultPivotStyle="PivotStyleLight16"/>
  <colors>
    <mruColors>
      <color rgb="FF8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Thermosyphon Reboiler Driving Force Curve</a:t>
            </a:r>
          </a:p>
        </c:rich>
      </c:tx>
      <c:layout/>
      <c:overlay val="0"/>
    </c:title>
    <c:autoTitleDeleted val="0"/>
    <c:plotArea>
      <c:layout/>
      <c:scatterChart>
        <c:scatterStyle val="smoothMarker"/>
        <c:varyColors val="0"/>
        <c:ser>
          <c:idx val="0"/>
          <c:order val="0"/>
          <c:marker>
            <c:symbol val="none"/>
          </c:marker>
          <c:xVal>
            <c:numRef>
              <c:f>'Example 19-6'!$N$67:$N$73</c:f>
              <c:numCache>
                <c:formatCode>General</c:formatCode>
                <c:ptCount val="7"/>
                <c:pt idx="0">
                  <c:v>10</c:v>
                </c:pt>
                <c:pt idx="1">
                  <c:v>12</c:v>
                </c:pt>
                <c:pt idx="2">
                  <c:v>14</c:v>
                </c:pt>
                <c:pt idx="3">
                  <c:v>16</c:v>
                </c:pt>
                <c:pt idx="4">
                  <c:v>18</c:v>
                </c:pt>
                <c:pt idx="5">
                  <c:v>20</c:v>
                </c:pt>
                <c:pt idx="6">
                  <c:v>22</c:v>
                </c:pt>
              </c:numCache>
            </c:numRef>
          </c:xVal>
          <c:yVal>
            <c:numRef>
              <c:f>'Example 19-6'!$O$67:$O$73</c:f>
              <c:numCache>
                <c:formatCode>0.0000</c:formatCode>
                <c:ptCount val="7"/>
                <c:pt idx="0">
                  <c:v>0.31479955431369633</c:v>
                </c:pt>
                <c:pt idx="1">
                  <c:v>8.3211203939811629E-2</c:v>
                </c:pt>
                <c:pt idx="2">
                  <c:v>-0.30903983438132165</c:v>
                </c:pt>
                <c:pt idx="3">
                  <c:v>-0.88873067530757943</c:v>
                </c:pt>
                <c:pt idx="4">
                  <c:v>-1.6826384334968365</c:v>
                </c:pt>
                <c:pt idx="5">
                  <c:v>-2.717540223606969</c:v>
                </c:pt>
                <c:pt idx="6">
                  <c:v>-4.0202131602958504</c:v>
                </c:pt>
              </c:numCache>
            </c:numRef>
          </c:yVal>
          <c:smooth val="1"/>
        </c:ser>
        <c:dLbls>
          <c:showLegendKey val="0"/>
          <c:showVal val="0"/>
          <c:showCatName val="0"/>
          <c:showSerName val="0"/>
          <c:showPercent val="0"/>
          <c:showBubbleSize val="0"/>
        </c:dLbls>
        <c:axId val="158077312"/>
        <c:axId val="158079616"/>
      </c:scatterChart>
      <c:valAx>
        <c:axId val="158077312"/>
        <c:scaling>
          <c:orientation val="minMax"/>
        </c:scaling>
        <c:delete val="0"/>
        <c:axPos val="b"/>
        <c:title>
          <c:tx>
            <c:rich>
              <a:bodyPr/>
              <a:lstStyle/>
              <a:p>
                <a:pPr>
                  <a:defRPr/>
                </a:pPr>
                <a:r>
                  <a:rPr lang="en-US"/>
                  <a:t>Tube Length, ft</a:t>
                </a:r>
              </a:p>
            </c:rich>
          </c:tx>
          <c:layout/>
          <c:overlay val="0"/>
        </c:title>
        <c:numFmt formatCode="General" sourceLinked="1"/>
        <c:majorTickMark val="out"/>
        <c:minorTickMark val="out"/>
        <c:tickLblPos val="nextTo"/>
        <c:crossAx val="158079616"/>
        <c:crosses val="autoZero"/>
        <c:crossBetween val="midCat"/>
      </c:valAx>
      <c:valAx>
        <c:axId val="158079616"/>
        <c:scaling>
          <c:orientation val="minMax"/>
        </c:scaling>
        <c:delete val="0"/>
        <c:axPos val="l"/>
        <c:majorGridlines/>
        <c:title>
          <c:tx>
            <c:rich>
              <a:bodyPr rot="-5400000" vert="horz"/>
              <a:lstStyle/>
              <a:p>
                <a:pPr>
                  <a:defRPr/>
                </a:pPr>
                <a:r>
                  <a:rPr lang="en-US"/>
                  <a:t>Driving Force - Resistance, psi</a:t>
                </a:r>
              </a:p>
            </c:rich>
          </c:tx>
          <c:layout/>
          <c:overlay val="0"/>
        </c:title>
        <c:numFmt formatCode="0.0000" sourceLinked="1"/>
        <c:majorTickMark val="out"/>
        <c:minorTickMark val="none"/>
        <c:tickLblPos val="nextTo"/>
        <c:crossAx val="158077312"/>
        <c:crosses val="autoZero"/>
        <c:crossBetween val="midCat"/>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17</xdr:col>
      <xdr:colOff>571500</xdr:colOff>
      <xdr:row>62</xdr:row>
      <xdr:rowOff>142875</xdr:rowOff>
    </xdr:from>
    <xdr:to>
      <xdr:col>24</xdr:col>
      <xdr:colOff>452437</xdr:colOff>
      <xdr:row>79</xdr:row>
      <xdr:rowOff>91677</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21</xdr:col>
      <xdr:colOff>321469</xdr:colOff>
      <xdr:row>80</xdr:row>
      <xdr:rowOff>47625</xdr:rowOff>
    </xdr:from>
    <xdr:to>
      <xdr:col>24</xdr:col>
      <xdr:colOff>452193</xdr:colOff>
      <xdr:row>87</xdr:row>
      <xdr:rowOff>14116</xdr:rowOff>
    </xdr:to>
    <xdr:pic>
      <xdr:nvPicPr>
        <xdr:cNvPr id="3" name="Picture 2"/>
        <xdr:cNvPicPr>
          <a:picLocks noChangeAspect="1"/>
        </xdr:cNvPicPr>
      </xdr:nvPicPr>
      <xdr:blipFill>
        <a:blip xmlns:r="http://schemas.openxmlformats.org/officeDocument/2006/relationships" r:embed="rId2"/>
        <a:stretch>
          <a:fillRect/>
        </a:stretch>
      </xdr:blipFill>
      <xdr:spPr>
        <a:xfrm>
          <a:off x="16549688" y="15716250"/>
          <a:ext cx="1952381" cy="13714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workbookViewId="0">
      <selection activeCell="E25" sqref="E25"/>
    </sheetView>
  </sheetViews>
  <sheetFormatPr defaultRowHeight="12.75" x14ac:dyDescent="0.2"/>
  <cols>
    <col min="1" max="2" width="9.140625" style="3"/>
    <col min="3" max="3" width="25.5703125" style="3" customWidth="1"/>
    <col min="4" max="16384" width="9.140625" style="3"/>
  </cols>
  <sheetData>
    <row r="1" spans="1:3" ht="15" x14ac:dyDescent="0.25">
      <c r="A1" s="120" t="s">
        <v>717</v>
      </c>
      <c r="B1" s="121"/>
      <c r="C1" s="121"/>
    </row>
    <row r="4" spans="1:3" x14ac:dyDescent="0.2">
      <c r="A4" s="122" t="s">
        <v>718</v>
      </c>
      <c r="B4" s="122" t="s">
        <v>719</v>
      </c>
      <c r="C4" s="123" t="s">
        <v>720</v>
      </c>
    </row>
    <row r="5" spans="1:3" ht="15" x14ac:dyDescent="0.25">
      <c r="A5" s="124">
        <v>0</v>
      </c>
      <c r="B5" s="125">
        <v>42826</v>
      </c>
      <c r="C5" s="126" t="s">
        <v>721</v>
      </c>
    </row>
    <row r="6" spans="1:3" ht="15" x14ac:dyDescent="0.25">
      <c r="A6" s="126"/>
      <c r="B6" s="126"/>
      <c r="C6" s="126"/>
    </row>
    <row r="7" spans="1:3" x14ac:dyDescent="0.2">
      <c r="A7" s="127"/>
      <c r="B7" s="127"/>
      <c r="C7" s="127"/>
    </row>
  </sheetData>
  <sheetProtection password="E156"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3"/>
  <sheetViews>
    <sheetView zoomScale="80" zoomScaleNormal="80" workbookViewId="0">
      <selection activeCell="O26" sqref="O26"/>
    </sheetView>
  </sheetViews>
  <sheetFormatPr defaultColWidth="9.140625" defaultRowHeight="12.75" x14ac:dyDescent="0.2"/>
  <cols>
    <col min="1" max="2" width="9.140625" style="68"/>
    <col min="3" max="3" width="13" style="68" bestFit="1" customWidth="1"/>
    <col min="4" max="4" width="9.140625" style="68"/>
    <col min="5" max="5" width="9.85546875" style="68" bestFit="1" customWidth="1"/>
    <col min="6" max="16" width="9.140625" style="68"/>
    <col min="17" max="17" width="29.85546875" style="68" bestFit="1" customWidth="1"/>
    <col min="18" max="18" width="10.5703125" style="68" bestFit="1" customWidth="1"/>
    <col min="19" max="19" width="13.7109375" style="68" bestFit="1" customWidth="1"/>
    <col min="20" max="20" width="11.7109375" style="68" customWidth="1"/>
    <col min="21" max="21" width="7.85546875" style="68" customWidth="1"/>
    <col min="22" max="22" width="9.140625" style="68"/>
    <col min="23" max="23" width="7.42578125" style="68" customWidth="1"/>
    <col min="24" max="24" width="6.85546875" style="68" customWidth="1"/>
    <col min="25" max="16384" width="9.140625" style="68"/>
  </cols>
  <sheetData>
    <row r="1" spans="1:31" ht="15" x14ac:dyDescent="0.25">
      <c r="A1" s="128" t="s">
        <v>717</v>
      </c>
    </row>
    <row r="5" spans="1:31" ht="15" x14ac:dyDescent="0.25">
      <c r="A5" s="1" t="s">
        <v>400</v>
      </c>
      <c r="B5" s="2"/>
      <c r="C5" s="2"/>
      <c r="D5" s="2"/>
      <c r="E5" s="2"/>
      <c r="F5" s="2"/>
      <c r="G5" s="2"/>
      <c r="H5" s="2"/>
      <c r="I5" s="2"/>
      <c r="J5" s="2"/>
      <c r="K5" s="2"/>
      <c r="L5" s="2"/>
      <c r="M5" s="54"/>
      <c r="N5" s="54"/>
      <c r="Q5" s="139" t="s">
        <v>459</v>
      </c>
      <c r="R5" s="66"/>
      <c r="S5" s="66"/>
      <c r="T5" s="66"/>
      <c r="U5" s="66"/>
      <c r="V5" s="66"/>
      <c r="W5" s="66"/>
      <c r="X5" s="66"/>
      <c r="Y5" s="66"/>
      <c r="Z5" s="231"/>
      <c r="AA5" s="231"/>
      <c r="AB5" s="231"/>
      <c r="AC5" s="231"/>
      <c r="AD5" s="231"/>
      <c r="AE5" s="231"/>
    </row>
    <row r="6" spans="1:31" ht="12.75" customHeight="1" x14ac:dyDescent="0.3">
      <c r="A6" s="107" t="s">
        <v>271</v>
      </c>
      <c r="B6" s="107"/>
      <c r="C6" s="107"/>
      <c r="D6" s="107"/>
      <c r="E6" s="107"/>
      <c r="F6" s="107"/>
      <c r="G6" s="107"/>
      <c r="H6" s="107"/>
      <c r="I6" s="107"/>
      <c r="J6" s="107"/>
      <c r="K6" s="107"/>
      <c r="L6" s="107"/>
      <c r="M6" s="54"/>
      <c r="N6" s="54"/>
      <c r="Q6" s="311" t="s">
        <v>401</v>
      </c>
      <c r="R6" s="311"/>
      <c r="S6" s="311"/>
      <c r="T6" s="311"/>
      <c r="U6" s="311"/>
      <c r="V6" s="311"/>
      <c r="W6" s="311"/>
      <c r="X6" s="311"/>
      <c r="Y6" s="141"/>
      <c r="Z6" s="262"/>
      <c r="AA6" s="262"/>
      <c r="AB6" s="262"/>
      <c r="AC6" s="231"/>
      <c r="AD6" s="231"/>
      <c r="AE6" s="231"/>
    </row>
    <row r="7" spans="1:31" ht="12.75" customHeight="1" x14ac:dyDescent="0.25">
      <c r="A7" s="107"/>
      <c r="B7" s="107"/>
      <c r="C7" s="107"/>
      <c r="D7" s="107"/>
      <c r="E7" s="107"/>
      <c r="F7" s="107"/>
      <c r="G7" s="107"/>
      <c r="H7" s="107"/>
      <c r="I7" s="107"/>
      <c r="J7" s="107"/>
      <c r="K7" s="107"/>
      <c r="L7" s="107"/>
      <c r="M7" s="54"/>
      <c r="N7" s="54"/>
      <c r="Q7" s="141"/>
      <c r="R7" s="141"/>
      <c r="S7" s="141"/>
      <c r="T7" s="141"/>
      <c r="U7" s="141"/>
      <c r="V7" s="141"/>
      <c r="W7" s="141"/>
      <c r="X7" s="141"/>
      <c r="Y7" s="141"/>
      <c r="Z7" s="262"/>
      <c r="AA7" s="262"/>
      <c r="AB7" s="262"/>
      <c r="AC7" s="231"/>
      <c r="AD7" s="231"/>
      <c r="AE7" s="231"/>
    </row>
    <row r="8" spans="1:31" ht="18.75" customHeight="1" x14ac:dyDescent="0.25">
      <c r="A8" s="107"/>
      <c r="B8" s="107"/>
      <c r="C8" s="107"/>
      <c r="D8" s="107"/>
      <c r="E8" s="107"/>
      <c r="F8" s="107"/>
      <c r="G8" s="107"/>
      <c r="H8" s="107"/>
      <c r="I8" s="107"/>
      <c r="J8" s="107"/>
      <c r="K8" s="107"/>
      <c r="L8" s="107"/>
      <c r="M8" s="54"/>
      <c r="N8" s="54"/>
      <c r="Q8" s="111" t="s">
        <v>376</v>
      </c>
      <c r="R8" s="111"/>
      <c r="S8" s="111"/>
      <c r="T8" s="111"/>
      <c r="U8" s="111"/>
      <c r="V8" s="111"/>
      <c r="W8" s="111"/>
      <c r="X8" s="111"/>
      <c r="Y8" s="141"/>
      <c r="Z8" s="262"/>
      <c r="AA8" s="262"/>
      <c r="AB8" s="262"/>
      <c r="AC8" s="231"/>
      <c r="AD8" s="231"/>
      <c r="AE8" s="231"/>
    </row>
    <row r="9" spans="1:31" ht="15" x14ac:dyDescent="0.25">
      <c r="A9" s="2"/>
      <c r="B9" s="2"/>
      <c r="C9" s="2"/>
      <c r="D9" s="2"/>
      <c r="E9" s="2"/>
      <c r="F9" s="2"/>
      <c r="G9" s="2"/>
      <c r="H9" s="2"/>
      <c r="I9" s="2"/>
      <c r="J9" s="2"/>
      <c r="K9" s="2"/>
      <c r="L9" s="2"/>
      <c r="M9" s="54"/>
      <c r="N9" s="54"/>
      <c r="Q9" s="66"/>
      <c r="R9" s="66"/>
      <c r="S9" s="66"/>
      <c r="T9" s="66"/>
      <c r="U9" s="66"/>
      <c r="V9" s="66"/>
      <c r="W9" s="66"/>
      <c r="X9" s="66"/>
      <c r="Y9" s="66"/>
      <c r="Z9" s="231"/>
      <c r="AA9" s="231"/>
      <c r="AB9" s="231"/>
      <c r="AC9" s="231"/>
      <c r="AD9" s="231"/>
      <c r="AE9" s="231"/>
    </row>
    <row r="10" spans="1:31" ht="15" x14ac:dyDescent="0.25">
      <c r="A10" s="2" t="s">
        <v>272</v>
      </c>
      <c r="B10" s="2"/>
      <c r="C10" s="2"/>
      <c r="D10" s="2"/>
      <c r="E10" s="2"/>
      <c r="F10" s="2"/>
      <c r="G10" s="2"/>
      <c r="H10" s="2"/>
      <c r="I10" s="2"/>
      <c r="J10" s="2"/>
      <c r="K10" s="2"/>
      <c r="L10" s="2"/>
      <c r="M10" s="54"/>
      <c r="N10" s="54"/>
      <c r="Q10" s="149" t="s">
        <v>7</v>
      </c>
      <c r="R10" s="179" t="s">
        <v>440</v>
      </c>
      <c r="S10" s="84">
        <v>10</v>
      </c>
      <c r="T10" s="66" t="s">
        <v>63</v>
      </c>
      <c r="U10" s="140"/>
      <c r="V10" s="140"/>
      <c r="W10" s="140"/>
      <c r="X10" s="140"/>
      <c r="Y10" s="140"/>
      <c r="Z10" s="230"/>
      <c r="AA10" s="230"/>
      <c r="AB10" s="230"/>
      <c r="AC10" s="230"/>
      <c r="AD10" s="231"/>
      <c r="AE10" s="231"/>
    </row>
    <row r="11" spans="1:31" ht="15" x14ac:dyDescent="0.25">
      <c r="A11" s="2"/>
      <c r="B11" s="2"/>
      <c r="C11" s="2"/>
      <c r="D11" s="2"/>
      <c r="E11" s="2"/>
      <c r="F11" s="2"/>
      <c r="G11" s="2"/>
      <c r="H11" s="2"/>
      <c r="I11" s="2"/>
      <c r="J11" s="2"/>
      <c r="K11" s="2"/>
      <c r="L11" s="2"/>
      <c r="M11" s="54"/>
      <c r="N11" s="54"/>
      <c r="Q11" s="149"/>
      <c r="R11" s="179" t="s">
        <v>440</v>
      </c>
      <c r="S11" s="252">
        <f>S10*8.33*60</f>
        <v>4998</v>
      </c>
      <c r="T11" s="66" t="s">
        <v>213</v>
      </c>
      <c r="U11" s="140"/>
      <c r="V11" s="140"/>
      <c r="W11" s="140"/>
      <c r="X11" s="140"/>
      <c r="Y11" s="140"/>
      <c r="Z11" s="231"/>
      <c r="AA11" s="231"/>
      <c r="AB11" s="230"/>
      <c r="AC11" s="230"/>
      <c r="AD11" s="230"/>
      <c r="AE11" s="230"/>
    </row>
    <row r="12" spans="1:31" ht="16.5" x14ac:dyDescent="0.3">
      <c r="A12" s="2"/>
      <c r="B12" s="2" t="s">
        <v>7</v>
      </c>
      <c r="C12" s="2">
        <v>10</v>
      </c>
      <c r="D12" s="2" t="s">
        <v>63</v>
      </c>
      <c r="E12" s="2"/>
      <c r="F12" s="2"/>
      <c r="G12" s="2"/>
      <c r="H12" s="2"/>
      <c r="I12" s="2"/>
      <c r="J12" s="2"/>
      <c r="K12" s="2"/>
      <c r="L12" s="2"/>
      <c r="M12" s="54"/>
      <c r="N12" s="54"/>
      <c r="Q12" s="149" t="s">
        <v>574</v>
      </c>
      <c r="R12" s="179" t="s">
        <v>440</v>
      </c>
      <c r="S12" s="92">
        <v>2500</v>
      </c>
      <c r="T12" s="66" t="s">
        <v>403</v>
      </c>
      <c r="U12" s="140"/>
      <c r="V12" s="66"/>
      <c r="W12" s="66"/>
      <c r="X12" s="66"/>
      <c r="Y12" s="66"/>
      <c r="Z12" s="231"/>
      <c r="AA12" s="231"/>
      <c r="AB12" s="231"/>
      <c r="AC12" s="231"/>
      <c r="AD12" s="231"/>
      <c r="AE12" s="231"/>
    </row>
    <row r="13" spans="1:31" ht="15" x14ac:dyDescent="0.25">
      <c r="A13" s="2"/>
      <c r="B13" s="2"/>
      <c r="C13" s="101">
        <f>C12*8.33*60</f>
        <v>4998</v>
      </c>
      <c r="D13" s="2" t="s">
        <v>213</v>
      </c>
      <c r="E13" s="2"/>
      <c r="F13" s="2"/>
      <c r="G13" s="2"/>
      <c r="H13" s="2"/>
      <c r="I13" s="2"/>
      <c r="J13" s="2"/>
      <c r="K13" s="2"/>
      <c r="L13" s="2"/>
      <c r="M13" s="54"/>
      <c r="N13" s="54"/>
      <c r="Q13" s="149" t="s">
        <v>402</v>
      </c>
      <c r="R13" s="179" t="s">
        <v>440</v>
      </c>
      <c r="S13" s="84">
        <v>1.5</v>
      </c>
      <c r="T13" s="66" t="s">
        <v>403</v>
      </c>
      <c r="U13" s="140"/>
      <c r="V13" s="140"/>
      <c r="W13" s="140"/>
      <c r="X13" s="66"/>
      <c r="Y13" s="66"/>
      <c r="Z13" s="231"/>
      <c r="AA13" s="231"/>
      <c r="AB13" s="231"/>
      <c r="AC13" s="231"/>
      <c r="AD13" s="231"/>
      <c r="AE13" s="231"/>
    </row>
    <row r="14" spans="1:31" ht="15" x14ac:dyDescent="0.25">
      <c r="A14" s="2"/>
      <c r="B14" s="2"/>
      <c r="C14" s="2"/>
      <c r="D14" s="2"/>
      <c r="E14" s="2"/>
      <c r="F14" s="2"/>
      <c r="G14" s="2"/>
      <c r="H14" s="2"/>
      <c r="I14" s="2"/>
      <c r="J14" s="2"/>
      <c r="K14" s="2"/>
      <c r="L14" s="2"/>
      <c r="M14" s="54"/>
      <c r="N14" s="54"/>
      <c r="Q14" s="149" t="s">
        <v>406</v>
      </c>
      <c r="R14" s="179" t="s">
        <v>440</v>
      </c>
      <c r="S14" s="84">
        <v>21</v>
      </c>
      <c r="T14" s="66" t="s">
        <v>405</v>
      </c>
      <c r="U14" s="66" t="s">
        <v>470</v>
      </c>
      <c r="V14" s="66"/>
      <c r="W14" s="66"/>
      <c r="X14" s="66"/>
      <c r="Y14" s="66"/>
      <c r="Z14" s="231" t="s">
        <v>534</v>
      </c>
      <c r="AA14" s="231"/>
      <c r="AB14" s="231"/>
      <c r="AC14" s="231"/>
      <c r="AD14" s="231"/>
      <c r="AE14" s="231"/>
    </row>
    <row r="15" spans="1:31" ht="15" x14ac:dyDescent="0.25">
      <c r="A15" s="2" t="s">
        <v>712</v>
      </c>
      <c r="B15" s="2"/>
      <c r="C15" s="2"/>
      <c r="D15" s="2"/>
      <c r="E15" s="2"/>
      <c r="F15" s="2"/>
      <c r="G15" s="2"/>
      <c r="H15" s="2"/>
      <c r="I15" s="2"/>
      <c r="J15" s="2"/>
      <c r="K15" s="2"/>
      <c r="L15" s="2"/>
      <c r="M15" s="54"/>
      <c r="N15" s="54"/>
      <c r="Q15" s="149" t="s">
        <v>576</v>
      </c>
      <c r="R15" s="179" t="s">
        <v>440</v>
      </c>
      <c r="S15" s="84">
        <v>0.75</v>
      </c>
      <c r="T15" s="66" t="s">
        <v>575</v>
      </c>
      <c r="U15" s="66"/>
      <c r="V15" s="66"/>
      <c r="W15" s="66"/>
      <c r="X15" s="66"/>
      <c r="Y15" s="66"/>
      <c r="Z15" s="231"/>
      <c r="AA15" s="231"/>
      <c r="AB15" s="231"/>
      <c r="AC15" s="231"/>
      <c r="AD15" s="231"/>
      <c r="AE15" s="231"/>
    </row>
    <row r="16" spans="1:31" ht="15" x14ac:dyDescent="0.25">
      <c r="A16" s="2"/>
      <c r="B16" s="2"/>
      <c r="C16" s="2"/>
      <c r="D16" s="2"/>
      <c r="E16" s="2"/>
      <c r="F16" s="2"/>
      <c r="G16" s="2"/>
      <c r="H16" s="2"/>
      <c r="I16" s="2"/>
      <c r="J16" s="2"/>
      <c r="K16" s="2"/>
      <c r="L16" s="2"/>
      <c r="M16" s="54"/>
      <c r="N16" s="54"/>
      <c r="Q16" s="66"/>
      <c r="R16" s="66"/>
      <c r="S16" s="140"/>
      <c r="T16" s="140"/>
      <c r="U16" s="140"/>
      <c r="V16" s="140"/>
      <c r="W16" s="66"/>
      <c r="X16" s="66"/>
      <c r="Y16" s="66"/>
      <c r="Z16" s="231"/>
      <c r="AA16" s="231"/>
      <c r="AB16" s="231"/>
      <c r="AC16" s="231"/>
      <c r="AD16" s="231"/>
      <c r="AE16" s="231"/>
    </row>
    <row r="17" spans="1:31" ht="15" x14ac:dyDescent="0.25">
      <c r="A17" s="2"/>
      <c r="B17" s="25" t="s">
        <v>700</v>
      </c>
      <c r="C17" s="2">
        <f>0.75*C12*60</f>
        <v>450</v>
      </c>
      <c r="D17" s="2" t="s">
        <v>213</v>
      </c>
      <c r="E17" s="2"/>
      <c r="F17" s="2"/>
      <c r="G17" s="2"/>
      <c r="H17" s="2"/>
      <c r="I17" s="2"/>
      <c r="J17" s="2"/>
      <c r="K17" s="2"/>
      <c r="L17" s="2"/>
      <c r="M17" s="54"/>
      <c r="N17" s="54"/>
      <c r="Q17" s="139" t="s">
        <v>573</v>
      </c>
      <c r="R17" s="140"/>
      <c r="S17" s="140"/>
      <c r="T17" s="140"/>
      <c r="U17" s="66"/>
      <c r="V17" s="66"/>
      <c r="W17" s="66"/>
      <c r="X17" s="66"/>
      <c r="Y17" s="66"/>
      <c r="Z17" s="231"/>
      <c r="AA17" s="231"/>
      <c r="AB17" s="231"/>
      <c r="AC17" s="231"/>
      <c r="AD17" s="231"/>
      <c r="AE17" s="231"/>
    </row>
    <row r="18" spans="1:31" ht="15" x14ac:dyDescent="0.25">
      <c r="A18" s="2"/>
      <c r="B18" s="2"/>
      <c r="C18" s="2"/>
      <c r="D18" s="2"/>
      <c r="E18" s="2"/>
      <c r="F18" s="2"/>
      <c r="G18" s="2"/>
      <c r="H18" s="2"/>
      <c r="I18" s="2"/>
      <c r="J18" s="2"/>
      <c r="K18" s="2"/>
      <c r="L18" s="2"/>
      <c r="M18" s="54"/>
      <c r="N18" s="54"/>
      <c r="Q18" s="66"/>
      <c r="R18" s="66"/>
      <c r="S18" s="66"/>
      <c r="T18" s="66"/>
      <c r="U18" s="66"/>
      <c r="V18" s="66"/>
      <c r="W18" s="66"/>
      <c r="X18" s="66"/>
      <c r="Y18" s="66"/>
      <c r="Z18" s="231"/>
      <c r="AA18" s="231"/>
      <c r="AB18" s="231"/>
      <c r="AC18" s="231"/>
      <c r="AD18" s="231"/>
      <c r="AE18" s="231"/>
    </row>
    <row r="19" spans="1:31" ht="15" x14ac:dyDescent="0.25">
      <c r="A19" s="2" t="s">
        <v>273</v>
      </c>
      <c r="B19" s="2"/>
      <c r="C19" s="2"/>
      <c r="D19" s="2"/>
      <c r="E19" s="2"/>
      <c r="F19" s="2"/>
      <c r="G19" s="2"/>
      <c r="H19" s="2"/>
      <c r="I19" s="2"/>
      <c r="J19" s="2"/>
      <c r="K19" s="2"/>
      <c r="L19" s="2"/>
      <c r="M19" s="54"/>
      <c r="N19" s="54"/>
      <c r="Q19" s="149" t="s">
        <v>700</v>
      </c>
      <c r="R19" s="179" t="s">
        <v>440</v>
      </c>
      <c r="S19" s="143">
        <f>S15*S10*60</f>
        <v>450</v>
      </c>
      <c r="T19" s="66" t="s">
        <v>213</v>
      </c>
      <c r="U19" s="66"/>
      <c r="V19" s="66"/>
      <c r="W19" s="66"/>
      <c r="X19" s="66"/>
      <c r="Y19" s="66"/>
      <c r="Z19" s="231"/>
      <c r="AA19" s="231"/>
      <c r="AB19" s="231"/>
      <c r="AC19" s="231"/>
      <c r="AD19" s="231"/>
      <c r="AE19" s="231"/>
    </row>
    <row r="20" spans="1:31" ht="15" x14ac:dyDescent="0.25">
      <c r="A20" s="2"/>
      <c r="B20" s="2"/>
      <c r="C20" s="44"/>
      <c r="D20" s="44"/>
      <c r="E20" s="44"/>
      <c r="F20" s="2"/>
      <c r="G20" s="2"/>
      <c r="H20" s="2"/>
      <c r="I20" s="2"/>
      <c r="J20" s="2"/>
      <c r="K20" s="2"/>
      <c r="L20" s="2"/>
      <c r="M20" s="54"/>
      <c r="N20" s="54"/>
      <c r="Q20" s="66"/>
      <c r="R20" s="66"/>
      <c r="S20" s="219"/>
      <c r="T20" s="219"/>
      <c r="U20" s="219"/>
      <c r="V20" s="66"/>
      <c r="W20" s="66"/>
      <c r="X20" s="66"/>
      <c r="Y20" s="66"/>
      <c r="Z20" s="231"/>
      <c r="AA20" s="231"/>
      <c r="AB20" s="231"/>
      <c r="AC20" s="231"/>
      <c r="AD20" s="231"/>
      <c r="AE20" s="231"/>
    </row>
    <row r="21" spans="1:31" s="312" customFormat="1" ht="30" x14ac:dyDescent="0.25">
      <c r="A21" s="9"/>
      <c r="B21" s="9"/>
      <c r="C21" s="63" t="s">
        <v>274</v>
      </c>
      <c r="D21" s="63" t="s">
        <v>275</v>
      </c>
      <c r="E21" s="63" t="s">
        <v>276</v>
      </c>
      <c r="F21" s="9"/>
      <c r="G21" s="9"/>
      <c r="H21" s="9"/>
      <c r="I21" s="9"/>
      <c r="J21" s="9"/>
      <c r="K21" s="9"/>
      <c r="L21" s="9"/>
      <c r="M21" s="64"/>
      <c r="N21" s="64"/>
      <c r="Q21" s="146"/>
      <c r="R21" s="313" t="s">
        <v>274</v>
      </c>
      <c r="S21" s="313" t="s">
        <v>275</v>
      </c>
      <c r="T21" s="313" t="s">
        <v>276</v>
      </c>
      <c r="U21" s="314"/>
      <c r="V21" s="146"/>
      <c r="W21" s="146"/>
      <c r="X21" s="146"/>
      <c r="Y21" s="146"/>
      <c r="Z21" s="315"/>
      <c r="AA21" s="315"/>
      <c r="AB21" s="315"/>
      <c r="AC21" s="315"/>
      <c r="AD21" s="315"/>
      <c r="AE21" s="315"/>
    </row>
    <row r="22" spans="1:31" ht="16.5" x14ac:dyDescent="0.3">
      <c r="A22" s="2"/>
      <c r="B22" s="2" t="s">
        <v>367</v>
      </c>
      <c r="C22" s="102">
        <f>C13*2500/1000000</f>
        <v>12.494999999999999</v>
      </c>
      <c r="D22" s="102">
        <f>C22-E22</f>
        <v>12.4881967425</v>
      </c>
      <c r="E22" s="102">
        <f>E23*1.5/1000000</f>
        <v>6.8032574999999998E-3</v>
      </c>
      <c r="F22" s="2"/>
      <c r="G22" s="2"/>
      <c r="H22" s="2"/>
      <c r="I22" s="2"/>
      <c r="J22" s="2"/>
      <c r="K22" s="2"/>
      <c r="L22" s="2"/>
      <c r="M22" s="54"/>
      <c r="N22" s="54"/>
      <c r="Q22" s="149" t="s">
        <v>367</v>
      </c>
      <c r="R22" s="316">
        <f>S11*S12/1000000</f>
        <v>12.494999999999999</v>
      </c>
      <c r="S22" s="316">
        <f>R22-T22</f>
        <v>12.487502999999998</v>
      </c>
      <c r="T22" s="316">
        <f>S11*S13/1000000</f>
        <v>7.4970000000000002E-3</v>
      </c>
      <c r="U22" s="140"/>
      <c r="V22" s="66"/>
      <c r="W22" s="66"/>
      <c r="X22" s="66"/>
      <c r="Y22" s="66"/>
      <c r="Z22" s="231"/>
      <c r="AA22" s="231"/>
      <c r="AB22" s="231"/>
      <c r="AC22" s="231"/>
      <c r="AD22" s="231"/>
      <c r="AE22" s="231"/>
    </row>
    <row r="23" spans="1:31" ht="16.5" x14ac:dyDescent="0.3">
      <c r="A23" s="2"/>
      <c r="B23" s="2" t="s">
        <v>368</v>
      </c>
      <c r="C23" s="103">
        <f>C13-C22</f>
        <v>4985.5050000000001</v>
      </c>
      <c r="D23" s="103">
        <f>C17</f>
        <v>450</v>
      </c>
      <c r="E23" s="103">
        <f>C23-D23</f>
        <v>4535.5050000000001</v>
      </c>
      <c r="F23" s="2"/>
      <c r="G23" s="2"/>
      <c r="H23" s="2"/>
      <c r="I23" s="2"/>
      <c r="J23" s="2"/>
      <c r="K23" s="2"/>
      <c r="L23" s="2"/>
      <c r="M23" s="54"/>
      <c r="N23" s="54"/>
      <c r="Q23" s="149" t="s">
        <v>368</v>
      </c>
      <c r="R23" s="317">
        <f>S11-R22</f>
        <v>4985.5050000000001</v>
      </c>
      <c r="S23" s="317">
        <f>S19</f>
        <v>450</v>
      </c>
      <c r="T23" s="317">
        <f>R23-S23</f>
        <v>4535.5050000000001</v>
      </c>
      <c r="U23" s="140"/>
      <c r="V23" s="66"/>
      <c r="W23" s="66"/>
      <c r="X23" s="66"/>
      <c r="Y23" s="66"/>
      <c r="Z23" s="231"/>
      <c r="AA23" s="231"/>
      <c r="AB23" s="231"/>
      <c r="AC23" s="231"/>
      <c r="AD23" s="231"/>
      <c r="AE23" s="231"/>
    </row>
    <row r="24" spans="1:31" ht="15" x14ac:dyDescent="0.25">
      <c r="A24" s="2"/>
      <c r="B24" s="2" t="s">
        <v>20</v>
      </c>
      <c r="C24" s="102">
        <f>C23/(1-2500*10^-6)</f>
        <v>4998</v>
      </c>
      <c r="D24" s="102">
        <f>SUM(D22:D23)</f>
        <v>462.48819674250001</v>
      </c>
      <c r="E24" s="102">
        <f>E22+E23</f>
        <v>4535.5118032575001</v>
      </c>
      <c r="F24" s="2"/>
      <c r="G24" s="2"/>
      <c r="H24" s="2"/>
      <c r="I24" s="2"/>
      <c r="J24" s="2"/>
      <c r="K24" s="2"/>
      <c r="L24" s="2"/>
      <c r="M24" s="54"/>
      <c r="N24" s="54"/>
      <c r="Q24" s="149" t="s">
        <v>20</v>
      </c>
      <c r="R24" s="316">
        <f>R22+R23</f>
        <v>4998</v>
      </c>
      <c r="S24" s="316">
        <f>SUM(S22:S23)</f>
        <v>462.487503</v>
      </c>
      <c r="T24" s="316">
        <f>T22+T23</f>
        <v>4535.5124969999997</v>
      </c>
      <c r="U24" s="140"/>
      <c r="V24" s="66"/>
      <c r="W24" s="66"/>
      <c r="X24" s="66"/>
      <c r="Y24" s="66"/>
      <c r="Z24" s="231"/>
      <c r="AA24" s="231"/>
      <c r="AB24" s="231"/>
      <c r="AC24" s="231"/>
      <c r="AD24" s="231"/>
      <c r="AE24" s="231"/>
    </row>
    <row r="25" spans="1:31" ht="15" x14ac:dyDescent="0.25">
      <c r="A25" s="2"/>
      <c r="B25" s="2"/>
      <c r="C25" s="2"/>
      <c r="D25" s="2"/>
      <c r="E25" s="2"/>
      <c r="F25" s="2"/>
      <c r="G25" s="2"/>
      <c r="H25" s="2"/>
      <c r="I25" s="2"/>
      <c r="J25" s="2"/>
      <c r="K25" s="2"/>
      <c r="L25" s="2"/>
      <c r="M25" s="54"/>
      <c r="N25" s="54"/>
      <c r="Q25" s="66"/>
      <c r="R25" s="66"/>
      <c r="S25" s="66"/>
      <c r="T25" s="66"/>
      <c r="U25" s="66"/>
      <c r="V25" s="66"/>
      <c r="W25" s="66"/>
      <c r="X25" s="66"/>
      <c r="Y25" s="66"/>
      <c r="Z25" s="231"/>
      <c r="AA25" s="231"/>
      <c r="AB25" s="231"/>
      <c r="AC25" s="231"/>
      <c r="AD25" s="231"/>
      <c r="AE25" s="231"/>
    </row>
    <row r="26" spans="1:31" ht="16.5" x14ac:dyDescent="0.3">
      <c r="A26" s="2" t="s">
        <v>369</v>
      </c>
      <c r="B26" s="2"/>
      <c r="C26" s="2"/>
      <c r="D26" s="2"/>
      <c r="E26" s="2"/>
      <c r="F26" s="2"/>
      <c r="G26" s="2"/>
      <c r="H26" s="2"/>
      <c r="I26" s="2"/>
      <c r="J26" s="2"/>
      <c r="K26" s="2"/>
      <c r="L26" s="2"/>
      <c r="M26" s="54"/>
      <c r="N26" s="54"/>
      <c r="Q26" s="149" t="s">
        <v>701</v>
      </c>
      <c r="R26" s="179" t="s">
        <v>440</v>
      </c>
      <c r="S26" s="318">
        <f>$S$22/$R$22</f>
        <v>0.99939999999999996</v>
      </c>
      <c r="T26" s="66"/>
      <c r="U26" s="66"/>
      <c r="V26" s="66"/>
      <c r="W26" s="66"/>
      <c r="X26" s="66"/>
      <c r="Y26" s="66"/>
      <c r="Z26" s="231"/>
      <c r="AA26" s="231"/>
      <c r="AB26" s="231"/>
      <c r="AC26" s="231"/>
      <c r="AD26" s="231"/>
      <c r="AE26" s="231"/>
    </row>
    <row r="27" spans="1:31" ht="16.5" x14ac:dyDescent="0.3">
      <c r="A27" s="2"/>
      <c r="B27" s="2"/>
      <c r="C27" s="2"/>
      <c r="D27" s="2"/>
      <c r="E27" s="2"/>
      <c r="F27" s="2"/>
      <c r="G27" s="2"/>
      <c r="H27" s="2"/>
      <c r="I27" s="2"/>
      <c r="J27" s="2"/>
      <c r="K27" s="2"/>
      <c r="L27" s="2"/>
      <c r="M27" s="54"/>
      <c r="N27" s="54"/>
      <c r="Q27" s="149" t="s">
        <v>532</v>
      </c>
      <c r="R27" s="179" t="s">
        <v>440</v>
      </c>
      <c r="S27" s="199">
        <f>S23/S24</f>
        <v>0.97299926393903013</v>
      </c>
      <c r="T27" s="66"/>
      <c r="U27" s="66"/>
      <c r="V27" s="66"/>
      <c r="W27" s="66"/>
      <c r="X27" s="66"/>
      <c r="Y27" s="66"/>
      <c r="Z27" s="231"/>
      <c r="AA27" s="231"/>
      <c r="AB27" s="231"/>
      <c r="AC27" s="231"/>
      <c r="AD27" s="231"/>
      <c r="AE27" s="231"/>
    </row>
    <row r="28" spans="1:31" ht="16.5" x14ac:dyDescent="0.3">
      <c r="A28" s="2"/>
      <c r="B28" s="2" t="s">
        <v>370</v>
      </c>
      <c r="C28" s="2"/>
      <c r="D28" s="2"/>
      <c r="E28" s="2"/>
      <c r="F28" s="2"/>
      <c r="G28" s="2"/>
      <c r="H28" s="2"/>
      <c r="I28" s="2"/>
      <c r="J28" s="2"/>
      <c r="K28" s="2"/>
      <c r="L28" s="2"/>
      <c r="M28" s="54"/>
      <c r="N28" s="54"/>
      <c r="Q28" s="149" t="s">
        <v>533</v>
      </c>
      <c r="R28" s="179" t="s">
        <v>440</v>
      </c>
      <c r="S28" s="199">
        <f>S27*S14</f>
        <v>20.432984542719634</v>
      </c>
      <c r="T28" s="66" t="s">
        <v>251</v>
      </c>
      <c r="U28" s="199"/>
      <c r="V28" s="179"/>
      <c r="W28" s="199"/>
      <c r="X28" s="66"/>
      <c r="Y28" s="66"/>
      <c r="Z28" s="231"/>
      <c r="AA28" s="231"/>
      <c r="AB28" s="231"/>
      <c r="AC28" s="231"/>
      <c r="AD28" s="231"/>
      <c r="AE28" s="231"/>
    </row>
    <row r="29" spans="1:31" ht="15" x14ac:dyDescent="0.25">
      <c r="A29" s="2"/>
      <c r="B29" s="2"/>
      <c r="C29" s="57">
        <f>D22/C22</f>
        <v>0.99945552160864348</v>
      </c>
      <c r="D29" s="2"/>
      <c r="E29" s="2"/>
      <c r="F29" s="2"/>
      <c r="G29" s="2"/>
      <c r="H29" s="2"/>
      <c r="I29" s="2"/>
      <c r="J29" s="2"/>
      <c r="K29" s="2"/>
      <c r="L29" s="2"/>
      <c r="M29" s="54"/>
      <c r="N29" s="54"/>
      <c r="Q29" s="140"/>
      <c r="R29" s="140"/>
      <c r="S29" s="140"/>
      <c r="T29" s="66"/>
      <c r="U29" s="66"/>
      <c r="V29" s="66"/>
      <c r="W29" s="66"/>
      <c r="X29" s="66"/>
      <c r="Y29" s="66"/>
      <c r="Z29" s="231"/>
      <c r="AA29" s="231"/>
      <c r="AB29" s="231"/>
      <c r="AC29" s="231"/>
      <c r="AD29" s="231"/>
      <c r="AE29" s="231"/>
    </row>
    <row r="30" spans="1:31" ht="15" x14ac:dyDescent="0.25">
      <c r="A30" s="2"/>
      <c r="B30" s="2"/>
      <c r="C30" s="2"/>
      <c r="D30" s="2"/>
      <c r="E30" s="2"/>
      <c r="F30" s="2"/>
      <c r="G30" s="2"/>
      <c r="H30" s="2"/>
      <c r="I30" s="2"/>
      <c r="J30" s="2"/>
      <c r="K30" s="2"/>
      <c r="L30" s="2"/>
      <c r="M30" s="54"/>
      <c r="N30" s="54"/>
      <c r="Q30" s="139" t="s">
        <v>580</v>
      </c>
      <c r="R30" s="66"/>
      <c r="S30" s="66"/>
      <c r="T30" s="66"/>
      <c r="U30" s="66"/>
      <c r="V30" s="66"/>
      <c r="W30" s="66"/>
      <c r="X30" s="66"/>
      <c r="Y30" s="66"/>
      <c r="Z30" s="231"/>
      <c r="AA30" s="231"/>
      <c r="AB30" s="231"/>
      <c r="AC30" s="231"/>
      <c r="AD30" s="231"/>
      <c r="AE30" s="231"/>
    </row>
    <row r="31" spans="1:31" ht="15" x14ac:dyDescent="0.25">
      <c r="A31" s="107" t="s">
        <v>277</v>
      </c>
      <c r="B31" s="107"/>
      <c r="C31" s="107"/>
      <c r="D31" s="107"/>
      <c r="E31" s="107"/>
      <c r="F31" s="107"/>
      <c r="G31" s="107"/>
      <c r="H31" s="107"/>
      <c r="I31" s="107"/>
      <c r="J31" s="2"/>
      <c r="K31" s="2"/>
      <c r="L31" s="2"/>
      <c r="M31" s="54"/>
      <c r="N31" s="54"/>
      <c r="Q31" s="141"/>
      <c r="R31" s="141"/>
      <c r="S31" s="141"/>
      <c r="T31" s="141"/>
      <c r="U31" s="141"/>
      <c r="V31" s="141"/>
      <c r="W31" s="141"/>
      <c r="X31" s="141"/>
      <c r="Y31" s="141"/>
      <c r="Z31" s="231"/>
      <c r="AA31" s="231"/>
      <c r="AB31" s="231"/>
      <c r="AC31" s="231"/>
      <c r="AD31" s="231"/>
      <c r="AE31" s="231"/>
    </row>
    <row r="32" spans="1:31" ht="15" x14ac:dyDescent="0.25">
      <c r="A32" s="107"/>
      <c r="B32" s="107"/>
      <c r="C32" s="107"/>
      <c r="D32" s="107"/>
      <c r="E32" s="107"/>
      <c r="F32" s="107"/>
      <c r="G32" s="107"/>
      <c r="H32" s="107"/>
      <c r="I32" s="107"/>
      <c r="J32" s="2"/>
      <c r="K32" s="2"/>
      <c r="L32" s="2"/>
      <c r="M32" s="54"/>
      <c r="N32" s="54"/>
      <c r="Q32" s="67" t="s">
        <v>404</v>
      </c>
      <c r="R32" s="140"/>
      <c r="S32" s="140"/>
      <c r="T32" s="140"/>
      <c r="U32" s="140"/>
      <c r="V32" s="140"/>
      <c r="W32" s="141"/>
      <c r="X32" s="141"/>
      <c r="Y32" s="141"/>
      <c r="Z32" s="231"/>
      <c r="AA32" s="231"/>
      <c r="AB32" s="231"/>
      <c r="AC32" s="231"/>
      <c r="AD32" s="231"/>
      <c r="AE32" s="231"/>
    </row>
    <row r="33" spans="1:31" ht="15" x14ac:dyDescent="0.25">
      <c r="A33" s="2"/>
      <c r="B33" s="2"/>
      <c r="C33" s="2"/>
      <c r="D33" s="2"/>
      <c r="E33" s="2"/>
      <c r="F33" s="2"/>
      <c r="G33" s="2"/>
      <c r="H33" s="2"/>
      <c r="I33" s="2"/>
      <c r="J33" s="2"/>
      <c r="K33" s="2"/>
      <c r="L33" s="2"/>
      <c r="M33" s="54"/>
      <c r="N33" s="54"/>
      <c r="Q33" s="140"/>
      <c r="R33" s="140"/>
      <c r="S33" s="140"/>
      <c r="T33" s="140"/>
      <c r="U33" s="140"/>
      <c r="V33" s="140"/>
      <c r="W33" s="141"/>
      <c r="X33" s="141"/>
      <c r="Y33" s="141"/>
      <c r="Z33" s="231"/>
      <c r="AA33" s="231"/>
      <c r="AB33" s="231"/>
      <c r="AC33" s="231"/>
      <c r="AD33" s="231"/>
      <c r="AE33" s="231"/>
    </row>
    <row r="34" spans="1:31" ht="16.5" x14ac:dyDescent="0.3">
      <c r="A34" s="2"/>
      <c r="B34" s="2" t="s">
        <v>371</v>
      </c>
      <c r="C34" s="2"/>
      <c r="D34" s="2"/>
      <c r="E34" s="2"/>
      <c r="F34" s="2"/>
      <c r="G34" s="2"/>
      <c r="H34" s="2"/>
      <c r="I34" s="2"/>
      <c r="J34" s="2"/>
      <c r="K34" s="2"/>
      <c r="L34" s="2"/>
      <c r="M34" s="54"/>
      <c r="N34" s="54"/>
      <c r="Q34" s="149" t="s">
        <v>379</v>
      </c>
      <c r="R34" s="179" t="s">
        <v>440</v>
      </c>
      <c r="S34" s="84">
        <v>229</v>
      </c>
      <c r="T34" s="66" t="s">
        <v>318</v>
      </c>
      <c r="U34" s="141"/>
      <c r="V34" s="141"/>
      <c r="W34" s="66"/>
      <c r="X34" s="140"/>
      <c r="Y34" s="140"/>
      <c r="Z34" s="231"/>
      <c r="AA34" s="231"/>
      <c r="AB34" s="231"/>
      <c r="AC34" s="231"/>
      <c r="AD34" s="231"/>
      <c r="AE34" s="231"/>
    </row>
    <row r="35" spans="1:31" ht="15" x14ac:dyDescent="0.25">
      <c r="A35" s="2"/>
      <c r="B35" s="2"/>
      <c r="C35" s="35">
        <f>D23/D24</f>
        <v>0.97299780441866479</v>
      </c>
      <c r="D35" s="2"/>
      <c r="E35" s="2"/>
      <c r="F35" s="2"/>
      <c r="G35" s="2"/>
      <c r="H35" s="2"/>
      <c r="I35" s="2"/>
      <c r="J35" s="2"/>
      <c r="K35" s="2"/>
      <c r="L35" s="2"/>
      <c r="M35" s="54"/>
      <c r="N35" s="54"/>
      <c r="Q35" s="149" t="s">
        <v>122</v>
      </c>
      <c r="R35" s="179" t="s">
        <v>440</v>
      </c>
      <c r="S35" s="92">
        <v>20575</v>
      </c>
      <c r="T35" s="66" t="s">
        <v>405</v>
      </c>
      <c r="U35" s="144" t="s">
        <v>577</v>
      </c>
      <c r="V35" s="141"/>
      <c r="W35" s="66"/>
      <c r="X35" s="140"/>
      <c r="Y35" s="140"/>
      <c r="Z35" s="231"/>
      <c r="AA35" s="231"/>
      <c r="AB35" s="231"/>
      <c r="AC35" s="231"/>
      <c r="AD35" s="231"/>
      <c r="AE35" s="231"/>
    </row>
    <row r="36" spans="1:31" ht="15" x14ac:dyDescent="0.25">
      <c r="A36" s="2"/>
      <c r="B36" s="2"/>
      <c r="C36" s="2"/>
      <c r="D36" s="2"/>
      <c r="E36" s="2"/>
      <c r="F36" s="2"/>
      <c r="G36" s="2"/>
      <c r="H36" s="2"/>
      <c r="I36" s="2"/>
      <c r="J36" s="2"/>
      <c r="K36" s="2"/>
      <c r="L36" s="2"/>
      <c r="M36" s="54"/>
      <c r="N36" s="54"/>
      <c r="Q36" s="149" t="s">
        <v>125</v>
      </c>
      <c r="R36" s="179" t="s">
        <v>440</v>
      </c>
      <c r="S36" s="148">
        <f>S35/S14</f>
        <v>979.76190476190482</v>
      </c>
      <c r="T36" s="66"/>
      <c r="U36" s="66"/>
      <c r="V36" s="66"/>
      <c r="W36" s="66"/>
      <c r="X36" s="140"/>
      <c r="Y36" s="140"/>
      <c r="Z36" s="231"/>
      <c r="AA36" s="231"/>
      <c r="AB36" s="231"/>
      <c r="AC36" s="231"/>
      <c r="AD36" s="231"/>
      <c r="AE36" s="231"/>
    </row>
    <row r="37" spans="1:31" ht="16.5" x14ac:dyDescent="0.3">
      <c r="A37" s="2"/>
      <c r="B37" s="2" t="s">
        <v>372</v>
      </c>
      <c r="C37" s="2"/>
      <c r="D37" s="2"/>
      <c r="E37" s="2"/>
      <c r="F37" s="2"/>
      <c r="G37" s="2"/>
      <c r="H37" s="2"/>
      <c r="I37" s="2"/>
      <c r="J37" s="2"/>
      <c r="K37" s="2"/>
      <c r="L37" s="2"/>
      <c r="M37" s="54"/>
      <c r="N37" s="54"/>
      <c r="Q37" s="149" t="s">
        <v>155</v>
      </c>
      <c r="R37" s="179" t="s">
        <v>440</v>
      </c>
      <c r="S37" s="181">
        <f>S22/34+S23/18</f>
        <v>25.367279499999999</v>
      </c>
      <c r="T37" s="66" t="s">
        <v>279</v>
      </c>
      <c r="U37" s="66"/>
      <c r="V37" s="66"/>
      <c r="W37" s="66"/>
      <c r="X37" s="140"/>
      <c r="Y37" s="140"/>
      <c r="Z37" s="231"/>
      <c r="AA37" s="231"/>
      <c r="AB37" s="231"/>
      <c r="AC37" s="231"/>
      <c r="AD37" s="231"/>
      <c r="AE37" s="231"/>
    </row>
    <row r="38" spans="1:31" ht="15" x14ac:dyDescent="0.25">
      <c r="A38" s="2"/>
      <c r="B38" s="2"/>
      <c r="C38" s="2"/>
      <c r="D38" s="2"/>
      <c r="E38" s="2"/>
      <c r="F38" s="2"/>
      <c r="G38" s="2"/>
      <c r="H38" s="2"/>
      <c r="I38" s="2"/>
      <c r="J38" s="2"/>
      <c r="K38" s="2"/>
      <c r="L38" s="2"/>
      <c r="M38" s="54"/>
      <c r="N38" s="54"/>
      <c r="Q38" s="149" t="s">
        <v>131</v>
      </c>
      <c r="R38" s="179" t="s">
        <v>440</v>
      </c>
      <c r="S38" s="181">
        <f>R22/34+R23/18</f>
        <v>277.34000000000003</v>
      </c>
      <c r="T38" s="66" t="s">
        <v>279</v>
      </c>
      <c r="U38" s="66"/>
      <c r="V38" s="66"/>
      <c r="W38" s="143"/>
      <c r="X38" s="66"/>
      <c r="Y38" s="66"/>
      <c r="Z38" s="231"/>
      <c r="AA38" s="231"/>
      <c r="AB38" s="231"/>
      <c r="AC38" s="231"/>
      <c r="AD38" s="231"/>
      <c r="AE38" s="231"/>
    </row>
    <row r="39" spans="1:31" ht="16.5" x14ac:dyDescent="0.3">
      <c r="A39" s="2"/>
      <c r="B39" s="2"/>
      <c r="C39" s="35">
        <f>C35*21</f>
        <v>20.432953892791961</v>
      </c>
      <c r="D39" s="2" t="s">
        <v>251</v>
      </c>
      <c r="E39" s="2"/>
      <c r="F39" s="2"/>
      <c r="G39" s="2"/>
      <c r="H39" s="2"/>
      <c r="I39" s="2"/>
      <c r="J39" s="2"/>
      <c r="K39" s="2"/>
      <c r="L39" s="2"/>
      <c r="M39" s="54"/>
      <c r="N39" s="54"/>
      <c r="Q39" s="149" t="s">
        <v>407</v>
      </c>
      <c r="R39" s="179" t="s">
        <v>440</v>
      </c>
      <c r="S39" s="199">
        <f>S36*S37/S38</f>
        <v>89.615252331245458</v>
      </c>
      <c r="T39" s="66"/>
      <c r="U39" s="66" t="s">
        <v>579</v>
      </c>
      <c r="V39" s="66"/>
      <c r="W39" s="66"/>
      <c r="X39" s="66"/>
      <c r="Y39" s="66"/>
      <c r="Z39" s="231"/>
      <c r="AA39" s="231"/>
      <c r="AB39" s="231"/>
      <c r="AC39" s="231"/>
      <c r="AD39" s="231"/>
      <c r="AE39" s="231"/>
    </row>
    <row r="40" spans="1:31" ht="15" x14ac:dyDescent="0.25">
      <c r="A40" s="2"/>
      <c r="B40" s="2"/>
      <c r="C40" s="2"/>
      <c r="D40" s="2"/>
      <c r="E40" s="2"/>
      <c r="F40" s="2"/>
      <c r="G40" s="2"/>
      <c r="H40" s="2"/>
      <c r="I40" s="2"/>
      <c r="J40" s="2"/>
      <c r="K40" s="2"/>
      <c r="L40" s="2"/>
      <c r="M40" s="54"/>
      <c r="N40" s="54"/>
      <c r="Q40" s="66"/>
      <c r="R40" s="66"/>
      <c r="S40" s="66"/>
      <c r="T40" s="66"/>
      <c r="U40" s="199"/>
      <c r="V40" s="143"/>
      <c r="W40" s="66"/>
      <c r="X40" s="66"/>
      <c r="Y40" s="66"/>
      <c r="Z40" s="231"/>
      <c r="AA40" s="231"/>
      <c r="AB40" s="231"/>
      <c r="AC40" s="231"/>
      <c r="AD40" s="231"/>
      <c r="AE40" s="231"/>
    </row>
    <row r="41" spans="1:31" ht="16.5" x14ac:dyDescent="0.3">
      <c r="A41" s="2"/>
      <c r="B41" s="2" t="s">
        <v>281</v>
      </c>
      <c r="C41" s="2"/>
      <c r="D41" s="2"/>
      <c r="E41" s="2"/>
      <c r="F41" s="2"/>
      <c r="G41" s="2"/>
      <c r="H41" s="2"/>
      <c r="I41" s="2"/>
      <c r="J41" s="2"/>
      <c r="K41" s="2"/>
      <c r="L41" s="2"/>
      <c r="M41" s="54"/>
      <c r="N41" s="54"/>
      <c r="Q41" s="66"/>
      <c r="R41" s="147" t="s">
        <v>132</v>
      </c>
      <c r="S41" s="147" t="s">
        <v>408</v>
      </c>
      <c r="T41" s="66"/>
      <c r="U41" s="66" t="s">
        <v>578</v>
      </c>
      <c r="V41" s="66"/>
      <c r="W41" s="66"/>
      <c r="X41" s="66"/>
      <c r="Y41" s="66"/>
      <c r="Z41" s="231"/>
      <c r="AA41" s="231"/>
      <c r="AB41" s="231"/>
      <c r="AC41" s="231"/>
      <c r="AD41" s="231"/>
      <c r="AE41" s="231"/>
    </row>
    <row r="42" spans="1:31" ht="15" x14ac:dyDescent="0.25">
      <c r="A42" s="2"/>
      <c r="B42" s="2"/>
      <c r="C42" s="2"/>
      <c r="D42" s="2"/>
      <c r="E42" s="2"/>
      <c r="F42" s="2"/>
      <c r="G42" s="2"/>
      <c r="H42" s="2"/>
      <c r="I42" s="2"/>
      <c r="J42" s="2"/>
      <c r="K42" s="2"/>
      <c r="L42" s="2"/>
      <c r="M42" s="54"/>
      <c r="N42" s="54"/>
      <c r="Q42" s="66"/>
      <c r="R42" s="143">
        <v>1</v>
      </c>
      <c r="S42" s="319">
        <f>($S$39^(R42+1)-$S$39)/($S$39^(R42+1)-1)</f>
        <v>0.98896433023941166</v>
      </c>
      <c r="T42" s="66"/>
      <c r="U42" s="140"/>
      <c r="V42" s="66"/>
      <c r="W42" s="66"/>
      <c r="X42" s="140"/>
      <c r="Y42" s="140"/>
      <c r="Z42" s="230"/>
      <c r="AA42" s="230"/>
      <c r="AB42" s="230"/>
      <c r="AC42" s="231"/>
      <c r="AD42" s="231"/>
      <c r="AE42" s="231"/>
    </row>
    <row r="43" spans="1:31" ht="16.5" x14ac:dyDescent="0.3">
      <c r="A43" s="2" t="s">
        <v>373</v>
      </c>
      <c r="B43" s="2"/>
      <c r="C43" s="2"/>
      <c r="D43" s="2"/>
      <c r="E43" s="2"/>
      <c r="F43" s="2"/>
      <c r="G43" s="2"/>
      <c r="H43" s="2"/>
      <c r="I43" s="2"/>
      <c r="J43" s="2"/>
      <c r="K43" s="2"/>
      <c r="L43" s="2"/>
      <c r="M43" s="54"/>
      <c r="N43" s="54"/>
      <c r="Q43" s="66"/>
      <c r="R43" s="143">
        <v>2</v>
      </c>
      <c r="S43" s="319">
        <f t="shared" ref="S43:S46" si="0">($S$39^(R43+1)-$S$39)/($S$39^(R43+1)-1)</f>
        <v>0.9998768701682651</v>
      </c>
      <c r="T43" s="66"/>
      <c r="U43" s="140"/>
      <c r="V43" s="66"/>
      <c r="W43" s="66"/>
      <c r="X43" s="66"/>
      <c r="Y43" s="66"/>
      <c r="Z43" s="231"/>
      <c r="AA43" s="231"/>
      <c r="AB43" s="231"/>
      <c r="AC43" s="231"/>
      <c r="AD43" s="231"/>
      <c r="AE43" s="231"/>
    </row>
    <row r="44" spans="1:31" ht="15" x14ac:dyDescent="0.25">
      <c r="A44" s="2"/>
      <c r="B44" s="2"/>
      <c r="C44" s="2"/>
      <c r="D44" s="2"/>
      <c r="E44" s="2"/>
      <c r="F44" s="2"/>
      <c r="G44" s="2"/>
      <c r="H44" s="2"/>
      <c r="I44" s="2"/>
      <c r="J44" s="2"/>
      <c r="K44" s="2"/>
      <c r="L44" s="2"/>
      <c r="M44" s="54"/>
      <c r="N44" s="54"/>
      <c r="Q44" s="66"/>
      <c r="R44" s="143">
        <v>3</v>
      </c>
      <c r="S44" s="319">
        <f t="shared" si="0"/>
        <v>0.99999862601890466</v>
      </c>
      <c r="T44" s="66"/>
      <c r="U44" s="143" t="s">
        <v>409</v>
      </c>
      <c r="V44" s="66"/>
      <c r="W44" s="66"/>
      <c r="X44" s="66"/>
      <c r="Y44" s="66"/>
      <c r="Z44" s="231"/>
      <c r="AA44" s="231"/>
      <c r="AB44" s="231"/>
      <c r="AC44" s="231"/>
      <c r="AD44" s="231"/>
      <c r="AE44" s="231"/>
    </row>
    <row r="45" spans="1:31" ht="15" x14ac:dyDescent="0.25">
      <c r="A45" s="2"/>
      <c r="B45" s="2" t="s">
        <v>599</v>
      </c>
      <c r="C45" s="2"/>
      <c r="D45" s="2"/>
      <c r="E45" s="2"/>
      <c r="F45" s="2"/>
      <c r="G45" s="2"/>
      <c r="H45" s="2"/>
      <c r="I45" s="2"/>
      <c r="J45" s="2"/>
      <c r="K45" s="2"/>
      <c r="L45" s="2"/>
      <c r="M45" s="54"/>
      <c r="N45" s="54"/>
      <c r="Q45" s="66"/>
      <c r="R45" s="143">
        <v>4</v>
      </c>
      <c r="S45" s="319">
        <f t="shared" si="0"/>
        <v>0.99999998466799966</v>
      </c>
      <c r="T45" s="66"/>
      <c r="U45" s="320">
        <f>S26</f>
        <v>0.99939999999999996</v>
      </c>
      <c r="V45" s="66"/>
      <c r="W45" s="66"/>
      <c r="X45" s="66"/>
      <c r="Y45" s="66"/>
      <c r="Z45" s="231"/>
      <c r="AA45" s="231"/>
      <c r="AB45" s="231"/>
      <c r="AC45" s="231"/>
      <c r="AD45" s="231"/>
      <c r="AE45" s="231"/>
    </row>
    <row r="46" spans="1:31" ht="15" x14ac:dyDescent="0.25">
      <c r="A46" s="2"/>
      <c r="B46" s="2"/>
      <c r="C46" s="2"/>
      <c r="D46" s="2"/>
      <c r="E46" s="2"/>
      <c r="F46" s="2"/>
      <c r="G46" s="2"/>
      <c r="H46" s="2"/>
      <c r="I46" s="2"/>
      <c r="J46" s="2"/>
      <c r="K46" s="2"/>
      <c r="L46" s="2"/>
      <c r="M46" s="54"/>
      <c r="N46" s="54"/>
      <c r="Q46" s="140"/>
      <c r="R46" s="143">
        <v>5</v>
      </c>
      <c r="S46" s="319">
        <f t="shared" si="0"/>
        <v>0.99999999982891308</v>
      </c>
      <c r="T46" s="66"/>
      <c r="U46" s="66"/>
      <c r="V46" s="66"/>
      <c r="W46" s="66"/>
      <c r="X46" s="66"/>
      <c r="Y46" s="66"/>
      <c r="Z46" s="231"/>
      <c r="AA46" s="231"/>
      <c r="AB46" s="231"/>
      <c r="AC46" s="231"/>
      <c r="AD46" s="231"/>
      <c r="AE46" s="231"/>
    </row>
    <row r="47" spans="1:31" ht="16.5" x14ac:dyDescent="0.3">
      <c r="A47" s="2"/>
      <c r="B47" s="31" t="s">
        <v>282</v>
      </c>
      <c r="C47" s="31" t="s">
        <v>452</v>
      </c>
      <c r="D47" s="2"/>
      <c r="E47" s="2"/>
      <c r="F47" s="2"/>
      <c r="G47" s="2"/>
      <c r="H47" s="2"/>
      <c r="I47" s="2"/>
      <c r="J47" s="2"/>
      <c r="K47" s="2"/>
      <c r="L47" s="2"/>
      <c r="M47" s="54"/>
      <c r="N47" s="54"/>
      <c r="Q47" s="140"/>
      <c r="R47" s="140"/>
      <c r="S47" s="140"/>
      <c r="T47" s="140"/>
      <c r="U47" s="140"/>
      <c r="V47" s="66"/>
      <c r="W47" s="66"/>
      <c r="X47" s="66"/>
      <c r="Y47" s="66"/>
      <c r="Z47" s="231"/>
      <c r="AA47" s="231"/>
      <c r="AB47" s="231"/>
      <c r="AC47" s="231"/>
      <c r="AD47" s="231"/>
      <c r="AE47" s="231"/>
    </row>
    <row r="48" spans="1:31" ht="15" x14ac:dyDescent="0.25">
      <c r="A48" s="2"/>
      <c r="B48" s="2">
        <v>100</v>
      </c>
      <c r="C48" s="101">
        <f>1.1*10^4</f>
        <v>11000</v>
      </c>
      <c r="D48" s="2"/>
      <c r="E48" s="2"/>
      <c r="F48" s="2"/>
      <c r="G48" s="2"/>
      <c r="H48" s="2"/>
      <c r="I48" s="2"/>
      <c r="J48" s="2"/>
      <c r="K48" s="2"/>
      <c r="L48" s="2"/>
      <c r="M48" s="54"/>
      <c r="N48" s="54"/>
      <c r="Q48" s="140"/>
      <c r="R48" s="140"/>
      <c r="S48" s="140"/>
      <c r="T48" s="140"/>
      <c r="U48" s="140"/>
      <c r="V48" s="66"/>
      <c r="W48" s="66"/>
      <c r="X48" s="66"/>
      <c r="Y48" s="66"/>
      <c r="Z48" s="231"/>
      <c r="AA48" s="231"/>
      <c r="AB48" s="231"/>
      <c r="AC48" s="231"/>
      <c r="AD48" s="231"/>
      <c r="AE48" s="231"/>
    </row>
    <row r="49" spans="1:31" ht="15" x14ac:dyDescent="0.25">
      <c r="A49" s="2"/>
      <c r="B49" s="2">
        <v>200</v>
      </c>
      <c r="C49" s="101">
        <f>1.82*10^4</f>
        <v>18200</v>
      </c>
      <c r="D49" s="2"/>
      <c r="E49" s="2"/>
      <c r="F49" s="2"/>
      <c r="G49" s="2"/>
      <c r="H49" s="2"/>
      <c r="I49" s="2"/>
      <c r="J49" s="2"/>
      <c r="K49" s="2"/>
      <c r="L49" s="2"/>
      <c r="M49" s="54"/>
      <c r="N49" s="54"/>
      <c r="Q49" s="321"/>
      <c r="R49" s="321"/>
      <c r="S49" s="321"/>
      <c r="T49" s="140"/>
      <c r="U49" s="140"/>
      <c r="V49" s="66"/>
      <c r="W49" s="66"/>
      <c r="X49" s="66"/>
      <c r="Y49" s="66"/>
      <c r="Z49" s="231"/>
      <c r="AA49" s="231"/>
      <c r="AB49" s="231"/>
      <c r="AC49" s="231"/>
      <c r="AD49" s="231"/>
      <c r="AE49" s="231"/>
    </row>
    <row r="50" spans="1:31" ht="15" x14ac:dyDescent="0.25">
      <c r="A50" s="2"/>
      <c r="B50" s="2">
        <v>300</v>
      </c>
      <c r="C50" s="101">
        <f>2.6*10^4</f>
        <v>26000</v>
      </c>
      <c r="D50" s="2"/>
      <c r="E50" s="2"/>
      <c r="F50" s="2"/>
      <c r="G50" s="2"/>
      <c r="H50" s="2"/>
      <c r="I50" s="2"/>
      <c r="J50" s="2"/>
      <c r="K50" s="2"/>
      <c r="L50" s="2"/>
      <c r="M50" s="54"/>
      <c r="N50" s="54"/>
      <c r="Q50" s="241"/>
      <c r="R50" s="244"/>
      <c r="S50" s="244"/>
      <c r="T50" s="230"/>
      <c r="U50" s="230"/>
      <c r="V50" s="230"/>
      <c r="W50" s="230"/>
      <c r="X50" s="230"/>
      <c r="Y50" s="231"/>
      <c r="Z50" s="231"/>
      <c r="AA50" s="231"/>
      <c r="AB50" s="231"/>
      <c r="AC50" s="231"/>
      <c r="AD50" s="231"/>
      <c r="AE50" s="231"/>
    </row>
    <row r="51" spans="1:31" ht="15" x14ac:dyDescent="0.25">
      <c r="A51" s="2"/>
      <c r="B51" s="2"/>
      <c r="C51" s="2"/>
      <c r="D51" s="2"/>
      <c r="E51" s="2"/>
      <c r="F51" s="2"/>
      <c r="G51" s="2"/>
      <c r="H51" s="2"/>
      <c r="I51" s="2"/>
      <c r="J51" s="2"/>
      <c r="K51" s="2"/>
      <c r="L51" s="2"/>
      <c r="M51" s="54"/>
      <c r="N51" s="54"/>
      <c r="Q51" s="241"/>
      <c r="R51" s="241"/>
      <c r="S51" s="241"/>
      <c r="T51" s="231"/>
      <c r="U51" s="231"/>
      <c r="V51" s="231"/>
      <c r="W51" s="231"/>
      <c r="X51" s="262"/>
      <c r="Y51" s="262"/>
      <c r="Z51" s="231"/>
      <c r="AA51" s="231"/>
      <c r="AB51" s="231"/>
      <c r="AC51" s="231"/>
      <c r="AD51" s="231"/>
      <c r="AE51" s="231"/>
    </row>
    <row r="52" spans="1:31" ht="18" x14ac:dyDescent="0.25">
      <c r="A52" s="2"/>
      <c r="B52" s="2" t="s">
        <v>374</v>
      </c>
      <c r="C52" s="2"/>
      <c r="D52" s="2"/>
      <c r="E52" s="2"/>
      <c r="F52" s="2"/>
      <c r="G52" s="2"/>
      <c r="H52" s="2"/>
      <c r="I52" s="2"/>
      <c r="J52" s="2"/>
      <c r="K52" s="2"/>
      <c r="L52" s="2"/>
      <c r="M52" s="54"/>
      <c r="N52" s="54"/>
      <c r="Q52" s="241"/>
      <c r="R52" s="241"/>
      <c r="S52" s="241"/>
      <c r="T52" s="231"/>
      <c r="U52" s="231"/>
      <c r="V52" s="231"/>
      <c r="W52" s="231"/>
      <c r="X52" s="231"/>
      <c r="Y52" s="231"/>
      <c r="Z52" s="231"/>
      <c r="AA52" s="231"/>
      <c r="AB52" s="231"/>
      <c r="AC52" s="231"/>
      <c r="AD52" s="231"/>
      <c r="AE52" s="231"/>
    </row>
    <row r="53" spans="1:31" ht="15" x14ac:dyDescent="0.25">
      <c r="A53" s="2"/>
      <c r="B53" s="2"/>
      <c r="C53" s="2"/>
      <c r="D53" s="2"/>
      <c r="E53" s="2"/>
      <c r="F53" s="2"/>
      <c r="G53" s="2"/>
      <c r="H53" s="2"/>
      <c r="I53" s="2"/>
      <c r="J53" s="2"/>
      <c r="K53" s="2"/>
      <c r="L53" s="2"/>
      <c r="M53" s="54"/>
      <c r="N53" s="54"/>
      <c r="Q53" s="241"/>
      <c r="R53" s="241"/>
      <c r="S53" s="241"/>
      <c r="T53" s="231"/>
      <c r="U53" s="231"/>
      <c r="V53" s="231"/>
      <c r="W53" s="231"/>
      <c r="X53" s="262"/>
      <c r="Y53" s="262"/>
      <c r="Z53" s="231"/>
      <c r="AA53" s="231"/>
      <c r="AB53" s="231"/>
      <c r="AC53" s="231"/>
      <c r="AD53" s="231"/>
      <c r="AE53" s="231"/>
    </row>
    <row r="54" spans="1:31" ht="15" x14ac:dyDescent="0.25">
      <c r="A54" s="2"/>
      <c r="B54" s="2" t="s">
        <v>125</v>
      </c>
      <c r="C54" s="36">
        <f>(2.05*10^4)/21</f>
        <v>976.19047619047615</v>
      </c>
      <c r="D54" s="2"/>
      <c r="E54" s="2"/>
      <c r="F54" s="2"/>
      <c r="G54" s="2"/>
      <c r="H54" s="2"/>
      <c r="I54" s="2"/>
      <c r="J54" s="2"/>
      <c r="K54" s="2"/>
      <c r="L54" s="2"/>
      <c r="M54" s="54"/>
      <c r="N54" s="54"/>
      <c r="Q54" s="241"/>
      <c r="R54" s="241"/>
      <c r="S54" s="241"/>
      <c r="T54" s="231"/>
      <c r="U54" s="230"/>
      <c r="V54" s="230"/>
      <c r="W54" s="230"/>
      <c r="X54" s="262"/>
      <c r="Y54" s="262"/>
      <c r="Z54" s="231"/>
      <c r="AA54" s="231"/>
      <c r="AB54" s="231"/>
      <c r="AC54" s="231"/>
      <c r="AD54" s="231"/>
      <c r="AE54" s="231"/>
    </row>
    <row r="55" spans="1:31" ht="15.75" customHeight="1" x14ac:dyDescent="0.25">
      <c r="A55" s="2"/>
      <c r="B55" s="2"/>
      <c r="C55" s="2"/>
      <c r="D55" s="2"/>
      <c r="E55" s="2"/>
      <c r="F55" s="2"/>
      <c r="G55" s="2"/>
      <c r="H55" s="2"/>
      <c r="I55" s="2"/>
      <c r="J55" s="2"/>
      <c r="K55" s="2"/>
      <c r="L55" s="2"/>
      <c r="M55" s="54"/>
      <c r="N55" s="54"/>
      <c r="Q55" s="322"/>
      <c r="R55" s="241"/>
      <c r="S55" s="241"/>
      <c r="T55" s="231"/>
      <c r="U55" s="231"/>
      <c r="V55" s="231"/>
      <c r="W55" s="231"/>
      <c r="X55" s="231"/>
      <c r="Y55" s="231"/>
      <c r="Z55" s="231"/>
      <c r="AA55" s="231"/>
      <c r="AB55" s="231"/>
      <c r="AC55" s="231"/>
      <c r="AD55" s="231"/>
      <c r="AE55" s="231"/>
    </row>
    <row r="56" spans="1:31" ht="15" x14ac:dyDescent="0.25">
      <c r="A56" s="2" t="s">
        <v>278</v>
      </c>
      <c r="B56" s="2"/>
      <c r="C56" s="2"/>
      <c r="D56" s="2"/>
      <c r="E56" s="2"/>
      <c r="F56" s="2"/>
      <c r="G56" s="2"/>
      <c r="H56" s="2"/>
      <c r="I56" s="2"/>
      <c r="J56" s="2"/>
      <c r="K56" s="2"/>
      <c r="L56" s="2"/>
      <c r="M56" s="54"/>
      <c r="N56" s="54"/>
      <c r="Q56" s="322"/>
      <c r="R56" s="241"/>
      <c r="S56" s="241"/>
      <c r="T56" s="231"/>
      <c r="U56" s="231"/>
      <c r="V56" s="231"/>
      <c r="W56" s="231"/>
      <c r="X56" s="231"/>
      <c r="Y56" s="231"/>
      <c r="Z56" s="231"/>
      <c r="AA56" s="231"/>
      <c r="AB56" s="231"/>
      <c r="AC56" s="231"/>
      <c r="AD56" s="231"/>
      <c r="AE56" s="231"/>
    </row>
    <row r="57" spans="1:31" ht="15" x14ac:dyDescent="0.25">
      <c r="A57" s="2"/>
      <c r="B57" s="2"/>
      <c r="C57" s="2"/>
      <c r="D57" s="2"/>
      <c r="E57" s="2"/>
      <c r="F57" s="2"/>
      <c r="G57" s="2"/>
      <c r="H57" s="2"/>
      <c r="I57" s="2"/>
      <c r="J57" s="2"/>
      <c r="K57" s="2"/>
      <c r="L57" s="2"/>
      <c r="M57" s="54"/>
      <c r="N57" s="54"/>
      <c r="Q57" s="322"/>
      <c r="R57" s="241"/>
      <c r="S57" s="234"/>
      <c r="T57" s="323"/>
      <c r="U57" s="246"/>
      <c r="V57" s="231"/>
      <c r="W57" s="231"/>
      <c r="X57" s="231"/>
      <c r="Y57" s="231"/>
      <c r="Z57" s="231"/>
      <c r="AA57" s="231"/>
      <c r="AB57" s="231"/>
      <c r="AC57" s="231"/>
      <c r="AD57" s="231"/>
      <c r="AE57" s="231"/>
    </row>
    <row r="58" spans="1:31" ht="15" x14ac:dyDescent="0.25">
      <c r="A58" s="2"/>
      <c r="B58" s="2" t="s">
        <v>155</v>
      </c>
      <c r="C58" s="36">
        <f>D22/34+D23/18</f>
        <v>25.367299904191178</v>
      </c>
      <c r="D58" s="2" t="s">
        <v>279</v>
      </c>
      <c r="E58" s="2"/>
      <c r="F58" s="2"/>
      <c r="G58" s="2"/>
      <c r="H58" s="2"/>
      <c r="I58" s="2"/>
      <c r="J58" s="2"/>
      <c r="K58" s="2"/>
      <c r="L58" s="2"/>
      <c r="M58" s="54"/>
      <c r="N58" s="54"/>
      <c r="Q58" s="231"/>
      <c r="R58" s="231"/>
      <c r="S58" s="231"/>
      <c r="T58" s="231"/>
      <c r="U58" s="231"/>
      <c r="V58" s="231"/>
      <c r="W58" s="231"/>
      <c r="X58" s="231"/>
      <c r="Y58" s="231"/>
      <c r="Z58" s="231"/>
      <c r="AA58" s="231"/>
      <c r="AB58" s="231"/>
      <c r="AC58" s="231"/>
      <c r="AD58" s="231"/>
      <c r="AE58" s="231"/>
    </row>
    <row r="59" spans="1:31" ht="15" x14ac:dyDescent="0.25">
      <c r="A59" s="2"/>
      <c r="B59" s="2"/>
      <c r="C59" s="2"/>
      <c r="D59" s="2"/>
      <c r="E59" s="2"/>
      <c r="F59" s="2"/>
      <c r="G59" s="2"/>
      <c r="H59" s="2"/>
      <c r="I59" s="2"/>
      <c r="J59" s="2"/>
      <c r="K59" s="2"/>
      <c r="L59" s="2"/>
      <c r="M59" s="54"/>
      <c r="N59" s="54"/>
      <c r="Q59" s="231"/>
      <c r="R59" s="230"/>
      <c r="S59" s="230"/>
      <c r="T59" s="231"/>
      <c r="U59" s="231"/>
      <c r="V59" s="231"/>
      <c r="W59" s="231"/>
      <c r="X59" s="231"/>
      <c r="Y59" s="231"/>
      <c r="Z59" s="231"/>
      <c r="AA59" s="231"/>
      <c r="AB59" s="231"/>
      <c r="AC59" s="231"/>
      <c r="AD59" s="231"/>
      <c r="AE59" s="231"/>
    </row>
    <row r="60" spans="1:31" ht="15" x14ac:dyDescent="0.25">
      <c r="A60" s="2" t="s">
        <v>600</v>
      </c>
      <c r="B60" s="2"/>
      <c r="C60" s="2"/>
      <c r="D60" s="2"/>
      <c r="E60" s="2"/>
      <c r="F60" s="2"/>
      <c r="G60" s="2"/>
      <c r="H60" s="2"/>
      <c r="I60" s="2"/>
      <c r="J60" s="2"/>
      <c r="K60" s="2"/>
      <c r="L60" s="2"/>
      <c r="M60" s="54"/>
      <c r="N60" s="54"/>
      <c r="Q60" s="231"/>
      <c r="R60" s="231"/>
      <c r="S60" s="231"/>
      <c r="T60" s="231"/>
      <c r="U60" s="231"/>
      <c r="V60" s="231"/>
      <c r="W60" s="231"/>
      <c r="X60" s="231"/>
      <c r="Y60" s="231"/>
      <c r="Z60" s="231"/>
      <c r="AA60" s="231"/>
      <c r="AB60" s="231"/>
      <c r="AC60" s="231"/>
      <c r="AD60" s="231"/>
      <c r="AE60" s="231"/>
    </row>
    <row r="61" spans="1:31" ht="15" x14ac:dyDescent="0.25">
      <c r="A61" s="2"/>
      <c r="B61" s="2"/>
      <c r="C61" s="2"/>
      <c r="D61" s="2"/>
      <c r="E61" s="2"/>
      <c r="F61" s="2"/>
      <c r="G61" s="2"/>
      <c r="H61" s="2"/>
      <c r="I61" s="2"/>
      <c r="J61" s="2"/>
      <c r="K61" s="2"/>
      <c r="L61" s="2"/>
      <c r="M61" s="54"/>
      <c r="N61" s="54"/>
      <c r="Q61" s="231"/>
      <c r="R61" s="231"/>
      <c r="S61" s="231"/>
      <c r="T61" s="231"/>
      <c r="U61" s="231"/>
      <c r="V61" s="231"/>
      <c r="W61" s="231"/>
      <c r="X61" s="231"/>
      <c r="Y61" s="231"/>
      <c r="Z61" s="231"/>
      <c r="AA61" s="231"/>
      <c r="AB61" s="231"/>
      <c r="AC61" s="231"/>
      <c r="AD61" s="231"/>
      <c r="AE61" s="231"/>
    </row>
    <row r="62" spans="1:31" ht="15" x14ac:dyDescent="0.25">
      <c r="A62" s="2"/>
      <c r="B62" s="2" t="s">
        <v>131</v>
      </c>
      <c r="C62" s="36">
        <f>C22/34+C23/18</f>
        <v>277.34000000000003</v>
      </c>
      <c r="D62" s="2" t="s">
        <v>279</v>
      </c>
      <c r="E62" s="2"/>
      <c r="F62" s="2"/>
      <c r="G62" s="2"/>
      <c r="H62" s="2"/>
      <c r="I62" s="2"/>
      <c r="J62" s="2"/>
      <c r="K62" s="2"/>
      <c r="L62" s="2"/>
      <c r="M62" s="54"/>
      <c r="N62" s="54"/>
      <c r="Q62" s="231"/>
      <c r="R62" s="231"/>
      <c r="S62" s="231"/>
      <c r="T62" s="231"/>
      <c r="U62" s="231"/>
      <c r="V62" s="231"/>
      <c r="W62" s="231"/>
      <c r="X62" s="231"/>
      <c r="Y62" s="231"/>
      <c r="Z62" s="231"/>
      <c r="AA62" s="231"/>
      <c r="AB62" s="231"/>
      <c r="AC62" s="231"/>
      <c r="AD62" s="231"/>
      <c r="AE62" s="231"/>
    </row>
    <row r="63" spans="1:31" ht="15" x14ac:dyDescent="0.25">
      <c r="A63" s="2"/>
      <c r="B63" s="2"/>
      <c r="C63" s="2"/>
      <c r="D63" s="2"/>
      <c r="E63" s="2"/>
      <c r="F63" s="2"/>
      <c r="G63" s="2"/>
      <c r="H63" s="2"/>
      <c r="I63" s="2"/>
      <c r="J63" s="2"/>
      <c r="K63" s="2"/>
      <c r="L63" s="2"/>
      <c r="M63" s="54"/>
      <c r="N63" s="54"/>
      <c r="Q63" s="231"/>
      <c r="R63" s="230"/>
      <c r="S63" s="230"/>
      <c r="T63" s="230"/>
      <c r="U63" s="231"/>
      <c r="V63" s="231"/>
      <c r="W63" s="231"/>
      <c r="X63" s="231"/>
      <c r="Y63" s="231"/>
      <c r="Z63" s="231"/>
      <c r="AA63" s="231"/>
      <c r="AB63" s="231"/>
      <c r="AC63" s="231"/>
      <c r="AD63" s="231"/>
      <c r="AE63" s="231"/>
    </row>
    <row r="64" spans="1:31" ht="15" x14ac:dyDescent="0.25">
      <c r="A64" s="2" t="s">
        <v>351</v>
      </c>
      <c r="B64" s="2"/>
      <c r="C64" s="2"/>
      <c r="D64" s="2"/>
      <c r="E64" s="2"/>
      <c r="F64" s="2"/>
      <c r="G64" s="2"/>
      <c r="H64" s="2"/>
      <c r="I64" s="2"/>
      <c r="J64" s="2"/>
      <c r="K64" s="2"/>
      <c r="L64" s="2"/>
      <c r="M64" s="54"/>
      <c r="N64" s="54"/>
      <c r="Q64" s="231"/>
      <c r="R64" s="231"/>
      <c r="S64" s="231"/>
      <c r="T64" s="231"/>
      <c r="U64" s="231"/>
      <c r="V64" s="231"/>
      <c r="W64" s="231"/>
      <c r="X64" s="231"/>
      <c r="Y64" s="231"/>
      <c r="Z64" s="231"/>
      <c r="AA64" s="231"/>
      <c r="AB64" s="231"/>
      <c r="AC64" s="231"/>
      <c r="AD64" s="231"/>
      <c r="AE64" s="231"/>
    </row>
    <row r="65" spans="1:31" ht="15" x14ac:dyDescent="0.25">
      <c r="A65" s="2"/>
      <c r="B65" s="2"/>
      <c r="C65" s="2"/>
      <c r="D65" s="2"/>
      <c r="E65" s="2"/>
      <c r="F65" s="2"/>
      <c r="G65" s="2"/>
      <c r="H65" s="2"/>
      <c r="I65" s="2"/>
      <c r="J65" s="2"/>
      <c r="K65" s="2"/>
      <c r="L65" s="2"/>
      <c r="M65" s="54"/>
      <c r="N65" s="54"/>
      <c r="Q65" s="231"/>
      <c r="R65" s="231"/>
      <c r="S65" s="231"/>
      <c r="T65" s="231"/>
      <c r="U65" s="231"/>
      <c r="V65" s="231"/>
      <c r="W65" s="231"/>
      <c r="X65" s="231"/>
      <c r="Y65" s="231"/>
      <c r="Z65" s="231"/>
      <c r="AA65" s="231"/>
      <c r="AB65" s="231"/>
      <c r="AC65" s="231"/>
      <c r="AD65" s="231"/>
      <c r="AE65" s="231"/>
    </row>
    <row r="66" spans="1:31" ht="16.5" x14ac:dyDescent="0.3">
      <c r="A66" s="2"/>
      <c r="B66" s="2" t="s">
        <v>407</v>
      </c>
      <c r="C66" s="36">
        <f>C54*C58/C62</f>
        <v>89.288658589237059</v>
      </c>
      <c r="D66" s="2"/>
      <c r="E66" s="2"/>
      <c r="F66" s="2"/>
      <c r="G66" s="2"/>
      <c r="H66" s="2"/>
      <c r="I66" s="2"/>
      <c r="J66" s="2"/>
      <c r="K66" s="2"/>
      <c r="L66" s="2"/>
      <c r="M66" s="54"/>
      <c r="N66" s="54"/>
      <c r="Q66" s="231"/>
      <c r="R66" s="231"/>
      <c r="S66" s="231"/>
      <c r="T66" s="231"/>
      <c r="U66" s="231"/>
      <c r="V66" s="231"/>
      <c r="W66" s="231"/>
      <c r="X66" s="231"/>
      <c r="Y66" s="231"/>
      <c r="Z66" s="231"/>
      <c r="AA66" s="231"/>
      <c r="AB66" s="231"/>
      <c r="AC66" s="231"/>
      <c r="AD66" s="231"/>
      <c r="AE66" s="231"/>
    </row>
    <row r="67" spans="1:31" ht="15" x14ac:dyDescent="0.25">
      <c r="A67" s="2"/>
      <c r="B67" s="2"/>
      <c r="C67" s="2"/>
      <c r="D67" s="2"/>
      <c r="E67" s="2"/>
      <c r="F67" s="2"/>
      <c r="G67" s="2"/>
      <c r="H67" s="2"/>
      <c r="I67" s="2"/>
      <c r="J67" s="2"/>
      <c r="K67" s="2"/>
      <c r="L67" s="2"/>
      <c r="M67" s="54"/>
      <c r="N67" s="54"/>
      <c r="Q67" s="231"/>
      <c r="R67" s="230"/>
      <c r="S67" s="230"/>
      <c r="T67" s="230"/>
      <c r="U67" s="231"/>
      <c r="V67" s="231"/>
      <c r="W67" s="231"/>
      <c r="X67" s="231"/>
      <c r="Y67" s="231"/>
      <c r="Z67" s="231"/>
      <c r="AA67" s="231"/>
      <c r="AB67" s="231"/>
      <c r="AC67" s="231"/>
      <c r="AD67" s="231"/>
      <c r="AE67" s="231"/>
    </row>
    <row r="68" spans="1:31" ht="15" x14ac:dyDescent="0.25">
      <c r="A68" s="2" t="s">
        <v>352</v>
      </c>
      <c r="B68" s="2"/>
      <c r="C68" s="2"/>
      <c r="D68" s="2"/>
      <c r="E68" s="2"/>
      <c r="F68" s="2"/>
      <c r="G68" s="2"/>
      <c r="H68" s="2"/>
      <c r="I68" s="2"/>
      <c r="J68" s="2"/>
      <c r="K68" s="2"/>
      <c r="L68" s="2"/>
      <c r="M68" s="54"/>
      <c r="N68" s="54"/>
      <c r="Q68" s="231"/>
      <c r="R68" s="231"/>
      <c r="S68" s="231"/>
      <c r="T68" s="231"/>
      <c r="U68" s="231"/>
      <c r="V68" s="231"/>
      <c r="W68" s="231"/>
      <c r="X68" s="231"/>
      <c r="Y68" s="231"/>
      <c r="Z68" s="231"/>
      <c r="AA68" s="231"/>
      <c r="AB68" s="231"/>
      <c r="AC68" s="231"/>
      <c r="AD68" s="231"/>
      <c r="AE68" s="231"/>
    </row>
    <row r="69" spans="1:31" ht="15" x14ac:dyDescent="0.25">
      <c r="A69" s="2"/>
      <c r="B69" s="2"/>
      <c r="C69" s="2"/>
      <c r="D69" s="2"/>
      <c r="E69" s="2"/>
      <c r="F69" s="2"/>
      <c r="G69" s="2"/>
      <c r="H69" s="2"/>
      <c r="I69" s="2"/>
      <c r="J69" s="2"/>
      <c r="K69" s="2"/>
      <c r="L69" s="2"/>
      <c r="M69" s="54"/>
      <c r="N69" s="54"/>
      <c r="Q69" s="231"/>
      <c r="R69" s="231"/>
      <c r="S69" s="231"/>
      <c r="T69" s="231"/>
      <c r="U69" s="231"/>
      <c r="V69" s="231"/>
      <c r="W69" s="231"/>
      <c r="X69" s="231"/>
      <c r="Y69" s="231"/>
      <c r="Z69" s="231"/>
      <c r="AA69" s="231"/>
      <c r="AB69" s="231"/>
      <c r="AC69" s="231"/>
      <c r="AD69" s="231"/>
      <c r="AE69" s="231"/>
    </row>
    <row r="70" spans="1:31" ht="15" x14ac:dyDescent="0.25">
      <c r="A70" s="2"/>
      <c r="B70" s="2"/>
      <c r="C70" s="25" t="s">
        <v>132</v>
      </c>
      <c r="D70" s="2" t="s">
        <v>280</v>
      </c>
      <c r="E70" s="2"/>
      <c r="F70" s="2"/>
      <c r="G70" s="2"/>
      <c r="H70" s="2"/>
      <c r="I70" s="2"/>
      <c r="J70" s="2"/>
      <c r="K70" s="2"/>
      <c r="L70" s="2"/>
      <c r="M70" s="54"/>
      <c r="N70" s="54"/>
      <c r="Q70" s="231"/>
      <c r="R70" s="231"/>
      <c r="S70" s="246"/>
      <c r="T70" s="246"/>
      <c r="U70" s="246"/>
      <c r="V70" s="246"/>
      <c r="W70" s="246"/>
      <c r="X70" s="231"/>
      <c r="Y70" s="231"/>
      <c r="Z70" s="231"/>
      <c r="AA70" s="231"/>
      <c r="AB70" s="231"/>
      <c r="AC70" s="231"/>
      <c r="AD70" s="231"/>
      <c r="AE70" s="231"/>
    </row>
    <row r="71" spans="1:31" ht="15" x14ac:dyDescent="0.25">
      <c r="A71" s="2"/>
      <c r="B71" s="2"/>
      <c r="C71" s="2">
        <v>1</v>
      </c>
      <c r="D71" s="65">
        <f>($C$66^(C71+1)-$C$66)/($C$66^(C71+1)-1)</f>
        <v>0.98892441181843838</v>
      </c>
      <c r="E71" s="2"/>
      <c r="F71" s="2"/>
      <c r="G71" s="2"/>
      <c r="H71" s="2"/>
      <c r="I71" s="2"/>
      <c r="J71" s="2"/>
      <c r="K71" s="2"/>
      <c r="L71" s="2"/>
      <c r="M71" s="54"/>
      <c r="N71" s="54"/>
      <c r="Q71" s="231"/>
      <c r="R71" s="231"/>
      <c r="S71" s="324"/>
      <c r="T71" s="246"/>
      <c r="U71" s="325"/>
      <c r="V71" s="323"/>
      <c r="W71" s="325"/>
      <c r="X71" s="231"/>
      <c r="Y71" s="231"/>
      <c r="Z71" s="231"/>
      <c r="AA71" s="231"/>
      <c r="AB71" s="231"/>
      <c r="AC71" s="231"/>
      <c r="AD71" s="231"/>
      <c r="AE71" s="231"/>
    </row>
    <row r="72" spans="1:31" ht="15" x14ac:dyDescent="0.25">
      <c r="A72" s="2"/>
      <c r="B72" s="2"/>
      <c r="C72" s="2">
        <v>2</v>
      </c>
      <c r="D72" s="65">
        <f>($C$66^(C72+1)-$C$66)/($C$66^(C72+1)-1)</f>
        <v>0.99987597288744934</v>
      </c>
      <c r="E72" s="2"/>
      <c r="F72" s="2"/>
      <c r="G72" s="2"/>
      <c r="H72" s="2"/>
      <c r="I72" s="2"/>
      <c r="J72" s="2"/>
      <c r="K72" s="2"/>
      <c r="L72" s="2"/>
      <c r="M72" s="54"/>
      <c r="N72" s="54"/>
      <c r="Q72" s="231"/>
      <c r="R72" s="231"/>
      <c r="S72" s="231"/>
      <c r="T72" s="231"/>
      <c r="U72" s="231"/>
      <c r="V72" s="231"/>
      <c r="W72" s="231"/>
      <c r="X72" s="231"/>
      <c r="Y72" s="231"/>
      <c r="Z72" s="231"/>
      <c r="AA72" s="231"/>
      <c r="AB72" s="231"/>
      <c r="AC72" s="231"/>
      <c r="AD72" s="231"/>
      <c r="AE72" s="231"/>
    </row>
    <row r="73" spans="1:31" ht="15" x14ac:dyDescent="0.25">
      <c r="A73" s="2"/>
      <c r="B73" s="2"/>
      <c r="C73" s="2">
        <v>3</v>
      </c>
      <c r="D73" s="65">
        <f>($C$66^(C73+1)-$C$66)/($C$66^(C73+1)-1)</f>
        <v>0.99999861094407472</v>
      </c>
      <c r="E73" s="2"/>
      <c r="F73" s="2"/>
      <c r="G73" s="2"/>
      <c r="H73" s="2"/>
      <c r="I73" s="2"/>
      <c r="J73" s="2"/>
      <c r="K73" s="2"/>
      <c r="L73" s="2"/>
      <c r="M73" s="54"/>
      <c r="N73" s="54"/>
      <c r="Q73" s="231"/>
      <c r="R73" s="230"/>
      <c r="S73" s="230"/>
      <c r="T73" s="231"/>
      <c r="U73" s="231"/>
      <c r="V73" s="231"/>
      <c r="W73" s="231"/>
      <c r="X73" s="231"/>
      <c r="Y73" s="231"/>
      <c r="Z73" s="231"/>
      <c r="AA73" s="231"/>
      <c r="AB73" s="231"/>
      <c r="AC73" s="231"/>
      <c r="AD73" s="231"/>
      <c r="AE73" s="231"/>
    </row>
    <row r="74" spans="1:31" ht="15" x14ac:dyDescent="0.25">
      <c r="A74" s="2"/>
      <c r="B74" s="2"/>
      <c r="C74" s="2"/>
      <c r="D74" s="65"/>
      <c r="E74" s="2"/>
      <c r="F74" s="2"/>
      <c r="G74" s="2"/>
      <c r="H74" s="2"/>
      <c r="I74" s="2"/>
      <c r="J74" s="2"/>
      <c r="K74" s="2"/>
      <c r="L74" s="2"/>
      <c r="M74" s="54"/>
      <c r="N74" s="54"/>
      <c r="Q74" s="231"/>
      <c r="R74" s="231"/>
      <c r="S74" s="231"/>
      <c r="T74" s="231"/>
      <c r="U74" s="231"/>
      <c r="V74" s="231"/>
      <c r="W74" s="231"/>
      <c r="X74" s="231"/>
      <c r="Y74" s="231"/>
      <c r="Z74" s="231"/>
      <c r="AA74" s="231"/>
      <c r="AB74" s="231"/>
      <c r="AC74" s="231"/>
      <c r="AD74" s="231"/>
      <c r="AE74" s="231"/>
    </row>
    <row r="75" spans="1:31" ht="16.5" x14ac:dyDescent="0.3">
      <c r="A75" s="2" t="s">
        <v>375</v>
      </c>
      <c r="B75" s="2"/>
      <c r="C75" s="2"/>
      <c r="D75" s="2"/>
      <c r="E75" s="2"/>
      <c r="F75" s="2"/>
      <c r="G75" s="2"/>
      <c r="H75" s="2"/>
      <c r="I75" s="2"/>
      <c r="J75" s="2"/>
      <c r="K75" s="2"/>
      <c r="L75" s="2"/>
      <c r="M75" s="54"/>
      <c r="N75" s="54"/>
      <c r="Q75" s="231"/>
      <c r="R75" s="231"/>
      <c r="S75" s="231"/>
      <c r="T75" s="231"/>
      <c r="U75" s="231"/>
      <c r="V75" s="231"/>
      <c r="W75" s="231"/>
      <c r="X75" s="231"/>
      <c r="Y75" s="231"/>
      <c r="Z75" s="231"/>
      <c r="AA75" s="231"/>
      <c r="AB75" s="231"/>
      <c r="AC75" s="231"/>
      <c r="AD75" s="231"/>
      <c r="AE75" s="231"/>
    </row>
    <row r="76" spans="1:31" ht="15" x14ac:dyDescent="0.25">
      <c r="A76" s="302"/>
      <c r="B76" s="302"/>
      <c r="C76" s="302"/>
      <c r="D76" s="302"/>
      <c r="E76" s="302"/>
      <c r="F76" s="302"/>
      <c r="G76" s="302"/>
      <c r="H76" s="302"/>
      <c r="I76" s="302"/>
      <c r="J76" s="302"/>
      <c r="K76" s="302"/>
      <c r="L76" s="302"/>
      <c r="Q76" s="231"/>
      <c r="R76" s="231"/>
      <c r="S76" s="241"/>
      <c r="T76" s="241"/>
      <c r="U76" s="231"/>
      <c r="V76" s="231"/>
      <c r="W76" s="231"/>
      <c r="X76" s="231"/>
      <c r="Y76" s="231"/>
      <c r="Z76" s="231"/>
      <c r="AA76" s="231"/>
      <c r="AB76" s="231"/>
      <c r="AC76" s="231"/>
      <c r="AD76" s="231"/>
      <c r="AE76" s="231"/>
    </row>
    <row r="77" spans="1:31" ht="15" x14ac:dyDescent="0.25">
      <c r="A77" s="129" t="s">
        <v>723</v>
      </c>
      <c r="Q77" s="231"/>
      <c r="R77" s="231"/>
      <c r="S77" s="230"/>
      <c r="T77" s="230"/>
      <c r="U77" s="230"/>
      <c r="V77" s="230"/>
      <c r="W77" s="230"/>
      <c r="X77" s="231"/>
      <c r="Y77" s="231"/>
      <c r="Z77" s="231"/>
      <c r="AA77" s="231"/>
      <c r="AB77" s="231"/>
      <c r="AC77" s="231"/>
      <c r="AD77" s="231"/>
      <c r="AE77" s="231"/>
    </row>
    <row r="78" spans="1:31" ht="15" x14ac:dyDescent="0.25">
      <c r="A78" s="129" t="s">
        <v>724</v>
      </c>
      <c r="Q78" s="231"/>
      <c r="R78" s="231"/>
      <c r="S78" s="230"/>
      <c r="T78" s="230"/>
      <c r="U78" s="230"/>
      <c r="V78" s="230"/>
      <c r="W78" s="230"/>
      <c r="X78" s="231"/>
      <c r="Y78" s="231"/>
      <c r="Z78" s="231"/>
      <c r="AA78" s="231"/>
      <c r="AB78" s="231"/>
      <c r="AC78" s="231"/>
      <c r="AD78" s="231"/>
      <c r="AE78" s="231"/>
    </row>
    <row r="79" spans="1:31" ht="15" x14ac:dyDescent="0.25">
      <c r="A79" s="129" t="s">
        <v>725</v>
      </c>
      <c r="Q79" s="231"/>
      <c r="R79" s="231"/>
      <c r="S79" s="230"/>
      <c r="T79" s="230"/>
      <c r="U79" s="230"/>
      <c r="V79" s="230"/>
      <c r="W79" s="230"/>
      <c r="X79" s="231"/>
      <c r="Y79" s="231"/>
      <c r="Z79" s="231"/>
      <c r="AA79" s="231"/>
      <c r="AB79" s="231"/>
      <c r="AC79" s="231"/>
      <c r="AD79" s="231"/>
      <c r="AE79" s="231"/>
    </row>
    <row r="80" spans="1:31" ht="15" x14ac:dyDescent="0.25">
      <c r="A80" s="129" t="s">
        <v>684</v>
      </c>
      <c r="Q80" s="231"/>
      <c r="R80" s="231"/>
      <c r="S80" s="230"/>
      <c r="T80" s="230"/>
      <c r="U80" s="230"/>
      <c r="V80" s="230"/>
      <c r="W80" s="230"/>
      <c r="X80" s="231"/>
      <c r="Y80" s="231"/>
      <c r="Z80" s="231"/>
      <c r="AA80" s="231"/>
      <c r="AB80" s="231"/>
      <c r="AC80" s="231"/>
      <c r="AD80" s="231"/>
      <c r="AE80" s="231"/>
    </row>
    <row r="81" spans="1:31" ht="15" x14ac:dyDescent="0.25">
      <c r="A81" s="130" t="s">
        <v>726</v>
      </c>
      <c r="Q81" s="231"/>
      <c r="R81" s="231"/>
      <c r="S81" s="230"/>
      <c r="T81" s="230"/>
      <c r="U81" s="230"/>
      <c r="V81" s="230"/>
      <c r="W81" s="230"/>
      <c r="X81" s="231"/>
      <c r="Y81" s="231"/>
      <c r="Z81" s="231"/>
      <c r="AA81" s="231"/>
      <c r="AB81" s="231"/>
      <c r="AC81" s="231"/>
      <c r="AD81" s="231"/>
      <c r="AE81" s="231"/>
    </row>
    <row r="82" spans="1:31" ht="15" x14ac:dyDescent="0.25">
      <c r="Q82" s="231"/>
      <c r="R82" s="231"/>
      <c r="S82" s="230"/>
      <c r="T82" s="230"/>
      <c r="U82" s="230"/>
      <c r="V82" s="230"/>
      <c r="W82" s="230"/>
      <c r="X82" s="231"/>
      <c r="Y82" s="231"/>
      <c r="Z82" s="231"/>
      <c r="AA82" s="231"/>
      <c r="AB82" s="231"/>
      <c r="AC82" s="231"/>
      <c r="AD82" s="231"/>
      <c r="AE82" s="231"/>
    </row>
    <row r="83" spans="1:31" ht="15" x14ac:dyDescent="0.25">
      <c r="Q83" s="69"/>
      <c r="R83" s="231"/>
      <c r="S83" s="231"/>
      <c r="T83" s="231"/>
      <c r="U83" s="231"/>
      <c r="V83" s="231"/>
      <c r="W83" s="231"/>
      <c r="X83" s="231"/>
      <c r="Y83" s="231"/>
      <c r="Z83" s="231"/>
      <c r="AA83" s="231"/>
      <c r="AB83" s="231"/>
      <c r="AC83" s="231"/>
      <c r="AD83" s="231"/>
      <c r="AE83" s="231"/>
    </row>
  </sheetData>
  <sheetProtection password="E156" sheet="1" objects="1" scenarios="1"/>
  <mergeCells count="4">
    <mergeCell ref="A6:L8"/>
    <mergeCell ref="A31:I32"/>
    <mergeCell ref="Q8:X8"/>
    <mergeCell ref="Q6:X6"/>
  </mergeCells>
  <phoneticPr fontId="3"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workbookViewId="0">
      <selection activeCell="L27" sqref="L27"/>
    </sheetView>
  </sheetViews>
  <sheetFormatPr defaultRowHeight="15" x14ac:dyDescent="0.25"/>
  <cols>
    <col min="1" max="16384" width="9.140625" style="61"/>
  </cols>
  <sheetData>
    <row r="1" spans="1:1" x14ac:dyDescent="0.25">
      <c r="A1" s="120" t="s">
        <v>717</v>
      </c>
    </row>
    <row r="5" spans="1:1" x14ac:dyDescent="0.25">
      <c r="A5" s="326" t="s">
        <v>471</v>
      </c>
    </row>
    <row r="7" spans="1:1" x14ac:dyDescent="0.25">
      <c r="A7" s="61" t="s">
        <v>356</v>
      </c>
    </row>
    <row r="8" spans="1:1" x14ac:dyDescent="0.25">
      <c r="A8" s="61" t="s">
        <v>472</v>
      </c>
    </row>
    <row r="10" spans="1:1" x14ac:dyDescent="0.25">
      <c r="A10" s="61" t="s">
        <v>384</v>
      </c>
    </row>
    <row r="11" spans="1:1" x14ac:dyDescent="0.25">
      <c r="A11" s="61" t="s">
        <v>475</v>
      </c>
    </row>
    <row r="13" spans="1:1" x14ac:dyDescent="0.25">
      <c r="A13" s="61" t="s">
        <v>385</v>
      </c>
    </row>
    <row r="14" spans="1:1" x14ac:dyDescent="0.25">
      <c r="A14" s="61" t="s">
        <v>473</v>
      </c>
    </row>
    <row r="16" spans="1:1" x14ac:dyDescent="0.25">
      <c r="A16" s="61" t="s">
        <v>386</v>
      </c>
    </row>
    <row r="17" spans="1:4" x14ac:dyDescent="0.25">
      <c r="A17" s="61" t="s">
        <v>474</v>
      </c>
    </row>
    <row r="19" spans="1:4" x14ac:dyDescent="0.25">
      <c r="A19" s="61" t="s">
        <v>410</v>
      </c>
    </row>
    <row r="20" spans="1:4" x14ac:dyDescent="0.25">
      <c r="A20" s="61" t="s">
        <v>476</v>
      </c>
    </row>
    <row r="21" spans="1:4" x14ac:dyDescent="0.25">
      <c r="A21" s="61" t="s">
        <v>713</v>
      </c>
    </row>
    <row r="23" spans="1:4" x14ac:dyDescent="0.25">
      <c r="A23" s="61" t="s">
        <v>477</v>
      </c>
    </row>
    <row r="24" spans="1:4" x14ac:dyDescent="0.25">
      <c r="A24" s="61" t="s">
        <v>714</v>
      </c>
    </row>
    <row r="26" spans="1:4" x14ac:dyDescent="0.25">
      <c r="A26" s="61" t="s">
        <v>400</v>
      </c>
    </row>
    <row r="27" spans="1:4" x14ac:dyDescent="0.25">
      <c r="A27" s="61" t="s">
        <v>478</v>
      </c>
    </row>
    <row r="28" spans="1:4" x14ac:dyDescent="0.25">
      <c r="B28" s="61" t="s">
        <v>480</v>
      </c>
      <c r="D28" s="61" t="s">
        <v>479</v>
      </c>
    </row>
    <row r="29" spans="1:4" x14ac:dyDescent="0.25">
      <c r="B29" s="61" t="s">
        <v>481</v>
      </c>
      <c r="D29" s="61" t="s">
        <v>722</v>
      </c>
    </row>
    <row r="30" spans="1:4" x14ac:dyDescent="0.25">
      <c r="B30" s="61" t="s">
        <v>482</v>
      </c>
      <c r="D30" s="61" t="s">
        <v>716</v>
      </c>
    </row>
    <row r="31" spans="1:4" x14ac:dyDescent="0.25">
      <c r="B31" s="61" t="s">
        <v>483</v>
      </c>
      <c r="D31" s="61" t="s">
        <v>484</v>
      </c>
    </row>
    <row r="32" spans="1:4" x14ac:dyDescent="0.25">
      <c r="B32" s="61" t="s">
        <v>485</v>
      </c>
      <c r="D32" s="61" t="s">
        <v>715</v>
      </c>
    </row>
    <row r="36" spans="1:1" x14ac:dyDescent="0.25">
      <c r="A36" s="131" t="s">
        <v>723</v>
      </c>
    </row>
    <row r="37" spans="1:1" x14ac:dyDescent="0.25">
      <c r="A37" s="131" t="s">
        <v>724</v>
      </c>
    </row>
    <row r="38" spans="1:1" x14ac:dyDescent="0.25">
      <c r="A38" s="131" t="s">
        <v>725</v>
      </c>
    </row>
    <row r="39" spans="1:1" x14ac:dyDescent="0.25">
      <c r="A39" s="131" t="s">
        <v>684</v>
      </c>
    </row>
    <row r="40" spans="1:1" x14ac:dyDescent="0.25">
      <c r="A40" s="132" t="s">
        <v>726</v>
      </c>
    </row>
  </sheetData>
  <sheetProtection password="E156"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1"/>
  <sheetViews>
    <sheetView tabSelected="1" zoomScale="85" zoomScaleNormal="85" workbookViewId="0">
      <selection activeCell="L24" sqref="L24"/>
    </sheetView>
  </sheetViews>
  <sheetFormatPr defaultRowHeight="12.75" x14ac:dyDescent="0.2"/>
  <cols>
    <col min="1" max="1" width="9.140625" style="118"/>
    <col min="2" max="2" width="4.7109375" style="118" customWidth="1"/>
    <col min="3" max="3" width="45.7109375" style="62" customWidth="1"/>
    <col min="4" max="4" width="7.7109375" style="3" customWidth="1"/>
    <col min="5" max="5" width="11.28515625" style="118" customWidth="1"/>
    <col min="6" max="6" width="4.7109375" style="118" customWidth="1"/>
    <col min="7" max="7" width="45.7109375" style="62" customWidth="1"/>
    <col min="8" max="16384" width="9.140625" style="3"/>
  </cols>
  <sheetData>
    <row r="1" spans="1:10" ht="15" x14ac:dyDescent="0.25">
      <c r="A1" s="120" t="s">
        <v>717</v>
      </c>
    </row>
    <row r="5" spans="1:10" ht="14.25" x14ac:dyDescent="0.2">
      <c r="A5" s="119" t="s">
        <v>621</v>
      </c>
      <c r="B5" s="119"/>
      <c r="C5" s="119"/>
      <c r="D5" s="119"/>
      <c r="E5" s="119"/>
      <c r="F5" s="119"/>
      <c r="G5" s="119"/>
    </row>
    <row r="6" spans="1:10" ht="14.25" x14ac:dyDescent="0.2">
      <c r="A6" s="133" t="s">
        <v>620</v>
      </c>
      <c r="B6" s="133"/>
      <c r="C6" s="133"/>
      <c r="D6" s="133"/>
      <c r="E6" s="133"/>
      <c r="F6" s="133"/>
      <c r="G6" s="133"/>
    </row>
    <row r="7" spans="1:10" ht="18" x14ac:dyDescent="0.2">
      <c r="A7" s="134" t="s">
        <v>426</v>
      </c>
      <c r="B7" s="135" t="s">
        <v>440</v>
      </c>
      <c r="C7" s="134" t="s">
        <v>601</v>
      </c>
      <c r="D7" s="53"/>
      <c r="E7" s="134" t="s">
        <v>143</v>
      </c>
      <c r="F7" s="135" t="s">
        <v>440</v>
      </c>
      <c r="G7" s="134" t="s">
        <v>635</v>
      </c>
    </row>
    <row r="8" spans="1:10" ht="18" x14ac:dyDescent="0.2">
      <c r="A8" s="134" t="s">
        <v>342</v>
      </c>
      <c r="B8" s="135" t="s">
        <v>440</v>
      </c>
      <c r="C8" s="134" t="s">
        <v>602</v>
      </c>
      <c r="D8" s="53"/>
      <c r="E8" s="134" t="s">
        <v>619</v>
      </c>
      <c r="F8" s="135" t="s">
        <v>440</v>
      </c>
      <c r="G8" s="134" t="s">
        <v>663</v>
      </c>
    </row>
    <row r="9" spans="1:10" ht="18" x14ac:dyDescent="0.2">
      <c r="A9" s="134" t="s">
        <v>111</v>
      </c>
      <c r="B9" s="135" t="s">
        <v>440</v>
      </c>
      <c r="C9" s="134" t="s">
        <v>626</v>
      </c>
      <c r="D9" s="53"/>
      <c r="E9" s="134" t="s">
        <v>154</v>
      </c>
      <c r="F9" s="135" t="s">
        <v>440</v>
      </c>
      <c r="G9" s="134" t="s">
        <v>607</v>
      </c>
      <c r="J9" s="136"/>
    </row>
    <row r="10" spans="1:10" ht="18" x14ac:dyDescent="0.2">
      <c r="A10" s="134" t="s">
        <v>427</v>
      </c>
      <c r="B10" s="135" t="s">
        <v>440</v>
      </c>
      <c r="C10" s="134" t="s">
        <v>603</v>
      </c>
      <c r="D10" s="53"/>
      <c r="E10" s="134" t="s">
        <v>1</v>
      </c>
      <c r="F10" s="135" t="s">
        <v>440</v>
      </c>
      <c r="G10" s="134" t="s">
        <v>156</v>
      </c>
    </row>
    <row r="11" spans="1:10" ht="18" x14ac:dyDescent="0.2">
      <c r="A11" s="134" t="s">
        <v>428</v>
      </c>
      <c r="B11" s="135" t="s">
        <v>440</v>
      </c>
      <c r="C11" s="134" t="s">
        <v>632</v>
      </c>
      <c r="D11" s="53"/>
      <c r="E11" s="134" t="s">
        <v>416</v>
      </c>
      <c r="F11" s="135" t="s">
        <v>440</v>
      </c>
      <c r="G11" s="134" t="s">
        <v>636</v>
      </c>
    </row>
    <row r="12" spans="1:10" ht="18" x14ac:dyDescent="0.2">
      <c r="A12" s="134" t="s">
        <v>90</v>
      </c>
      <c r="B12" s="135" t="s">
        <v>440</v>
      </c>
      <c r="C12" s="134" t="s">
        <v>604</v>
      </c>
      <c r="D12" s="53"/>
      <c r="E12" s="134" t="s">
        <v>339</v>
      </c>
      <c r="F12" s="135" t="s">
        <v>440</v>
      </c>
      <c r="G12" s="134" t="s">
        <v>637</v>
      </c>
    </row>
    <row r="13" spans="1:10" ht="18" x14ac:dyDescent="0.2">
      <c r="A13" s="134" t="s">
        <v>92</v>
      </c>
      <c r="B13" s="135" t="s">
        <v>440</v>
      </c>
      <c r="C13" s="134" t="s">
        <v>605</v>
      </c>
      <c r="D13" s="53"/>
      <c r="E13" s="134" t="s">
        <v>155</v>
      </c>
      <c r="F13" s="135" t="s">
        <v>440</v>
      </c>
      <c r="G13" s="134" t="s">
        <v>648</v>
      </c>
    </row>
    <row r="14" spans="1:10" ht="18" x14ac:dyDescent="0.2">
      <c r="A14" s="134" t="s">
        <v>97</v>
      </c>
      <c r="B14" s="135" t="s">
        <v>440</v>
      </c>
      <c r="C14" s="134" t="s">
        <v>606</v>
      </c>
      <c r="D14" s="53"/>
      <c r="E14" s="134" t="s">
        <v>417</v>
      </c>
      <c r="F14" s="135" t="s">
        <v>440</v>
      </c>
      <c r="G14" s="134" t="s">
        <v>649</v>
      </c>
    </row>
    <row r="15" spans="1:10" ht="18" x14ac:dyDescent="0.2">
      <c r="A15" s="134" t="s">
        <v>43</v>
      </c>
      <c r="B15" s="135" t="s">
        <v>440</v>
      </c>
      <c r="C15" s="134" t="s">
        <v>622</v>
      </c>
      <c r="D15" s="53"/>
      <c r="E15" s="134" t="s">
        <v>418</v>
      </c>
      <c r="F15" s="135" t="s">
        <v>440</v>
      </c>
      <c r="G15" s="134" t="s">
        <v>644</v>
      </c>
    </row>
    <row r="16" spans="1:10" ht="18.75" x14ac:dyDescent="0.2">
      <c r="A16" s="134" t="s">
        <v>81</v>
      </c>
      <c r="B16" s="135" t="s">
        <v>440</v>
      </c>
      <c r="C16" s="134" t="s">
        <v>650</v>
      </c>
      <c r="D16" s="53"/>
      <c r="E16" s="134" t="s">
        <v>313</v>
      </c>
      <c r="F16" s="135" t="s">
        <v>440</v>
      </c>
      <c r="G16" s="134" t="s">
        <v>608</v>
      </c>
    </row>
    <row r="17" spans="1:7" ht="18" x14ac:dyDescent="0.2">
      <c r="A17" s="134" t="s">
        <v>112</v>
      </c>
      <c r="B17" s="135" t="s">
        <v>440</v>
      </c>
      <c r="C17" s="134" t="s">
        <v>641</v>
      </c>
      <c r="D17" s="53"/>
      <c r="E17" s="134" t="s">
        <v>366</v>
      </c>
      <c r="F17" s="135" t="s">
        <v>440</v>
      </c>
      <c r="G17" s="134" t="s">
        <v>609</v>
      </c>
    </row>
    <row r="18" spans="1:7" ht="18" x14ac:dyDescent="0.2">
      <c r="A18" s="134" t="s">
        <v>84</v>
      </c>
      <c r="B18" s="135" t="s">
        <v>440</v>
      </c>
      <c r="C18" s="134" t="s">
        <v>645</v>
      </c>
      <c r="D18" s="53"/>
      <c r="E18" s="134" t="s">
        <v>419</v>
      </c>
      <c r="F18" s="135" t="s">
        <v>440</v>
      </c>
      <c r="G18" s="134" t="s">
        <v>661</v>
      </c>
    </row>
    <row r="19" spans="1:7" ht="16.5" x14ac:dyDescent="0.2">
      <c r="A19" s="134" t="s">
        <v>3</v>
      </c>
      <c r="B19" s="135" t="s">
        <v>440</v>
      </c>
      <c r="C19" s="134" t="s">
        <v>646</v>
      </c>
      <c r="D19" s="53"/>
      <c r="E19" s="134" t="s">
        <v>420</v>
      </c>
      <c r="F19" s="135" t="s">
        <v>440</v>
      </c>
      <c r="G19" s="134" t="s">
        <v>651</v>
      </c>
    </row>
    <row r="20" spans="1:7" ht="18" x14ac:dyDescent="0.2">
      <c r="A20" s="134" t="s">
        <v>113</v>
      </c>
      <c r="B20" s="135" t="s">
        <v>440</v>
      </c>
      <c r="C20" s="134" t="s">
        <v>647</v>
      </c>
      <c r="D20" s="53"/>
      <c r="E20" s="134" t="s">
        <v>157</v>
      </c>
      <c r="F20" s="135" t="s">
        <v>440</v>
      </c>
      <c r="G20" s="134" t="s">
        <v>662</v>
      </c>
    </row>
    <row r="21" spans="1:7" ht="15" x14ac:dyDescent="0.2">
      <c r="A21" s="134" t="s">
        <v>114</v>
      </c>
      <c r="B21" s="135" t="s">
        <v>440</v>
      </c>
      <c r="C21" s="134" t="s">
        <v>117</v>
      </c>
      <c r="D21" s="53"/>
      <c r="E21" s="134" t="s">
        <v>158</v>
      </c>
      <c r="F21" s="135" t="s">
        <v>440</v>
      </c>
      <c r="G21" s="134" t="s">
        <v>161</v>
      </c>
    </row>
    <row r="22" spans="1:7" ht="18" customHeight="1" x14ac:dyDescent="0.2">
      <c r="A22" s="134" t="s">
        <v>73</v>
      </c>
      <c r="B22" s="135" t="s">
        <v>440</v>
      </c>
      <c r="C22" s="134" t="s">
        <v>652</v>
      </c>
      <c r="D22" s="53"/>
      <c r="E22" s="134" t="s">
        <v>159</v>
      </c>
      <c r="F22" s="135" t="s">
        <v>440</v>
      </c>
      <c r="G22" s="134" t="s">
        <v>653</v>
      </c>
    </row>
    <row r="23" spans="1:7" ht="30" x14ac:dyDescent="0.2">
      <c r="A23" s="134" t="s">
        <v>326</v>
      </c>
      <c r="B23" s="135" t="s">
        <v>440</v>
      </c>
      <c r="C23" s="134" t="s">
        <v>118</v>
      </c>
      <c r="D23" s="53"/>
      <c r="E23" s="134" t="s">
        <v>421</v>
      </c>
      <c r="F23" s="135" t="s">
        <v>440</v>
      </c>
      <c r="G23" s="134" t="s">
        <v>638</v>
      </c>
    </row>
    <row r="24" spans="1:7" ht="15" customHeight="1" x14ac:dyDescent="0.2">
      <c r="A24" s="134" t="s">
        <v>429</v>
      </c>
      <c r="B24" s="135" t="s">
        <v>440</v>
      </c>
      <c r="C24" s="134" t="s">
        <v>623</v>
      </c>
      <c r="D24" s="53"/>
      <c r="E24" s="134" t="s">
        <v>422</v>
      </c>
      <c r="F24" s="135" t="s">
        <v>440</v>
      </c>
      <c r="G24" s="134" t="s">
        <v>162</v>
      </c>
    </row>
    <row r="25" spans="1:7" ht="29.25" customHeight="1" x14ac:dyDescent="0.2">
      <c r="A25" s="134" t="s">
        <v>408</v>
      </c>
      <c r="B25" s="135" t="s">
        <v>440</v>
      </c>
      <c r="C25" s="134" t="s">
        <v>624</v>
      </c>
      <c r="D25" s="53"/>
      <c r="E25" s="134" t="s">
        <v>423</v>
      </c>
      <c r="F25" s="135" t="s">
        <v>440</v>
      </c>
      <c r="G25" s="134" t="s">
        <v>163</v>
      </c>
    </row>
    <row r="26" spans="1:7" ht="18" x14ac:dyDescent="0.2">
      <c r="A26" s="134" t="s">
        <v>115</v>
      </c>
      <c r="B26" s="135" t="s">
        <v>440</v>
      </c>
      <c r="C26" s="134" t="s">
        <v>633</v>
      </c>
      <c r="D26" s="53"/>
      <c r="E26" s="134" t="s">
        <v>160</v>
      </c>
      <c r="F26" s="135" t="s">
        <v>440</v>
      </c>
      <c r="G26" s="134" t="s">
        <v>164</v>
      </c>
    </row>
    <row r="27" spans="1:7" ht="30" x14ac:dyDescent="0.2">
      <c r="A27" s="134" t="s">
        <v>116</v>
      </c>
      <c r="B27" s="135" t="s">
        <v>440</v>
      </c>
      <c r="C27" s="134" t="s">
        <v>654</v>
      </c>
      <c r="D27" s="53"/>
      <c r="E27" s="134" t="s">
        <v>460</v>
      </c>
      <c r="F27" s="135" t="s">
        <v>440</v>
      </c>
      <c r="G27" s="134" t="s">
        <v>165</v>
      </c>
    </row>
    <row r="28" spans="1:7" ht="30" x14ac:dyDescent="0.2">
      <c r="A28" s="134" t="s">
        <v>321</v>
      </c>
      <c r="B28" s="135" t="s">
        <v>440</v>
      </c>
      <c r="C28" s="134" t="s">
        <v>119</v>
      </c>
      <c r="D28" s="53"/>
      <c r="E28" s="134" t="s">
        <v>424</v>
      </c>
      <c r="F28" s="135" t="s">
        <v>440</v>
      </c>
      <c r="G28" s="134" t="s">
        <v>173</v>
      </c>
    </row>
    <row r="29" spans="1:7" ht="30" x14ac:dyDescent="0.2">
      <c r="A29" s="134" t="s">
        <v>120</v>
      </c>
      <c r="B29" s="135" t="s">
        <v>440</v>
      </c>
      <c r="C29" s="134" t="s">
        <v>627</v>
      </c>
      <c r="D29" s="53"/>
      <c r="E29" s="134" t="s">
        <v>425</v>
      </c>
      <c r="F29" s="135" t="s">
        <v>440</v>
      </c>
      <c r="G29" s="134" t="s">
        <v>639</v>
      </c>
    </row>
    <row r="30" spans="1:7" ht="15" x14ac:dyDescent="0.2">
      <c r="A30" s="134" t="s">
        <v>86</v>
      </c>
      <c r="B30" s="135" t="s">
        <v>440</v>
      </c>
      <c r="C30" s="134" t="s">
        <v>126</v>
      </c>
      <c r="D30" s="53"/>
      <c r="E30" s="134" t="s">
        <v>166</v>
      </c>
      <c r="F30" s="135" t="s">
        <v>440</v>
      </c>
      <c r="G30" s="134" t="s">
        <v>174</v>
      </c>
    </row>
    <row r="31" spans="1:7" ht="18.75" x14ac:dyDescent="0.2">
      <c r="A31" s="134" t="s">
        <v>430</v>
      </c>
      <c r="B31" s="135" t="s">
        <v>440</v>
      </c>
      <c r="C31" s="134" t="s">
        <v>657</v>
      </c>
      <c r="D31" s="53"/>
      <c r="E31" s="134"/>
      <c r="F31" s="135"/>
      <c r="G31" s="134"/>
    </row>
    <row r="32" spans="1:7" ht="18" x14ac:dyDescent="0.2">
      <c r="A32" s="134" t="s">
        <v>343</v>
      </c>
      <c r="B32" s="135" t="s">
        <v>440</v>
      </c>
      <c r="C32" s="134" t="s">
        <v>658</v>
      </c>
      <c r="D32" s="53"/>
      <c r="E32" s="137" t="s">
        <v>611</v>
      </c>
      <c r="F32" s="135"/>
      <c r="G32" s="134"/>
    </row>
    <row r="33" spans="1:7" ht="18" x14ac:dyDescent="0.2">
      <c r="A33" s="134" t="s">
        <v>431</v>
      </c>
      <c r="B33" s="135" t="s">
        <v>440</v>
      </c>
      <c r="C33" s="134" t="s">
        <v>659</v>
      </c>
      <c r="D33" s="53"/>
      <c r="E33" s="134" t="s">
        <v>167</v>
      </c>
      <c r="F33" s="135" t="s">
        <v>440</v>
      </c>
      <c r="G33" s="134" t="s">
        <v>175</v>
      </c>
    </row>
    <row r="34" spans="1:7" ht="16.5" x14ac:dyDescent="0.2">
      <c r="A34" s="134" t="s">
        <v>121</v>
      </c>
      <c r="B34" s="135" t="s">
        <v>440</v>
      </c>
      <c r="C34" s="134" t="s">
        <v>127</v>
      </c>
      <c r="D34" s="53"/>
      <c r="E34" s="134" t="s">
        <v>612</v>
      </c>
      <c r="F34" s="135" t="s">
        <v>440</v>
      </c>
      <c r="G34" s="134" t="s">
        <v>630</v>
      </c>
    </row>
    <row r="35" spans="1:7" ht="15" x14ac:dyDescent="0.2">
      <c r="A35" s="134" t="s">
        <v>122</v>
      </c>
      <c r="B35" s="135" t="s">
        <v>440</v>
      </c>
      <c r="C35" s="134" t="s">
        <v>128</v>
      </c>
      <c r="D35" s="53"/>
      <c r="E35" s="134" t="s">
        <v>168</v>
      </c>
      <c r="F35" s="135" t="s">
        <v>440</v>
      </c>
      <c r="G35" s="134" t="s">
        <v>625</v>
      </c>
    </row>
    <row r="36" spans="1:7" ht="15" x14ac:dyDescent="0.2">
      <c r="A36" s="134" t="s">
        <v>123</v>
      </c>
      <c r="B36" s="135" t="s">
        <v>440</v>
      </c>
      <c r="C36" s="134" t="s">
        <v>129</v>
      </c>
      <c r="D36" s="53"/>
      <c r="E36" s="134" t="s">
        <v>169</v>
      </c>
      <c r="F36" s="135" t="s">
        <v>440</v>
      </c>
      <c r="G36" s="134" t="s">
        <v>176</v>
      </c>
    </row>
    <row r="37" spans="1:7" ht="18" x14ac:dyDescent="0.2">
      <c r="A37" s="134" t="s">
        <v>124</v>
      </c>
      <c r="B37" s="135" t="s">
        <v>440</v>
      </c>
      <c r="C37" s="134" t="s">
        <v>130</v>
      </c>
      <c r="D37" s="53"/>
      <c r="E37" s="134" t="s">
        <v>170</v>
      </c>
      <c r="F37" s="135" t="s">
        <v>440</v>
      </c>
      <c r="G37" s="134" t="s">
        <v>610</v>
      </c>
    </row>
    <row r="38" spans="1:7" ht="15" x14ac:dyDescent="0.2">
      <c r="A38" s="134" t="s">
        <v>125</v>
      </c>
      <c r="B38" s="135" t="s">
        <v>440</v>
      </c>
      <c r="C38" s="134" t="s">
        <v>634</v>
      </c>
      <c r="D38" s="53"/>
      <c r="E38" s="134" t="s">
        <v>171</v>
      </c>
      <c r="F38" s="135" t="s">
        <v>440</v>
      </c>
      <c r="G38" s="134" t="s">
        <v>177</v>
      </c>
    </row>
    <row r="39" spans="1:7" ht="16.5" x14ac:dyDescent="0.2">
      <c r="A39" s="134" t="s">
        <v>349</v>
      </c>
      <c r="B39" s="135" t="s">
        <v>440</v>
      </c>
      <c r="C39" s="134" t="s">
        <v>656</v>
      </c>
      <c r="D39" s="53"/>
      <c r="E39" s="134" t="s">
        <v>172</v>
      </c>
      <c r="F39" s="135" t="s">
        <v>440</v>
      </c>
      <c r="G39" s="134" t="s">
        <v>631</v>
      </c>
    </row>
    <row r="40" spans="1:7" ht="18" x14ac:dyDescent="0.2">
      <c r="A40" s="134" t="s">
        <v>432</v>
      </c>
      <c r="B40" s="135" t="s">
        <v>440</v>
      </c>
      <c r="C40" s="134" t="s">
        <v>660</v>
      </c>
      <c r="D40" s="53"/>
      <c r="E40" s="134"/>
      <c r="F40" s="135"/>
      <c r="G40" s="134"/>
    </row>
    <row r="41" spans="1:7" ht="15" x14ac:dyDescent="0.2">
      <c r="A41" s="134" t="s">
        <v>131</v>
      </c>
      <c r="B41" s="135" t="s">
        <v>440</v>
      </c>
      <c r="C41" s="134" t="s">
        <v>653</v>
      </c>
      <c r="D41" s="53"/>
      <c r="E41" s="137" t="s">
        <v>178</v>
      </c>
      <c r="F41" s="135"/>
      <c r="G41" s="134"/>
    </row>
    <row r="42" spans="1:7" ht="16.5" x14ac:dyDescent="0.2">
      <c r="A42" s="134" t="s">
        <v>433</v>
      </c>
      <c r="B42" s="135" t="s">
        <v>440</v>
      </c>
      <c r="C42" s="134" t="s">
        <v>135</v>
      </c>
      <c r="D42" s="53"/>
      <c r="E42" s="134" t="s">
        <v>179</v>
      </c>
      <c r="F42" s="135" t="s">
        <v>440</v>
      </c>
      <c r="G42" s="134" t="s">
        <v>640</v>
      </c>
    </row>
    <row r="43" spans="1:7" ht="16.5" x14ac:dyDescent="0.2">
      <c r="A43" s="134" t="s">
        <v>434</v>
      </c>
      <c r="B43" s="135" t="s">
        <v>440</v>
      </c>
      <c r="C43" s="134" t="s">
        <v>655</v>
      </c>
      <c r="D43" s="53"/>
      <c r="E43" s="134" t="s">
        <v>81</v>
      </c>
      <c r="F43" s="135" t="s">
        <v>440</v>
      </c>
      <c r="G43" s="134" t="s">
        <v>189</v>
      </c>
    </row>
    <row r="44" spans="1:7" ht="15" x14ac:dyDescent="0.2">
      <c r="A44" s="134" t="s">
        <v>689</v>
      </c>
      <c r="B44" s="135" t="s">
        <v>440</v>
      </c>
      <c r="C44" s="134" t="s">
        <v>690</v>
      </c>
      <c r="D44" s="53"/>
      <c r="E44" s="134" t="s">
        <v>180</v>
      </c>
      <c r="F44" s="135" t="s">
        <v>440</v>
      </c>
      <c r="G44" s="134" t="s">
        <v>190</v>
      </c>
    </row>
    <row r="45" spans="1:7" ht="15" x14ac:dyDescent="0.2">
      <c r="A45" s="134" t="s">
        <v>132</v>
      </c>
      <c r="B45" s="135" t="s">
        <v>440</v>
      </c>
      <c r="C45" s="134" t="s">
        <v>136</v>
      </c>
      <c r="D45" s="53"/>
      <c r="E45" s="134" t="s">
        <v>181</v>
      </c>
      <c r="F45" s="135" t="s">
        <v>440</v>
      </c>
      <c r="G45" s="134" t="s">
        <v>191</v>
      </c>
    </row>
    <row r="46" spans="1:7" ht="15" x14ac:dyDescent="0.2">
      <c r="A46" s="134" t="s">
        <v>133</v>
      </c>
      <c r="B46" s="135" t="s">
        <v>440</v>
      </c>
      <c r="C46" s="134" t="s">
        <v>642</v>
      </c>
      <c r="D46" s="53"/>
      <c r="E46" s="134" t="s">
        <v>182</v>
      </c>
      <c r="F46" s="135" t="s">
        <v>440</v>
      </c>
      <c r="G46" s="134" t="s">
        <v>192</v>
      </c>
    </row>
    <row r="47" spans="1:7" ht="15" x14ac:dyDescent="0.2">
      <c r="A47" s="134" t="s">
        <v>134</v>
      </c>
      <c r="B47" s="135" t="s">
        <v>440</v>
      </c>
      <c r="C47" s="134" t="s">
        <v>617</v>
      </c>
      <c r="D47" s="53"/>
      <c r="E47" s="134" t="s">
        <v>183</v>
      </c>
      <c r="F47" s="135" t="s">
        <v>440</v>
      </c>
      <c r="G47" s="134" t="s">
        <v>193</v>
      </c>
    </row>
    <row r="48" spans="1:7" ht="16.5" x14ac:dyDescent="0.2">
      <c r="A48" s="134" t="s">
        <v>435</v>
      </c>
      <c r="B48" s="135" t="s">
        <v>440</v>
      </c>
      <c r="C48" s="134" t="s">
        <v>137</v>
      </c>
      <c r="D48" s="53"/>
      <c r="E48" s="134" t="s">
        <v>73</v>
      </c>
      <c r="F48" s="135" t="s">
        <v>440</v>
      </c>
      <c r="G48" s="134" t="s">
        <v>194</v>
      </c>
    </row>
    <row r="49" spans="1:7" ht="15" x14ac:dyDescent="0.2">
      <c r="A49" s="134" t="s">
        <v>138</v>
      </c>
      <c r="B49" s="135" t="s">
        <v>440</v>
      </c>
      <c r="C49" s="134" t="s">
        <v>146</v>
      </c>
      <c r="D49" s="53"/>
      <c r="E49" s="134" t="s">
        <v>116</v>
      </c>
      <c r="F49" s="135" t="s">
        <v>440</v>
      </c>
      <c r="G49" s="134" t="s">
        <v>195</v>
      </c>
    </row>
    <row r="50" spans="1:7" ht="16.5" x14ac:dyDescent="0.2">
      <c r="A50" s="134" t="s">
        <v>618</v>
      </c>
      <c r="B50" s="135" t="s">
        <v>440</v>
      </c>
      <c r="C50" s="134" t="s">
        <v>147</v>
      </c>
      <c r="D50" s="53"/>
      <c r="E50" s="134" t="s">
        <v>184</v>
      </c>
      <c r="F50" s="135" t="s">
        <v>440</v>
      </c>
      <c r="G50" s="134" t="s">
        <v>196</v>
      </c>
    </row>
    <row r="51" spans="1:7" ht="15" x14ac:dyDescent="0.2">
      <c r="A51" s="134" t="s">
        <v>144</v>
      </c>
      <c r="B51" s="135" t="s">
        <v>440</v>
      </c>
      <c r="C51" s="134" t="s">
        <v>148</v>
      </c>
      <c r="D51" s="53"/>
      <c r="E51" s="134" t="s">
        <v>185</v>
      </c>
      <c r="F51" s="135" t="s">
        <v>440</v>
      </c>
      <c r="G51" s="134" t="s">
        <v>197</v>
      </c>
    </row>
    <row r="52" spans="1:7" ht="15" customHeight="1" x14ac:dyDescent="0.2">
      <c r="A52" s="134" t="s">
        <v>145</v>
      </c>
      <c r="B52" s="135" t="s">
        <v>440</v>
      </c>
      <c r="C52" s="134" t="s">
        <v>149</v>
      </c>
      <c r="D52" s="53"/>
      <c r="E52" s="134" t="s">
        <v>613</v>
      </c>
      <c r="F52" s="135" t="s">
        <v>440</v>
      </c>
      <c r="G52" s="134" t="s">
        <v>198</v>
      </c>
    </row>
    <row r="53" spans="1:7" ht="15" x14ac:dyDescent="0.2">
      <c r="A53" s="134" t="s">
        <v>140</v>
      </c>
      <c r="B53" s="135" t="s">
        <v>440</v>
      </c>
      <c r="C53" s="134" t="s">
        <v>710</v>
      </c>
      <c r="D53" s="53"/>
      <c r="E53" s="134" t="s">
        <v>131</v>
      </c>
      <c r="F53" s="135" t="s">
        <v>440</v>
      </c>
      <c r="G53" s="134" t="s">
        <v>199</v>
      </c>
    </row>
    <row r="54" spans="1:7" ht="16.5" x14ac:dyDescent="0.2">
      <c r="A54" s="134" t="s">
        <v>436</v>
      </c>
      <c r="B54" s="135" t="s">
        <v>440</v>
      </c>
      <c r="C54" s="134" t="s">
        <v>643</v>
      </c>
      <c r="D54" s="53"/>
      <c r="E54" s="134" t="s">
        <v>187</v>
      </c>
      <c r="F54" s="135" t="s">
        <v>440</v>
      </c>
      <c r="G54" s="134" t="s">
        <v>200</v>
      </c>
    </row>
    <row r="55" spans="1:7" ht="30" x14ac:dyDescent="0.2">
      <c r="A55" s="134" t="s">
        <v>55</v>
      </c>
      <c r="B55" s="135" t="s">
        <v>440</v>
      </c>
      <c r="C55" s="134" t="s">
        <v>150</v>
      </c>
      <c r="D55" s="53"/>
      <c r="E55" s="134" t="s">
        <v>132</v>
      </c>
      <c r="F55" s="135" t="s">
        <v>440</v>
      </c>
      <c r="G55" s="134" t="s">
        <v>203</v>
      </c>
    </row>
    <row r="56" spans="1:7" ht="15" x14ac:dyDescent="0.2">
      <c r="A56" s="134" t="s">
        <v>141</v>
      </c>
      <c r="B56" s="135" t="s">
        <v>440</v>
      </c>
      <c r="C56" s="134" t="s">
        <v>153</v>
      </c>
      <c r="D56" s="53"/>
      <c r="E56" s="134" t="s">
        <v>134</v>
      </c>
      <c r="F56" s="135" t="s">
        <v>440</v>
      </c>
      <c r="G56" s="134" t="s">
        <v>201</v>
      </c>
    </row>
    <row r="57" spans="1:7" ht="15" x14ac:dyDescent="0.2">
      <c r="A57" s="134" t="s">
        <v>142</v>
      </c>
      <c r="B57" s="135" t="s">
        <v>440</v>
      </c>
      <c r="C57" s="134" t="s">
        <v>151</v>
      </c>
      <c r="D57" s="53"/>
      <c r="E57" s="134" t="s">
        <v>188</v>
      </c>
      <c r="F57" s="135" t="s">
        <v>440</v>
      </c>
      <c r="G57" s="134" t="s">
        <v>202</v>
      </c>
    </row>
    <row r="58" spans="1:7" ht="15" x14ac:dyDescent="0.2">
      <c r="A58" s="134" t="s">
        <v>56</v>
      </c>
      <c r="B58" s="135" t="s">
        <v>440</v>
      </c>
      <c r="C58" s="134" t="s">
        <v>152</v>
      </c>
      <c r="D58" s="53"/>
      <c r="E58" s="134" t="s">
        <v>614</v>
      </c>
      <c r="F58" s="135" t="s">
        <v>440</v>
      </c>
      <c r="G58" s="134" t="s">
        <v>615</v>
      </c>
    </row>
    <row r="59" spans="1:7" ht="16.5" x14ac:dyDescent="0.2">
      <c r="A59" s="134" t="s">
        <v>407</v>
      </c>
      <c r="B59" s="135" t="s">
        <v>440</v>
      </c>
      <c r="C59" s="134" t="s">
        <v>628</v>
      </c>
      <c r="D59" s="53"/>
      <c r="E59" s="134" t="s">
        <v>154</v>
      </c>
      <c r="F59" s="135" t="s">
        <v>440</v>
      </c>
      <c r="G59" s="134" t="s">
        <v>616</v>
      </c>
    </row>
    <row r="60" spans="1:7" ht="16.5" x14ac:dyDescent="0.2">
      <c r="A60" s="134" t="s">
        <v>305</v>
      </c>
      <c r="B60" s="135" t="s">
        <v>440</v>
      </c>
      <c r="C60" s="134" t="s">
        <v>629</v>
      </c>
      <c r="D60" s="53"/>
      <c r="E60" s="138"/>
      <c r="F60" s="138"/>
      <c r="G60" s="53"/>
    </row>
    <row r="61" spans="1:7" ht="15" customHeight="1" x14ac:dyDescent="0.2">
      <c r="A61" s="134" t="s">
        <v>677</v>
      </c>
      <c r="B61" s="135" t="s">
        <v>440</v>
      </c>
      <c r="C61" s="134" t="s">
        <v>678</v>
      </c>
      <c r="D61" s="53"/>
      <c r="E61" s="138"/>
      <c r="F61" s="138"/>
      <c r="G61" s="53"/>
    </row>
  </sheetData>
  <sheetProtection password="E156" sheet="1" objects="1" scenarios="1"/>
  <mergeCells count="2">
    <mergeCell ref="A5:G5"/>
    <mergeCell ref="A6:G6"/>
  </mergeCells>
  <phoneticPr fontId="3"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8"/>
  <sheetViews>
    <sheetView zoomScale="90" zoomScaleNormal="90" workbookViewId="0">
      <selection activeCell="W34" sqref="W34"/>
    </sheetView>
  </sheetViews>
  <sheetFormatPr defaultColWidth="9.140625" defaultRowHeight="12.75" x14ac:dyDescent="0.2"/>
  <cols>
    <col min="1" max="1" width="9.140625" style="68"/>
    <col min="2" max="2" width="11.140625" style="68" customWidth="1"/>
    <col min="3" max="9" width="9.140625" style="68"/>
    <col min="10" max="10" width="25.5703125" style="68" customWidth="1"/>
    <col min="11" max="11" width="14.7109375" style="68" customWidth="1"/>
    <col min="12" max="12" width="10.5703125" style="68" bestFit="1" customWidth="1"/>
    <col min="13" max="16384" width="9.140625" style="68"/>
  </cols>
  <sheetData>
    <row r="1" spans="1:18" ht="15" x14ac:dyDescent="0.25">
      <c r="A1" s="128" t="s">
        <v>717</v>
      </c>
    </row>
    <row r="5" spans="1:18" ht="15" x14ac:dyDescent="0.25">
      <c r="A5" s="1" t="s">
        <v>353</v>
      </c>
      <c r="B5" s="2"/>
      <c r="C5" s="2"/>
      <c r="D5" s="2"/>
      <c r="E5" s="2"/>
      <c r="F5" s="2"/>
      <c r="G5" s="2"/>
      <c r="J5" s="139" t="s">
        <v>354</v>
      </c>
      <c r="K5" s="66"/>
      <c r="L5" s="66"/>
      <c r="M5" s="66"/>
      <c r="N5" s="66"/>
      <c r="O5" s="66"/>
      <c r="P5" s="66"/>
      <c r="Q5" s="66"/>
      <c r="R5" s="140"/>
    </row>
    <row r="6" spans="1:18" ht="12.75" customHeight="1" x14ac:dyDescent="0.25">
      <c r="A6" s="107" t="s">
        <v>4</v>
      </c>
      <c r="B6" s="107"/>
      <c r="C6" s="107"/>
      <c r="D6" s="107"/>
      <c r="E6" s="107"/>
      <c r="F6" s="107"/>
      <c r="G6" s="2"/>
      <c r="J6" s="66" t="s">
        <v>357</v>
      </c>
      <c r="K6" s="141"/>
      <c r="L6" s="141"/>
      <c r="M6" s="141"/>
      <c r="N6" s="141"/>
      <c r="O6" s="141"/>
      <c r="P6" s="66"/>
      <c r="Q6" s="66"/>
      <c r="R6" s="140"/>
    </row>
    <row r="7" spans="1:18" ht="15" x14ac:dyDescent="0.25">
      <c r="A7" s="107"/>
      <c r="B7" s="107"/>
      <c r="C7" s="107"/>
      <c r="D7" s="107"/>
      <c r="E7" s="107"/>
      <c r="F7" s="107"/>
      <c r="G7" s="2"/>
      <c r="J7" s="67" t="s">
        <v>376</v>
      </c>
      <c r="K7" s="66"/>
      <c r="L7" s="66"/>
      <c r="M7" s="66"/>
      <c r="N7" s="141"/>
      <c r="O7" s="141"/>
      <c r="P7" s="66"/>
      <c r="Q7" s="66"/>
      <c r="R7" s="140"/>
    </row>
    <row r="8" spans="1:18" ht="15" x14ac:dyDescent="0.25">
      <c r="A8" s="107"/>
      <c r="B8" s="107"/>
      <c r="C8" s="107"/>
      <c r="D8" s="107"/>
      <c r="E8" s="107"/>
      <c r="F8" s="107"/>
      <c r="G8" s="2"/>
      <c r="J8" s="66"/>
      <c r="K8" s="66"/>
      <c r="L8" s="66"/>
      <c r="M8" s="66"/>
      <c r="N8" s="66"/>
      <c r="O8" s="66"/>
      <c r="P8" s="66"/>
      <c r="Q8" s="66"/>
      <c r="R8" s="140"/>
    </row>
    <row r="9" spans="1:18" ht="15" x14ac:dyDescent="0.25">
      <c r="A9" s="4"/>
      <c r="B9" s="4"/>
      <c r="C9" s="4"/>
      <c r="D9" s="4"/>
      <c r="E9" s="4"/>
      <c r="F9" s="4"/>
      <c r="G9" s="2"/>
      <c r="J9" s="66"/>
      <c r="K9" s="66"/>
      <c r="L9" s="66"/>
      <c r="M9" s="66"/>
      <c r="N9" s="66"/>
      <c r="O9" s="66"/>
      <c r="P9" s="66"/>
      <c r="Q9" s="66"/>
      <c r="R9" s="140"/>
    </row>
    <row r="10" spans="1:18" ht="15" x14ac:dyDescent="0.25">
      <c r="A10" s="1" t="s">
        <v>7</v>
      </c>
      <c r="B10" s="5" t="s">
        <v>5</v>
      </c>
      <c r="C10" s="6" t="s">
        <v>6</v>
      </c>
      <c r="D10" s="2"/>
      <c r="E10" s="4"/>
      <c r="F10" s="4"/>
      <c r="G10" s="2"/>
      <c r="J10" s="66"/>
      <c r="K10" s="66"/>
      <c r="L10" s="66"/>
      <c r="M10" s="66"/>
      <c r="N10" s="66"/>
      <c r="O10" s="66"/>
      <c r="P10" s="66"/>
      <c r="Q10" s="66"/>
      <c r="R10" s="140"/>
    </row>
    <row r="11" spans="1:18" ht="16.5" x14ac:dyDescent="0.3">
      <c r="A11" s="4"/>
      <c r="B11" s="7" t="s">
        <v>283</v>
      </c>
      <c r="C11" s="8">
        <v>2.4</v>
      </c>
      <c r="D11" s="2"/>
      <c r="E11" s="4"/>
      <c r="F11" s="4"/>
      <c r="G11" s="2"/>
      <c r="J11" s="142" t="s">
        <v>535</v>
      </c>
      <c r="K11" s="66"/>
      <c r="L11" s="143"/>
      <c r="M11" s="66"/>
      <c r="N11" s="66"/>
      <c r="O11" s="66"/>
      <c r="P11" s="66"/>
      <c r="Q11" s="66"/>
      <c r="R11" s="140"/>
    </row>
    <row r="12" spans="1:18" ht="16.5" x14ac:dyDescent="0.3">
      <c r="A12" s="2"/>
      <c r="B12" s="9" t="s">
        <v>284</v>
      </c>
      <c r="C12" s="10">
        <v>162.80000000000001</v>
      </c>
      <c r="D12" s="2"/>
      <c r="E12" s="2"/>
      <c r="F12" s="2"/>
      <c r="G12" s="2"/>
      <c r="J12" s="144" t="s">
        <v>494</v>
      </c>
      <c r="K12" s="141"/>
      <c r="L12" s="91">
        <v>0.98</v>
      </c>
      <c r="M12" s="66"/>
      <c r="N12" s="141"/>
      <c r="O12" s="141"/>
      <c r="P12" s="66"/>
      <c r="Q12" s="66"/>
      <c r="R12" s="140"/>
    </row>
    <row r="13" spans="1:18" ht="16.5" x14ac:dyDescent="0.3">
      <c r="A13" s="11"/>
      <c r="B13" s="7" t="s">
        <v>285</v>
      </c>
      <c r="C13" s="10">
        <v>31</v>
      </c>
      <c r="D13" s="2"/>
      <c r="E13" s="2"/>
      <c r="F13" s="2"/>
      <c r="G13" s="2"/>
      <c r="J13" s="144" t="s">
        <v>355</v>
      </c>
      <c r="K13" s="141"/>
      <c r="L13" s="91">
        <v>0.01</v>
      </c>
      <c r="M13" s="66"/>
      <c r="N13" s="141"/>
      <c r="O13" s="141"/>
      <c r="P13" s="66"/>
      <c r="Q13" s="66"/>
      <c r="R13" s="140"/>
    </row>
    <row r="14" spans="1:18" ht="16.5" x14ac:dyDescent="0.3">
      <c r="A14" s="2"/>
      <c r="B14" s="7" t="s">
        <v>286</v>
      </c>
      <c r="C14" s="8">
        <v>76.7</v>
      </c>
      <c r="D14" s="2"/>
      <c r="E14" s="2"/>
      <c r="F14" s="2"/>
      <c r="G14" s="2"/>
      <c r="J14" s="139" t="s">
        <v>7</v>
      </c>
      <c r="K14" s="145" t="s">
        <v>5</v>
      </c>
      <c r="L14" s="145" t="s">
        <v>6</v>
      </c>
      <c r="M14" s="66"/>
      <c r="N14" s="141"/>
      <c r="O14" s="141"/>
      <c r="P14" s="66"/>
      <c r="Q14" s="66"/>
      <c r="R14" s="140"/>
    </row>
    <row r="15" spans="1:18" ht="16.5" x14ac:dyDescent="0.3">
      <c r="A15" s="2"/>
      <c r="B15" s="12" t="s">
        <v>287</v>
      </c>
      <c r="C15" s="13">
        <v>76.5</v>
      </c>
      <c r="D15" s="2"/>
      <c r="E15" s="2"/>
      <c r="F15" s="2"/>
      <c r="G15" s="2"/>
      <c r="J15" s="141"/>
      <c r="K15" s="143" t="s">
        <v>283</v>
      </c>
      <c r="L15" s="76">
        <v>2.4</v>
      </c>
      <c r="M15" s="66"/>
      <c r="N15" s="141"/>
      <c r="O15" s="141"/>
      <c r="P15" s="66"/>
      <c r="Q15" s="66"/>
      <c r="R15" s="140"/>
    </row>
    <row r="16" spans="1:18" ht="16.5" x14ac:dyDescent="0.3">
      <c r="A16" s="2"/>
      <c r="B16" s="2"/>
      <c r="C16" s="10">
        <f>SUM(C11:C15)</f>
        <v>349.40000000000003</v>
      </c>
      <c r="D16" s="2" t="s">
        <v>8</v>
      </c>
      <c r="E16" s="2"/>
      <c r="F16" s="2"/>
      <c r="G16" s="2"/>
      <c r="J16" s="66"/>
      <c r="K16" s="146" t="s">
        <v>284</v>
      </c>
      <c r="L16" s="77">
        <v>162.80000000000001</v>
      </c>
      <c r="M16" s="66"/>
      <c r="N16" s="66"/>
      <c r="O16" s="66"/>
      <c r="P16" s="66"/>
      <c r="Q16" s="66"/>
      <c r="R16" s="140"/>
    </row>
    <row r="17" spans="1:18" ht="16.5" x14ac:dyDescent="0.3">
      <c r="A17" s="2"/>
      <c r="B17" s="2"/>
      <c r="C17" s="2"/>
      <c r="D17" s="2"/>
      <c r="E17" s="2"/>
      <c r="F17" s="2"/>
      <c r="G17" s="2"/>
      <c r="J17" s="144"/>
      <c r="K17" s="143" t="s">
        <v>285</v>
      </c>
      <c r="L17" s="77">
        <v>31</v>
      </c>
      <c r="M17" s="66"/>
      <c r="N17" s="66"/>
      <c r="O17" s="66"/>
      <c r="P17" s="66"/>
      <c r="Q17" s="66"/>
      <c r="R17" s="140"/>
    </row>
    <row r="18" spans="1:18" ht="16.5" x14ac:dyDescent="0.3">
      <c r="A18" s="2" t="s">
        <v>9</v>
      </c>
      <c r="B18" s="2"/>
      <c r="C18" s="2"/>
      <c r="D18" s="2"/>
      <c r="E18" s="2"/>
      <c r="F18" s="2"/>
      <c r="G18" s="2"/>
      <c r="J18" s="66"/>
      <c r="K18" s="143" t="s">
        <v>286</v>
      </c>
      <c r="L18" s="76">
        <v>76.7</v>
      </c>
      <c r="M18" s="66"/>
      <c r="N18" s="66"/>
      <c r="O18" s="66"/>
      <c r="P18" s="66"/>
      <c r="Q18" s="66"/>
      <c r="R18" s="140"/>
    </row>
    <row r="19" spans="1:18" ht="16.5" x14ac:dyDescent="0.3">
      <c r="A19" s="2"/>
      <c r="B19" s="2"/>
      <c r="C19" s="2"/>
      <c r="D19" s="2"/>
      <c r="E19" s="2"/>
      <c r="F19" s="2"/>
      <c r="G19" s="2"/>
      <c r="J19" s="66"/>
      <c r="K19" s="147" t="s">
        <v>287</v>
      </c>
      <c r="L19" s="78">
        <v>76.5</v>
      </c>
      <c r="M19" s="66"/>
      <c r="N19" s="66"/>
      <c r="O19" s="66"/>
      <c r="P19" s="66"/>
      <c r="Q19" s="66"/>
      <c r="R19" s="140"/>
    </row>
    <row r="20" spans="1:18" ht="16.5" x14ac:dyDescent="0.3">
      <c r="A20" s="2" t="s">
        <v>664</v>
      </c>
      <c r="B20" s="2"/>
      <c r="C20" s="2"/>
      <c r="D20" s="2"/>
      <c r="E20" s="2"/>
      <c r="F20" s="2"/>
      <c r="G20" s="2"/>
      <c r="J20" s="66"/>
      <c r="K20" s="66"/>
      <c r="L20" s="148">
        <f>SUM(L15:L19)</f>
        <v>349.40000000000003</v>
      </c>
      <c r="M20" s="66" t="s">
        <v>8</v>
      </c>
      <c r="N20" s="66"/>
      <c r="O20" s="66"/>
      <c r="P20" s="66"/>
      <c r="Q20" s="66"/>
      <c r="R20" s="140"/>
    </row>
    <row r="21" spans="1:18" ht="15" x14ac:dyDescent="0.25">
      <c r="A21" s="2"/>
      <c r="B21" s="2"/>
      <c r="C21" s="2"/>
      <c r="D21" s="2"/>
      <c r="E21" s="2"/>
      <c r="F21" s="2"/>
      <c r="G21" s="2"/>
      <c r="J21" s="66"/>
      <c r="K21" s="66"/>
      <c r="L21" s="66"/>
      <c r="M21" s="66"/>
      <c r="N21" s="66"/>
      <c r="O21" s="66"/>
      <c r="P21" s="66"/>
      <c r="Q21" s="66"/>
      <c r="R21" s="140"/>
    </row>
    <row r="22" spans="1:18" ht="15" x14ac:dyDescent="0.25">
      <c r="A22" s="2"/>
      <c r="B22" s="10">
        <f>0.98*C12</f>
        <v>159.54400000000001</v>
      </c>
      <c r="C22" s="2" t="s">
        <v>8</v>
      </c>
      <c r="D22" s="2"/>
      <c r="E22" s="2"/>
      <c r="F22" s="2"/>
      <c r="G22" s="2"/>
      <c r="J22" s="66"/>
      <c r="K22" s="66"/>
      <c r="L22" s="66"/>
      <c r="M22" s="66"/>
      <c r="N22" s="66"/>
      <c r="O22" s="66"/>
      <c r="P22" s="66"/>
      <c r="Q22" s="66"/>
      <c r="R22" s="140"/>
    </row>
    <row r="23" spans="1:18" ht="15" x14ac:dyDescent="0.25">
      <c r="A23" s="2"/>
      <c r="B23" s="2"/>
      <c r="C23" s="2"/>
      <c r="D23" s="2"/>
      <c r="E23" s="2"/>
      <c r="F23" s="2"/>
      <c r="G23" s="2"/>
      <c r="J23" s="139" t="s">
        <v>486</v>
      </c>
      <c r="K23" s="66"/>
      <c r="L23" s="66"/>
      <c r="M23" s="66"/>
      <c r="N23" s="66"/>
      <c r="O23" s="66"/>
      <c r="P23" s="66"/>
      <c r="Q23" s="66"/>
      <c r="R23" s="140"/>
    </row>
    <row r="24" spans="1:18" ht="16.5" x14ac:dyDescent="0.3">
      <c r="A24" s="2" t="s">
        <v>10</v>
      </c>
      <c r="B24" s="2"/>
      <c r="C24" s="2"/>
      <c r="D24" s="2"/>
      <c r="E24" s="2"/>
      <c r="F24" s="2"/>
      <c r="G24" s="2"/>
      <c r="J24" s="149" t="s">
        <v>487</v>
      </c>
      <c r="K24" s="143" t="s">
        <v>440</v>
      </c>
      <c r="L24" s="148">
        <f>L12*L16</f>
        <v>159.54400000000001</v>
      </c>
      <c r="M24" s="143" t="s">
        <v>8</v>
      </c>
      <c r="N24" s="150"/>
      <c r="O24" s="66"/>
      <c r="P24" s="66"/>
      <c r="Q24" s="66"/>
      <c r="R24" s="140"/>
    </row>
    <row r="25" spans="1:18" ht="16.5" x14ac:dyDescent="0.3">
      <c r="A25" s="2"/>
      <c r="B25" s="2"/>
      <c r="C25" s="2"/>
      <c r="D25" s="2"/>
      <c r="E25" s="2"/>
      <c r="F25" s="2"/>
      <c r="G25" s="2"/>
      <c r="J25" s="149" t="s">
        <v>488</v>
      </c>
      <c r="K25" s="143" t="s">
        <v>440</v>
      </c>
      <c r="L25" s="148">
        <f>L16-L24</f>
        <v>3.2560000000000002</v>
      </c>
      <c r="M25" s="143" t="s">
        <v>8</v>
      </c>
      <c r="N25" s="66"/>
      <c r="O25" s="66"/>
      <c r="P25" s="66"/>
      <c r="Q25" s="66"/>
      <c r="R25" s="140"/>
    </row>
    <row r="26" spans="1:18" ht="16.5" x14ac:dyDescent="0.3">
      <c r="A26" s="2" t="s">
        <v>702</v>
      </c>
      <c r="B26" s="2"/>
      <c r="C26" s="2"/>
      <c r="D26" s="2"/>
      <c r="E26" s="2"/>
      <c r="F26" s="2"/>
      <c r="G26" s="2"/>
      <c r="J26" s="149" t="s">
        <v>489</v>
      </c>
      <c r="K26" s="148" t="s">
        <v>440</v>
      </c>
      <c r="L26" s="148">
        <f>L15</f>
        <v>2.4</v>
      </c>
      <c r="M26" s="143" t="s">
        <v>8</v>
      </c>
      <c r="N26" s="66"/>
      <c r="O26" s="66"/>
      <c r="P26" s="66"/>
      <c r="Q26" s="66"/>
      <c r="R26" s="140"/>
    </row>
    <row r="27" spans="1:18" ht="16.5" x14ac:dyDescent="0.3">
      <c r="A27" s="2"/>
      <c r="B27" s="2"/>
      <c r="C27" s="2"/>
      <c r="D27" s="2"/>
      <c r="E27" s="2"/>
      <c r="F27" s="2"/>
      <c r="G27" s="2"/>
      <c r="J27" s="149" t="s">
        <v>490</v>
      </c>
      <c r="K27" s="143" t="s">
        <v>440</v>
      </c>
      <c r="L27" s="148">
        <f>L13*(L24+L26)</f>
        <v>1.6194400000000002</v>
      </c>
      <c r="M27" s="143" t="s">
        <v>8</v>
      </c>
      <c r="N27" s="66"/>
      <c r="O27" s="66"/>
      <c r="P27" s="66"/>
      <c r="Q27" s="66"/>
      <c r="R27" s="140"/>
    </row>
    <row r="28" spans="1:18" ht="16.5" x14ac:dyDescent="0.3">
      <c r="A28" s="2"/>
      <c r="B28" s="10">
        <f>C12-B22</f>
        <v>3.2560000000000002</v>
      </c>
      <c r="C28" s="2" t="s">
        <v>8</v>
      </c>
      <c r="D28" s="2"/>
      <c r="E28" s="2"/>
      <c r="F28" s="2"/>
      <c r="G28" s="2"/>
      <c r="J28" s="149" t="s">
        <v>491</v>
      </c>
      <c r="K28" s="143" t="s">
        <v>440</v>
      </c>
      <c r="L28" s="148">
        <f>L17-L27</f>
        <v>29.380559999999999</v>
      </c>
      <c r="M28" s="143" t="s">
        <v>8</v>
      </c>
      <c r="N28" s="66"/>
      <c r="O28" s="66"/>
      <c r="P28" s="66"/>
      <c r="Q28" s="66"/>
      <c r="R28" s="140"/>
    </row>
    <row r="29" spans="1:18" ht="16.5" x14ac:dyDescent="0.3">
      <c r="A29" s="2"/>
      <c r="B29" s="2"/>
      <c r="C29" s="2"/>
      <c r="D29" s="2"/>
      <c r="E29" s="2"/>
      <c r="F29" s="2"/>
      <c r="G29" s="2"/>
      <c r="J29" s="149" t="s">
        <v>492</v>
      </c>
      <c r="K29" s="143" t="s">
        <v>440</v>
      </c>
      <c r="L29" s="148">
        <f>L18</f>
        <v>76.7</v>
      </c>
      <c r="M29" s="143" t="s">
        <v>8</v>
      </c>
      <c r="N29" s="66"/>
      <c r="O29" s="66"/>
      <c r="P29" s="66"/>
      <c r="Q29" s="66"/>
      <c r="R29" s="140"/>
    </row>
    <row r="30" spans="1:18" ht="15.75" customHeight="1" x14ac:dyDescent="0.3">
      <c r="A30" s="107" t="s">
        <v>438</v>
      </c>
      <c r="B30" s="107"/>
      <c r="C30" s="107"/>
      <c r="D30" s="107"/>
      <c r="E30" s="107"/>
      <c r="F30" s="2"/>
      <c r="G30" s="2"/>
      <c r="J30" s="149" t="s">
        <v>493</v>
      </c>
      <c r="K30" s="143" t="s">
        <v>440</v>
      </c>
      <c r="L30" s="148">
        <f>L19</f>
        <v>76.5</v>
      </c>
      <c r="M30" s="143" t="s">
        <v>8</v>
      </c>
      <c r="N30" s="151"/>
      <c r="O30" s="66"/>
      <c r="P30" s="66"/>
      <c r="Q30" s="66"/>
      <c r="R30" s="140"/>
    </row>
    <row r="31" spans="1:18" ht="15" x14ac:dyDescent="0.25">
      <c r="A31" s="107"/>
      <c r="B31" s="107"/>
      <c r="C31" s="107"/>
      <c r="D31" s="107"/>
      <c r="E31" s="107"/>
      <c r="F31" s="2"/>
      <c r="G31" s="2"/>
      <c r="J31" s="66"/>
      <c r="K31" s="66"/>
      <c r="L31" s="66"/>
      <c r="M31" s="66"/>
      <c r="N31" s="66"/>
      <c r="O31" s="66"/>
      <c r="P31" s="66"/>
      <c r="Q31" s="66"/>
      <c r="R31" s="140"/>
    </row>
    <row r="32" spans="1:18" ht="15" x14ac:dyDescent="0.25">
      <c r="A32" s="4"/>
      <c r="B32" s="4"/>
      <c r="C32" s="4"/>
      <c r="D32" s="4"/>
      <c r="E32" s="4"/>
      <c r="F32" s="2"/>
      <c r="G32" s="2"/>
      <c r="J32" s="66"/>
      <c r="K32" s="66"/>
      <c r="L32" s="66"/>
      <c r="M32" s="66"/>
      <c r="N32" s="66"/>
      <c r="O32" s="66"/>
      <c r="P32" s="66"/>
      <c r="Q32" s="66"/>
      <c r="R32" s="140"/>
    </row>
    <row r="33" spans="1:18" ht="16.5" x14ac:dyDescent="0.3">
      <c r="A33" s="2" t="s">
        <v>463</v>
      </c>
      <c r="B33" s="2"/>
      <c r="C33" s="2"/>
      <c r="D33" s="2"/>
      <c r="E33" s="2"/>
      <c r="F33" s="2"/>
      <c r="G33" s="2"/>
      <c r="J33" s="66"/>
      <c r="K33" s="152" t="s">
        <v>7</v>
      </c>
      <c r="L33" s="153"/>
      <c r="M33" s="152" t="s">
        <v>17</v>
      </c>
      <c r="N33" s="153"/>
      <c r="O33" s="152" t="s">
        <v>18</v>
      </c>
      <c r="P33" s="153"/>
      <c r="Q33" s="66"/>
      <c r="R33" s="140"/>
    </row>
    <row r="34" spans="1:18" ht="15" x14ac:dyDescent="0.25">
      <c r="A34" s="2"/>
      <c r="B34" s="2"/>
      <c r="C34" s="2"/>
      <c r="D34" s="2"/>
      <c r="E34" s="2"/>
      <c r="F34" s="2"/>
      <c r="G34" s="2"/>
      <c r="J34" s="66"/>
      <c r="K34" s="154" t="s">
        <v>8</v>
      </c>
      <c r="L34" s="155" t="s">
        <v>19</v>
      </c>
      <c r="M34" s="156" t="s">
        <v>8</v>
      </c>
      <c r="N34" s="157" t="s">
        <v>19</v>
      </c>
      <c r="O34" s="154" t="s">
        <v>8</v>
      </c>
      <c r="P34" s="155" t="s">
        <v>19</v>
      </c>
      <c r="Q34" s="66"/>
      <c r="R34" s="140"/>
    </row>
    <row r="35" spans="1:18" ht="17.25" x14ac:dyDescent="0.3">
      <c r="A35" s="2"/>
      <c r="B35" s="10">
        <f>C11</f>
        <v>2.4</v>
      </c>
      <c r="C35" s="2" t="s">
        <v>8</v>
      </c>
      <c r="D35" s="2"/>
      <c r="E35" s="2"/>
      <c r="F35" s="2"/>
      <c r="G35" s="2"/>
      <c r="J35" s="158" t="s">
        <v>288</v>
      </c>
      <c r="K35" s="159">
        <f>L15</f>
        <v>2.4</v>
      </c>
      <c r="L35" s="160">
        <f>(K35/$K$40)*100</f>
        <v>0.68689181453921</v>
      </c>
      <c r="M35" s="161">
        <f>L26</f>
        <v>2.4</v>
      </c>
      <c r="N35" s="160">
        <f>(M35/$M$40)*100</f>
        <v>1.4673205699268734</v>
      </c>
      <c r="O35" s="161">
        <f>K35-M35</f>
        <v>0</v>
      </c>
      <c r="P35" s="160">
        <f>(O35/$O$40)*100</f>
        <v>0</v>
      </c>
      <c r="Q35" s="66"/>
      <c r="R35" s="140"/>
    </row>
    <row r="36" spans="1:18" ht="17.25" x14ac:dyDescent="0.3">
      <c r="A36" s="2"/>
      <c r="B36" s="2"/>
      <c r="C36" s="2"/>
      <c r="D36" s="2"/>
      <c r="E36" s="2"/>
      <c r="F36" s="2"/>
      <c r="G36" s="2"/>
      <c r="J36" s="162" t="s">
        <v>289</v>
      </c>
      <c r="K36" s="163">
        <f>L16</f>
        <v>162.80000000000001</v>
      </c>
      <c r="L36" s="164">
        <f>(K36/$K$40)*100</f>
        <v>46.594161419576416</v>
      </c>
      <c r="M36" s="165">
        <f>L24</f>
        <v>159.54400000000001</v>
      </c>
      <c r="N36" s="164">
        <f>(M36/$M$40)*100</f>
        <v>97.542580420172129</v>
      </c>
      <c r="O36" s="165">
        <f>K36-M36</f>
        <v>3.2560000000000002</v>
      </c>
      <c r="P36" s="164">
        <f>(O36/$O$40)*100</f>
        <v>1.7520772016012347</v>
      </c>
      <c r="Q36" s="66"/>
      <c r="R36" s="140"/>
    </row>
    <row r="37" spans="1:18" ht="17.25" x14ac:dyDescent="0.3">
      <c r="A37" s="2" t="s">
        <v>11</v>
      </c>
      <c r="B37" s="2"/>
      <c r="C37" s="2"/>
      <c r="D37" s="2"/>
      <c r="E37" s="2"/>
      <c r="F37" s="2"/>
      <c r="G37" s="2"/>
      <c r="J37" s="158" t="s">
        <v>290</v>
      </c>
      <c r="K37" s="163">
        <f>L17</f>
        <v>31</v>
      </c>
      <c r="L37" s="164">
        <f>(K37/$K$40)*100</f>
        <v>8.8723526044647958</v>
      </c>
      <c r="M37" s="165">
        <f>L27</f>
        <v>1.6194400000000002</v>
      </c>
      <c r="N37" s="164">
        <f>(M37/$M$40)*100</f>
        <v>0.99009900990099009</v>
      </c>
      <c r="O37" s="165">
        <f>K37-M37</f>
        <v>29.380559999999999</v>
      </c>
      <c r="P37" s="164">
        <f>(O37/$O$40)*100</f>
        <v>15.809892305367681</v>
      </c>
      <c r="Q37" s="66"/>
      <c r="R37" s="140"/>
    </row>
    <row r="38" spans="1:18" ht="17.25" x14ac:dyDescent="0.3">
      <c r="A38" s="2"/>
      <c r="B38" s="2"/>
      <c r="C38" s="2"/>
      <c r="D38" s="2"/>
      <c r="E38" s="2"/>
      <c r="F38" s="2"/>
      <c r="G38" s="2"/>
      <c r="J38" s="158" t="s">
        <v>291</v>
      </c>
      <c r="K38" s="163">
        <f>L18</f>
        <v>76.7</v>
      </c>
      <c r="L38" s="164">
        <f>(K38/$K$40)*100</f>
        <v>21.951917572982254</v>
      </c>
      <c r="M38" s="166">
        <v>0</v>
      </c>
      <c r="N38" s="164">
        <f>(M38/$M$40)*100</f>
        <v>0</v>
      </c>
      <c r="O38" s="165">
        <f>K38-M38</f>
        <v>76.7</v>
      </c>
      <c r="P38" s="164">
        <f>(O38/$O$40)*100</f>
        <v>41.272825971380442</v>
      </c>
      <c r="Q38" s="66"/>
      <c r="R38" s="140"/>
    </row>
    <row r="39" spans="1:18" ht="17.25" x14ac:dyDescent="0.3">
      <c r="A39" s="2" t="s">
        <v>12</v>
      </c>
      <c r="B39" s="2"/>
      <c r="C39" s="2"/>
      <c r="D39" s="2"/>
      <c r="E39" s="2"/>
      <c r="F39" s="2"/>
      <c r="G39" s="2"/>
      <c r="J39" s="158" t="s">
        <v>292</v>
      </c>
      <c r="K39" s="167">
        <f>L19</f>
        <v>76.5</v>
      </c>
      <c r="L39" s="168">
        <f>(K39/$K$40)*100</f>
        <v>21.894676588437321</v>
      </c>
      <c r="M39" s="169">
        <v>0</v>
      </c>
      <c r="N39" s="168">
        <f>(M39/$M$40)*100</f>
        <v>0</v>
      </c>
      <c r="O39" s="170">
        <f>K39-M39</f>
        <v>76.5</v>
      </c>
      <c r="P39" s="168">
        <f>(O39/$O$40)*100</f>
        <v>41.165204521650637</v>
      </c>
      <c r="Q39" s="66"/>
      <c r="R39" s="140"/>
    </row>
    <row r="40" spans="1:18" ht="15" x14ac:dyDescent="0.25">
      <c r="A40" s="2"/>
      <c r="B40" s="2"/>
      <c r="C40" s="2"/>
      <c r="D40" s="2"/>
      <c r="E40" s="2"/>
      <c r="F40" s="2"/>
      <c r="G40" s="2"/>
      <c r="J40" s="158" t="s">
        <v>571</v>
      </c>
      <c r="K40" s="170">
        <f>SUM(K35:K39)</f>
        <v>349.40000000000003</v>
      </c>
      <c r="L40" s="168">
        <f>SUM(L35:L39)</f>
        <v>99.999999999999986</v>
      </c>
      <c r="M40" s="170">
        <f>SUM(M35:M37)</f>
        <v>163.56344000000001</v>
      </c>
      <c r="N40" s="168">
        <f>SUM(N35:N37)</f>
        <v>99.999999999999986</v>
      </c>
      <c r="O40" s="170">
        <f>SUM(O35:O39)</f>
        <v>185.83656000000002</v>
      </c>
      <c r="P40" s="168">
        <f>SUM(P35:P39)</f>
        <v>100</v>
      </c>
      <c r="Q40" s="66"/>
      <c r="R40" s="140"/>
    </row>
    <row r="41" spans="1:18" ht="16.5" x14ac:dyDescent="0.3">
      <c r="A41" s="2"/>
      <c r="B41" s="7" t="s">
        <v>283</v>
      </c>
      <c r="C41" s="10">
        <f>B35</f>
        <v>2.4</v>
      </c>
      <c r="D41" s="2" t="s">
        <v>8</v>
      </c>
      <c r="E41" s="2"/>
      <c r="F41" s="2"/>
      <c r="G41" s="2"/>
      <c r="J41" s="66"/>
      <c r="K41" s="66"/>
      <c r="L41" s="66"/>
      <c r="M41" s="66"/>
      <c r="N41" s="66"/>
      <c r="O41" s="66"/>
      <c r="P41" s="66"/>
      <c r="Q41" s="66"/>
      <c r="R41" s="140"/>
    </row>
    <row r="42" spans="1:18" ht="16.5" x14ac:dyDescent="0.3">
      <c r="A42" s="2"/>
      <c r="B42" s="7" t="s">
        <v>284</v>
      </c>
      <c r="C42" s="10">
        <f>B22</f>
        <v>159.54400000000001</v>
      </c>
      <c r="D42" s="2" t="s">
        <v>8</v>
      </c>
      <c r="E42" s="2"/>
      <c r="F42" s="2"/>
      <c r="G42" s="2"/>
      <c r="J42" s="66"/>
      <c r="K42" s="143"/>
      <c r="L42" s="151"/>
      <c r="M42" s="66"/>
      <c r="N42" s="66"/>
      <c r="O42" s="66"/>
      <c r="P42" s="66"/>
      <c r="Q42" s="140"/>
      <c r="R42" s="140"/>
    </row>
    <row r="43" spans="1:18" ht="16.5" x14ac:dyDescent="0.3">
      <c r="A43" s="2"/>
      <c r="B43" s="7" t="s">
        <v>665</v>
      </c>
      <c r="C43" s="10">
        <f>SUM(C41:C42)</f>
        <v>161.94400000000002</v>
      </c>
      <c r="D43" s="2" t="s">
        <v>8</v>
      </c>
      <c r="E43" s="2"/>
      <c r="F43" s="2"/>
      <c r="G43" s="2"/>
      <c r="J43" s="66"/>
      <c r="K43" s="143"/>
      <c r="L43" s="151"/>
      <c r="M43" s="66"/>
      <c r="N43" s="66"/>
      <c r="O43" s="66"/>
      <c r="P43" s="66"/>
      <c r="Q43" s="140"/>
      <c r="R43" s="140"/>
    </row>
    <row r="44" spans="1:18" ht="15" x14ac:dyDescent="0.25">
      <c r="A44" s="2"/>
      <c r="B44" s="2"/>
      <c r="C44" s="2"/>
      <c r="D44" s="2"/>
      <c r="E44" s="2"/>
      <c r="F44" s="2"/>
      <c r="G44" s="2"/>
      <c r="J44" s="66"/>
      <c r="K44" s="66"/>
      <c r="L44" s="66"/>
      <c r="M44" s="66"/>
      <c r="N44" s="66"/>
      <c r="O44" s="66"/>
      <c r="P44" s="66"/>
      <c r="Q44" s="140"/>
      <c r="R44" s="140"/>
    </row>
    <row r="45" spans="1:18" ht="15" x14ac:dyDescent="0.25">
      <c r="A45" s="2" t="s">
        <v>13</v>
      </c>
      <c r="B45" s="2"/>
      <c r="C45" s="2"/>
      <c r="D45" s="2"/>
      <c r="E45" s="2"/>
      <c r="F45" s="2"/>
      <c r="G45" s="2"/>
      <c r="J45" s="66"/>
      <c r="K45" s="66"/>
      <c r="L45" s="66"/>
      <c r="M45" s="150"/>
      <c r="N45" s="171"/>
      <c r="O45" s="172"/>
      <c r="P45" s="66"/>
      <c r="Q45" s="140"/>
      <c r="R45" s="140"/>
    </row>
    <row r="46" spans="1:18" ht="15" x14ac:dyDescent="0.25">
      <c r="A46" s="2"/>
      <c r="B46" s="2"/>
      <c r="C46" s="2"/>
      <c r="D46" s="2"/>
      <c r="E46" s="2"/>
      <c r="F46" s="2"/>
      <c r="G46" s="2"/>
      <c r="J46" s="66"/>
      <c r="K46" s="66"/>
      <c r="L46" s="66"/>
      <c r="M46" s="66"/>
      <c r="N46" s="66"/>
      <c r="O46" s="66"/>
      <c r="P46" s="66"/>
      <c r="Q46" s="140"/>
      <c r="R46" s="140"/>
    </row>
    <row r="47" spans="1:18" ht="15" x14ac:dyDescent="0.25">
      <c r="A47" s="2"/>
      <c r="B47" s="2"/>
      <c r="C47" s="10">
        <f>C43/0.99</f>
        <v>163.579797979798</v>
      </c>
      <c r="D47" s="2" t="s">
        <v>8</v>
      </c>
      <c r="E47" s="2"/>
      <c r="F47" s="2"/>
      <c r="G47" s="2"/>
      <c r="J47" s="66"/>
      <c r="K47" s="66"/>
      <c r="L47" s="151"/>
      <c r="M47" s="66"/>
      <c r="N47" s="66"/>
      <c r="O47" s="66"/>
      <c r="P47" s="66"/>
      <c r="Q47" s="140"/>
      <c r="R47" s="140"/>
    </row>
    <row r="48" spans="1:18" ht="15" x14ac:dyDescent="0.25">
      <c r="A48" s="2"/>
      <c r="B48" s="2"/>
      <c r="C48" s="10"/>
      <c r="D48" s="2"/>
      <c r="E48" s="2"/>
      <c r="F48" s="2"/>
      <c r="G48" s="2"/>
      <c r="J48" s="66"/>
      <c r="K48" s="66"/>
      <c r="L48" s="151"/>
      <c r="M48" s="66"/>
      <c r="N48" s="66"/>
      <c r="O48" s="66"/>
      <c r="P48" s="66"/>
      <c r="Q48" s="140"/>
      <c r="R48" s="140"/>
    </row>
    <row r="49" spans="1:19" ht="15" x14ac:dyDescent="0.25">
      <c r="A49" s="2" t="s">
        <v>14</v>
      </c>
      <c r="B49" s="2"/>
      <c r="C49" s="2"/>
      <c r="D49" s="2"/>
      <c r="E49" s="2"/>
      <c r="F49" s="2"/>
      <c r="G49" s="2"/>
      <c r="J49" s="66"/>
      <c r="K49" s="66"/>
      <c r="L49" s="66"/>
      <c r="M49" s="66"/>
      <c r="N49" s="66"/>
      <c r="O49" s="66"/>
      <c r="P49" s="66"/>
      <c r="Q49" s="140"/>
      <c r="R49" s="140"/>
    </row>
    <row r="50" spans="1:19" ht="15" x14ac:dyDescent="0.25">
      <c r="A50" s="2"/>
      <c r="B50" s="2"/>
      <c r="C50" s="2"/>
      <c r="D50" s="2"/>
      <c r="E50" s="2"/>
      <c r="F50" s="2"/>
      <c r="G50" s="2"/>
      <c r="J50" s="66"/>
      <c r="K50" s="66"/>
      <c r="L50" s="66"/>
      <c r="M50" s="66"/>
      <c r="N50" s="66"/>
      <c r="O50" s="66"/>
      <c r="P50" s="66"/>
      <c r="Q50" s="140"/>
      <c r="R50" s="140"/>
    </row>
    <row r="51" spans="1:19" ht="15" x14ac:dyDescent="0.25">
      <c r="A51" s="2" t="s">
        <v>15</v>
      </c>
      <c r="B51" s="2"/>
      <c r="C51" s="2"/>
      <c r="D51" s="2"/>
      <c r="E51" s="2"/>
      <c r="F51" s="2"/>
      <c r="G51" s="2"/>
      <c r="J51" s="66"/>
      <c r="K51" s="66"/>
      <c r="L51" s="172"/>
      <c r="M51" s="66"/>
      <c r="N51" s="150"/>
      <c r="O51" s="66"/>
      <c r="P51" s="66"/>
      <c r="Q51" s="140"/>
      <c r="R51" s="140"/>
    </row>
    <row r="52" spans="1:19" ht="15" x14ac:dyDescent="0.25">
      <c r="A52" s="2"/>
      <c r="B52" s="2"/>
      <c r="C52" s="2"/>
      <c r="D52" s="2"/>
      <c r="E52" s="2"/>
      <c r="F52" s="2"/>
      <c r="G52" s="2"/>
      <c r="J52" s="66"/>
      <c r="K52" s="66"/>
      <c r="L52" s="66"/>
      <c r="M52" s="66"/>
      <c r="N52" s="66"/>
      <c r="O52" s="66"/>
      <c r="P52" s="66"/>
      <c r="Q52" s="140"/>
      <c r="R52" s="140"/>
    </row>
    <row r="53" spans="1:19" ht="15" x14ac:dyDescent="0.25">
      <c r="A53" s="2"/>
      <c r="B53" s="2"/>
      <c r="C53" s="10">
        <f>0.01*C47</f>
        <v>1.63579797979798</v>
      </c>
      <c r="D53" s="2" t="s">
        <v>8</v>
      </c>
      <c r="E53" s="2"/>
      <c r="F53" s="2"/>
      <c r="G53" s="2"/>
      <c r="J53" s="66"/>
      <c r="K53" s="66"/>
      <c r="L53" s="151"/>
      <c r="M53" s="66"/>
      <c r="N53" s="66"/>
      <c r="O53" s="66"/>
      <c r="P53" s="66"/>
      <c r="Q53" s="140"/>
      <c r="R53" s="140"/>
    </row>
    <row r="54" spans="1:19" ht="15" x14ac:dyDescent="0.25">
      <c r="A54" s="2"/>
      <c r="B54" s="2"/>
      <c r="C54" s="2"/>
      <c r="D54" s="2"/>
      <c r="E54" s="2"/>
      <c r="F54" s="2"/>
      <c r="G54" s="2"/>
      <c r="J54" s="66"/>
      <c r="K54" s="66"/>
      <c r="L54" s="66"/>
      <c r="M54" s="66"/>
      <c r="N54" s="66"/>
      <c r="O54" s="66"/>
      <c r="P54" s="66"/>
      <c r="Q54" s="140"/>
      <c r="R54" s="140"/>
    </row>
    <row r="55" spans="1:19" ht="15" x14ac:dyDescent="0.25">
      <c r="A55" s="2" t="s">
        <v>16</v>
      </c>
      <c r="B55" s="2"/>
      <c r="C55" s="2"/>
      <c r="D55" s="2"/>
      <c r="E55" s="2"/>
      <c r="F55" s="2"/>
      <c r="G55" s="2"/>
      <c r="J55" s="66"/>
      <c r="K55" s="66"/>
      <c r="L55" s="66"/>
      <c r="M55" s="66"/>
      <c r="N55" s="66"/>
      <c r="O55" s="66"/>
      <c r="P55" s="66"/>
      <c r="Q55" s="140"/>
      <c r="R55" s="140"/>
    </row>
    <row r="56" spans="1:19" ht="15" x14ac:dyDescent="0.25">
      <c r="A56" s="2"/>
      <c r="B56" s="2"/>
      <c r="C56" s="2"/>
      <c r="D56" s="2"/>
      <c r="E56" s="2"/>
      <c r="F56" s="2"/>
      <c r="G56" s="2"/>
      <c r="J56" s="66"/>
      <c r="K56" s="66"/>
      <c r="L56" s="66"/>
      <c r="M56" s="66"/>
      <c r="N56" s="66"/>
      <c r="O56" s="66"/>
      <c r="P56" s="66"/>
      <c r="Q56" s="140"/>
      <c r="R56" s="140"/>
      <c r="S56" s="173"/>
    </row>
    <row r="57" spans="1:19" ht="16.5" x14ac:dyDescent="0.3">
      <c r="A57" s="2" t="s">
        <v>666</v>
      </c>
      <c r="B57" s="2"/>
      <c r="C57" s="2"/>
      <c r="D57" s="2"/>
      <c r="E57" s="2"/>
      <c r="F57" s="2"/>
      <c r="G57" s="2"/>
      <c r="J57" s="66"/>
      <c r="K57" s="66"/>
      <c r="L57" s="148"/>
      <c r="M57" s="143"/>
      <c r="N57" s="148"/>
      <c r="O57" s="66"/>
      <c r="P57" s="66"/>
      <c r="Q57" s="140"/>
      <c r="R57" s="140"/>
    </row>
    <row r="58" spans="1:19" ht="15" x14ac:dyDescent="0.25">
      <c r="A58" s="2"/>
      <c r="B58" s="2"/>
      <c r="C58" s="2"/>
      <c r="D58" s="2"/>
      <c r="E58" s="2"/>
      <c r="F58" s="2"/>
      <c r="G58" s="2"/>
      <c r="J58" s="66"/>
      <c r="K58" s="66"/>
      <c r="L58" s="66"/>
      <c r="M58" s="66"/>
      <c r="N58" s="66"/>
      <c r="O58" s="66"/>
      <c r="P58" s="66"/>
      <c r="Q58" s="140"/>
      <c r="R58" s="140"/>
    </row>
    <row r="59" spans="1:19" ht="15" x14ac:dyDescent="0.25">
      <c r="A59" s="2"/>
      <c r="B59" s="2"/>
      <c r="C59" s="10">
        <f>C13-C53</f>
        <v>29.364202020202018</v>
      </c>
      <c r="D59" s="2" t="s">
        <v>8</v>
      </c>
      <c r="E59" s="2"/>
      <c r="F59" s="2"/>
      <c r="G59" s="2"/>
      <c r="J59" s="66"/>
      <c r="K59" s="66"/>
      <c r="L59" s="151"/>
      <c r="M59" s="66"/>
      <c r="N59" s="66"/>
      <c r="O59" s="66"/>
      <c r="P59" s="66"/>
      <c r="Q59" s="140"/>
      <c r="R59" s="140"/>
    </row>
    <row r="60" spans="1:19" ht="15" x14ac:dyDescent="0.25">
      <c r="A60" s="2"/>
      <c r="B60" s="2"/>
      <c r="C60" s="2"/>
      <c r="D60" s="2"/>
      <c r="E60" s="2"/>
      <c r="F60" s="2"/>
      <c r="G60" s="2"/>
      <c r="J60" s="66"/>
      <c r="K60" s="66"/>
      <c r="L60" s="66"/>
      <c r="M60" s="66"/>
      <c r="N60" s="66"/>
      <c r="O60" s="66"/>
      <c r="P60" s="66"/>
      <c r="Q60" s="140"/>
      <c r="R60" s="140"/>
    </row>
    <row r="61" spans="1:19" ht="15" x14ac:dyDescent="0.25">
      <c r="A61" s="107" t="s">
        <v>667</v>
      </c>
      <c r="B61" s="107"/>
      <c r="C61" s="107"/>
      <c r="D61" s="107"/>
      <c r="E61" s="107"/>
      <c r="F61" s="107"/>
      <c r="G61" s="2"/>
      <c r="J61" s="174"/>
      <c r="K61" s="174"/>
      <c r="L61" s="174"/>
      <c r="M61" s="174"/>
      <c r="N61" s="174"/>
      <c r="O61" s="174"/>
      <c r="P61" s="66"/>
      <c r="Q61" s="140"/>
      <c r="R61" s="140"/>
    </row>
    <row r="62" spans="1:19" ht="15" x14ac:dyDescent="0.25">
      <c r="A62" s="107"/>
      <c r="B62" s="107"/>
      <c r="C62" s="107"/>
      <c r="D62" s="107"/>
      <c r="E62" s="107"/>
      <c r="F62" s="107"/>
      <c r="G62" s="2"/>
      <c r="J62" s="174"/>
      <c r="K62" s="174"/>
      <c r="L62" s="174"/>
      <c r="M62" s="174"/>
      <c r="N62" s="174"/>
      <c r="O62" s="174"/>
      <c r="P62" s="66"/>
      <c r="Q62" s="140"/>
      <c r="R62" s="140"/>
    </row>
    <row r="63" spans="1:19" ht="15" x14ac:dyDescent="0.25">
      <c r="A63" s="2"/>
      <c r="B63" s="2"/>
      <c r="C63" s="2"/>
      <c r="D63" s="2"/>
      <c r="E63" s="2"/>
      <c r="F63" s="2"/>
      <c r="G63" s="2"/>
      <c r="J63" s="140"/>
      <c r="K63" s="140"/>
      <c r="L63" s="140"/>
      <c r="M63" s="140"/>
      <c r="N63" s="140"/>
      <c r="O63" s="140"/>
      <c r="P63" s="140"/>
      <c r="Q63" s="140"/>
      <c r="R63" s="140"/>
    </row>
    <row r="64" spans="1:19" ht="15" x14ac:dyDescent="0.25">
      <c r="A64" s="2"/>
      <c r="B64" s="108" t="s">
        <v>7</v>
      </c>
      <c r="C64" s="109"/>
      <c r="D64" s="109" t="s">
        <v>17</v>
      </c>
      <c r="E64" s="109"/>
      <c r="F64" s="109" t="s">
        <v>18</v>
      </c>
      <c r="G64" s="110"/>
      <c r="J64" s="140"/>
      <c r="K64" s="140"/>
      <c r="L64" s="140"/>
      <c r="M64" s="140"/>
      <c r="N64" s="140"/>
      <c r="O64" s="140"/>
      <c r="P64" s="140"/>
      <c r="Q64" s="140"/>
      <c r="R64" s="140"/>
    </row>
    <row r="65" spans="1:18" ht="15" x14ac:dyDescent="0.25">
      <c r="A65" s="2"/>
      <c r="B65" s="14" t="s">
        <v>8</v>
      </c>
      <c r="C65" s="15" t="s">
        <v>19</v>
      </c>
      <c r="D65" s="15" t="s">
        <v>8</v>
      </c>
      <c r="E65" s="15" t="s">
        <v>19</v>
      </c>
      <c r="F65" s="15" t="s">
        <v>8</v>
      </c>
      <c r="G65" s="16" t="s">
        <v>19</v>
      </c>
      <c r="J65" s="140"/>
      <c r="K65" s="140"/>
      <c r="L65" s="140"/>
      <c r="M65" s="140"/>
      <c r="N65" s="140"/>
      <c r="O65" s="140"/>
      <c r="P65" s="140"/>
      <c r="Q65" s="140"/>
      <c r="R65" s="140"/>
    </row>
    <row r="66" spans="1:18" ht="17.25" x14ac:dyDescent="0.3">
      <c r="A66" s="17" t="s">
        <v>288</v>
      </c>
      <c r="B66" s="18">
        <v>2.4</v>
      </c>
      <c r="C66" s="19">
        <f>(B66/$B$71)*100</f>
        <v>0.68689181453921</v>
      </c>
      <c r="D66" s="10">
        <f>B35</f>
        <v>2.4</v>
      </c>
      <c r="E66" s="10">
        <f>(D66/$D$71)*100</f>
        <v>1.4671738378698806</v>
      </c>
      <c r="F66" s="20">
        <f>B66-D66</f>
        <v>0</v>
      </c>
      <c r="G66" s="19">
        <f>(F66/$F$71)*100</f>
        <v>0</v>
      </c>
      <c r="J66" s="140"/>
      <c r="K66" s="140"/>
      <c r="L66" s="140"/>
      <c r="M66" s="140"/>
      <c r="N66" s="140"/>
      <c r="O66" s="140"/>
      <c r="P66" s="140"/>
      <c r="Q66" s="140"/>
      <c r="R66" s="140"/>
    </row>
    <row r="67" spans="1:18" ht="17.25" x14ac:dyDescent="0.3">
      <c r="A67" s="21" t="s">
        <v>289</v>
      </c>
      <c r="B67" s="22">
        <v>162.80000000000001</v>
      </c>
      <c r="C67" s="23">
        <f>(B67/$B$71)*100</f>
        <v>46.594161419576416</v>
      </c>
      <c r="D67" s="10">
        <f>B22</f>
        <v>159.54400000000001</v>
      </c>
      <c r="E67" s="10">
        <f>(D67/$D$71)*100</f>
        <v>97.532826162130121</v>
      </c>
      <c r="F67" s="22">
        <f>B67-D67</f>
        <v>3.2560000000000002</v>
      </c>
      <c r="G67" s="23">
        <f>(F67/$F$71)*100</f>
        <v>1.7522314391015537</v>
      </c>
      <c r="J67" s="140"/>
      <c r="K67" s="140"/>
      <c r="L67" s="140"/>
      <c r="M67" s="140"/>
      <c r="N67" s="140"/>
      <c r="O67" s="140"/>
      <c r="P67" s="140"/>
      <c r="Q67" s="140"/>
      <c r="R67" s="140"/>
    </row>
    <row r="68" spans="1:18" ht="17.25" x14ac:dyDescent="0.3">
      <c r="A68" s="17" t="s">
        <v>290</v>
      </c>
      <c r="B68" s="22">
        <v>31</v>
      </c>
      <c r="C68" s="23">
        <f>(B68/$B$71)*100</f>
        <v>8.8723526044647958</v>
      </c>
      <c r="D68" s="10">
        <f>C53</f>
        <v>1.63579797979798</v>
      </c>
      <c r="E68" s="10">
        <f>(D68/$D$71)*100</f>
        <v>1</v>
      </c>
      <c r="F68" s="22">
        <f>B68-D68</f>
        <v>29.364202020202018</v>
      </c>
      <c r="G68" s="23">
        <f>(F68/$F$71)*100</f>
        <v>15.802480947152128</v>
      </c>
      <c r="J68" s="140"/>
      <c r="K68" s="140"/>
      <c r="L68" s="140"/>
      <c r="M68" s="140"/>
      <c r="N68" s="140"/>
      <c r="O68" s="140"/>
      <c r="P68" s="140"/>
      <c r="Q68" s="140"/>
      <c r="R68" s="140"/>
    </row>
    <row r="69" spans="1:18" ht="17.25" x14ac:dyDescent="0.3">
      <c r="A69" s="17" t="s">
        <v>291</v>
      </c>
      <c r="B69" s="24">
        <v>76.7</v>
      </c>
      <c r="C69" s="23">
        <f>(B69/$B$71)*100</f>
        <v>21.951917572982254</v>
      </c>
      <c r="D69" s="25">
        <v>0</v>
      </c>
      <c r="E69" s="10">
        <f>(D69/$D$71)*100</f>
        <v>0</v>
      </c>
      <c r="F69" s="22">
        <f>B69-D69</f>
        <v>76.7</v>
      </c>
      <c r="G69" s="23">
        <f>(F69/$F$71)*100</f>
        <v>41.276459268762025</v>
      </c>
      <c r="J69" s="140"/>
      <c r="K69" s="140"/>
      <c r="L69" s="140"/>
      <c r="M69" s="140"/>
      <c r="N69" s="140"/>
      <c r="O69" s="140"/>
      <c r="P69" s="140"/>
      <c r="Q69" s="140"/>
      <c r="R69" s="140"/>
    </row>
    <row r="70" spans="1:18" ht="17.25" x14ac:dyDescent="0.3">
      <c r="A70" s="17" t="s">
        <v>292</v>
      </c>
      <c r="B70" s="26">
        <v>76.5</v>
      </c>
      <c r="C70" s="27">
        <f>(B70/$B$71)*100</f>
        <v>21.894676588437321</v>
      </c>
      <c r="D70" s="28">
        <v>0</v>
      </c>
      <c r="E70" s="29">
        <f>(D70/$D$71)*100</f>
        <v>0</v>
      </c>
      <c r="F70" s="30">
        <f>B70-D70</f>
        <v>76.5</v>
      </c>
      <c r="G70" s="27">
        <f>(F70/$F$71)*100</f>
        <v>41.168828344984284</v>
      </c>
      <c r="J70" s="140"/>
      <c r="K70" s="140"/>
      <c r="L70" s="140"/>
      <c r="M70" s="140"/>
      <c r="N70" s="140"/>
      <c r="O70" s="140"/>
      <c r="P70" s="140"/>
      <c r="Q70" s="140"/>
      <c r="R70" s="140"/>
    </row>
    <row r="71" spans="1:18" ht="15" x14ac:dyDescent="0.25">
      <c r="A71" s="17" t="s">
        <v>571</v>
      </c>
      <c r="B71" s="10">
        <f>SUM(B66:B70)</f>
        <v>349.40000000000003</v>
      </c>
      <c r="C71" s="10">
        <f>SUM(C66:C70)</f>
        <v>99.999999999999986</v>
      </c>
      <c r="D71" s="10">
        <f>SUM(D66:D68)</f>
        <v>163.579797979798</v>
      </c>
      <c r="E71" s="10">
        <f>SUM(E66:E68)</f>
        <v>100</v>
      </c>
      <c r="F71" s="10">
        <f>SUM(F66:F70)</f>
        <v>185.82020202020203</v>
      </c>
      <c r="G71" s="10">
        <f>SUM(G66:G70)</f>
        <v>100</v>
      </c>
      <c r="J71" s="140"/>
      <c r="K71" s="140"/>
      <c r="L71" s="140"/>
      <c r="M71" s="140"/>
      <c r="N71" s="140"/>
      <c r="O71" s="140"/>
      <c r="P71" s="140"/>
      <c r="Q71" s="140"/>
      <c r="R71" s="140"/>
    </row>
    <row r="74" spans="1:18" ht="15" x14ac:dyDescent="0.25">
      <c r="A74" s="129" t="s">
        <v>723</v>
      </c>
    </row>
    <row r="75" spans="1:18" ht="15" x14ac:dyDescent="0.25">
      <c r="A75" s="129" t="s">
        <v>724</v>
      </c>
    </row>
    <row r="76" spans="1:18" ht="15" x14ac:dyDescent="0.25">
      <c r="A76" s="129" t="s">
        <v>725</v>
      </c>
    </row>
    <row r="77" spans="1:18" ht="15" x14ac:dyDescent="0.25">
      <c r="A77" s="129" t="s">
        <v>684</v>
      </c>
    </row>
    <row r="78" spans="1:18" ht="15" x14ac:dyDescent="0.25">
      <c r="A78" s="130" t="s">
        <v>726</v>
      </c>
    </row>
  </sheetData>
  <sheetProtection password="E156" sheet="1" objects="1" scenarios="1"/>
  <mergeCells count="10">
    <mergeCell ref="J61:O62"/>
    <mergeCell ref="A6:F8"/>
    <mergeCell ref="B64:C64"/>
    <mergeCell ref="D64:E64"/>
    <mergeCell ref="F64:G64"/>
    <mergeCell ref="A30:E31"/>
    <mergeCell ref="A61:F62"/>
    <mergeCell ref="K33:L33"/>
    <mergeCell ref="M33:N33"/>
    <mergeCell ref="O33:P33"/>
  </mergeCells>
  <phoneticPr fontId="3" type="noConversion"/>
  <pageMargins left="0.75" right="0.75" top="1" bottom="1" header="0.5" footer="0.5"/>
  <pageSetup scale="47"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82"/>
  <sheetViews>
    <sheetView zoomScale="70" zoomScaleNormal="70" workbookViewId="0">
      <selection activeCell="AC48" sqref="AC48"/>
    </sheetView>
  </sheetViews>
  <sheetFormatPr defaultColWidth="9.140625" defaultRowHeight="12.75" x14ac:dyDescent="0.2"/>
  <cols>
    <col min="1" max="1" width="10.7109375" style="68" customWidth="1"/>
    <col min="2" max="2" width="11.85546875" style="68" customWidth="1"/>
    <col min="3" max="4" width="9.140625" style="68"/>
    <col min="5" max="5" width="11.5703125" style="68" bestFit="1" customWidth="1"/>
    <col min="6" max="9" width="9.140625" style="68"/>
    <col min="10" max="10" width="18.140625" style="68" customWidth="1"/>
    <col min="11" max="12" width="9.140625" style="68"/>
    <col min="13" max="13" width="28.7109375" style="68" customWidth="1"/>
    <col min="14" max="15" width="10.7109375" style="68" customWidth="1"/>
    <col min="16" max="16" width="9.140625" style="68"/>
    <col min="17" max="17" width="10.28515625" style="68" customWidth="1"/>
    <col min="18" max="19" width="10.5703125" style="68" bestFit="1" customWidth="1"/>
    <col min="20" max="20" width="9.140625" style="68"/>
    <col min="21" max="21" width="11.5703125" style="68" bestFit="1" customWidth="1"/>
    <col min="22" max="16384" width="9.140625" style="68"/>
  </cols>
  <sheetData>
    <row r="1" spans="1:25" ht="15" x14ac:dyDescent="0.25">
      <c r="A1" s="128" t="s">
        <v>717</v>
      </c>
    </row>
    <row r="5" spans="1:25" ht="15" x14ac:dyDescent="0.25">
      <c r="A5" s="1" t="s">
        <v>356</v>
      </c>
      <c r="B5" s="2"/>
      <c r="C5" s="2"/>
      <c r="D5" s="2"/>
      <c r="E5" s="2"/>
      <c r="F5" s="2"/>
      <c r="G5" s="2"/>
      <c r="H5" s="2"/>
      <c r="I5" s="2"/>
      <c r="J5" s="2"/>
      <c r="M5" s="139" t="s">
        <v>453</v>
      </c>
      <c r="N5" s="66"/>
      <c r="O5" s="66"/>
      <c r="P5" s="66"/>
      <c r="Q5" s="66"/>
      <c r="R5" s="66"/>
      <c r="S5" s="66"/>
      <c r="T5" s="66"/>
      <c r="U5" s="66"/>
      <c r="V5" s="66"/>
      <c r="W5" s="66"/>
      <c r="X5" s="66"/>
      <c r="Y5" s="175"/>
    </row>
    <row r="6" spans="1:25" ht="15" x14ac:dyDescent="0.25">
      <c r="A6" s="1"/>
      <c r="B6" s="2"/>
      <c r="C6" s="2"/>
      <c r="D6" s="2"/>
      <c r="E6" s="2"/>
      <c r="F6" s="2"/>
      <c r="G6" s="2"/>
      <c r="H6" s="2"/>
      <c r="I6" s="2"/>
      <c r="J6" s="2"/>
      <c r="M6" s="176" t="s">
        <v>359</v>
      </c>
      <c r="N6" s="176"/>
      <c r="O6" s="176"/>
      <c r="P6" s="176"/>
      <c r="Q6" s="176"/>
      <c r="R6" s="176"/>
      <c r="S6" s="176"/>
      <c r="T6" s="176"/>
      <c r="U6" s="176"/>
      <c r="V6" s="176"/>
      <c r="W6" s="176"/>
      <c r="X6" s="176"/>
      <c r="Y6" s="177"/>
    </row>
    <row r="7" spans="1:25" ht="15" customHeight="1" x14ac:dyDescent="0.25">
      <c r="A7" s="107" t="s">
        <v>21</v>
      </c>
      <c r="B7" s="107"/>
      <c r="C7" s="107"/>
      <c r="D7" s="107"/>
      <c r="E7" s="107"/>
      <c r="F7" s="107"/>
      <c r="G7" s="107"/>
      <c r="H7" s="107"/>
      <c r="I7" s="2"/>
      <c r="J7" s="2"/>
      <c r="M7" s="176"/>
      <c r="N7" s="176"/>
      <c r="O7" s="176"/>
      <c r="P7" s="176"/>
      <c r="Q7" s="176"/>
      <c r="R7" s="176"/>
      <c r="S7" s="176"/>
      <c r="T7" s="176"/>
      <c r="U7" s="176"/>
      <c r="V7" s="176"/>
      <c r="W7" s="176"/>
      <c r="X7" s="176"/>
      <c r="Y7" s="177"/>
    </row>
    <row r="8" spans="1:25" ht="15" x14ac:dyDescent="0.25">
      <c r="A8" s="107"/>
      <c r="B8" s="107"/>
      <c r="C8" s="107"/>
      <c r="D8" s="107"/>
      <c r="E8" s="107"/>
      <c r="F8" s="107"/>
      <c r="G8" s="107"/>
      <c r="H8" s="107"/>
      <c r="I8" s="2"/>
      <c r="J8" s="2"/>
      <c r="M8" s="178" t="s">
        <v>376</v>
      </c>
      <c r="N8" s="141"/>
      <c r="O8" s="141"/>
      <c r="P8" s="141"/>
      <c r="Q8" s="141"/>
      <c r="R8" s="141"/>
      <c r="S8" s="141"/>
      <c r="T8" s="141"/>
      <c r="U8" s="141"/>
      <c r="V8" s="141"/>
      <c r="W8" s="141"/>
      <c r="X8" s="141"/>
      <c r="Y8" s="177"/>
    </row>
    <row r="9" spans="1:25" ht="15" x14ac:dyDescent="0.25">
      <c r="A9" s="2"/>
      <c r="B9" s="2"/>
      <c r="C9" s="2"/>
      <c r="D9" s="2"/>
      <c r="E9" s="2"/>
      <c r="F9" s="2"/>
      <c r="G9" s="2"/>
      <c r="H9" s="2"/>
      <c r="I9" s="2"/>
      <c r="J9" s="2"/>
      <c r="M9" s="141"/>
      <c r="N9" s="141"/>
      <c r="O9" s="141"/>
      <c r="P9" s="141"/>
      <c r="Q9" s="141"/>
      <c r="R9" s="141"/>
      <c r="S9" s="141"/>
      <c r="T9" s="141"/>
      <c r="U9" s="141"/>
      <c r="V9" s="141"/>
      <c r="W9" s="141"/>
      <c r="X9" s="66"/>
      <c r="Y9" s="177"/>
    </row>
    <row r="10" spans="1:25" ht="15" x14ac:dyDescent="0.25">
      <c r="A10" s="2"/>
      <c r="B10" s="2" t="s">
        <v>7</v>
      </c>
      <c r="C10" s="101">
        <v>291000</v>
      </c>
      <c r="D10" s="2" t="s">
        <v>22</v>
      </c>
      <c r="E10" s="2"/>
      <c r="F10" s="2"/>
      <c r="G10" s="2"/>
      <c r="H10" s="2"/>
      <c r="I10" s="2"/>
      <c r="J10" s="2"/>
      <c r="M10" s="66"/>
      <c r="N10" s="66"/>
      <c r="O10" s="66"/>
      <c r="P10" s="66"/>
      <c r="Q10" s="66"/>
      <c r="R10" s="66"/>
      <c r="S10" s="66"/>
      <c r="T10" s="66"/>
      <c r="U10" s="66"/>
      <c r="V10" s="66"/>
      <c r="W10" s="66"/>
      <c r="X10" s="66"/>
      <c r="Y10" s="177"/>
    </row>
    <row r="11" spans="1:25" ht="15" x14ac:dyDescent="0.25">
      <c r="A11" s="2"/>
      <c r="B11" s="2"/>
      <c r="C11" s="2"/>
      <c r="D11" s="2"/>
      <c r="E11" s="2"/>
      <c r="F11" s="2"/>
      <c r="G11" s="2"/>
      <c r="H11" s="2"/>
      <c r="I11" s="2"/>
      <c r="J11" s="2"/>
      <c r="M11" s="66"/>
      <c r="N11" s="66"/>
      <c r="O11" s="66"/>
      <c r="P11" s="66"/>
      <c r="Q11" s="66"/>
      <c r="R11" s="66"/>
      <c r="S11" s="66"/>
      <c r="T11" s="66"/>
      <c r="U11" s="66"/>
      <c r="V11" s="66"/>
      <c r="W11" s="66"/>
      <c r="X11" s="66"/>
      <c r="Y11" s="140"/>
    </row>
    <row r="12" spans="1:25" ht="15" x14ac:dyDescent="0.25">
      <c r="A12" s="2"/>
      <c r="B12" s="15" t="s">
        <v>23</v>
      </c>
      <c r="C12" s="15" t="s">
        <v>25</v>
      </c>
      <c r="D12" s="15" t="s">
        <v>24</v>
      </c>
      <c r="E12" s="2"/>
      <c r="F12" s="2"/>
      <c r="G12" s="2"/>
      <c r="H12" s="2"/>
      <c r="I12" s="2"/>
      <c r="J12" s="2"/>
      <c r="M12" s="142" t="s">
        <v>535</v>
      </c>
      <c r="N12" s="66"/>
      <c r="O12" s="66"/>
      <c r="P12" s="66"/>
      <c r="Q12" s="66"/>
      <c r="R12" s="66"/>
      <c r="S12" s="66"/>
      <c r="T12" s="66"/>
      <c r="U12" s="66"/>
      <c r="V12" s="66"/>
      <c r="W12" s="66"/>
      <c r="X12" s="66"/>
      <c r="Y12" s="140"/>
    </row>
    <row r="13" spans="1:25" ht="16.5" x14ac:dyDescent="0.3">
      <c r="A13" s="2"/>
      <c r="B13" s="7" t="s">
        <v>283</v>
      </c>
      <c r="C13" s="2">
        <v>2.0699999999999998</v>
      </c>
      <c r="D13" s="10">
        <v>21.5</v>
      </c>
      <c r="E13" s="2"/>
      <c r="F13" s="2"/>
      <c r="G13" s="2"/>
      <c r="H13" s="2"/>
      <c r="I13" s="2"/>
      <c r="J13" s="2"/>
      <c r="M13" s="66"/>
      <c r="N13" s="66"/>
      <c r="O13" s="66"/>
      <c r="P13" s="66"/>
      <c r="Q13" s="66"/>
      <c r="R13" s="66"/>
      <c r="S13" s="66"/>
      <c r="T13" s="66"/>
      <c r="U13" s="66"/>
      <c r="V13" s="66"/>
      <c r="W13" s="66"/>
      <c r="X13" s="66"/>
      <c r="Y13" s="140"/>
    </row>
    <row r="14" spans="1:25" ht="16.5" x14ac:dyDescent="0.3">
      <c r="A14" s="2"/>
      <c r="B14" s="7" t="s">
        <v>284</v>
      </c>
      <c r="C14" s="2">
        <v>48.67</v>
      </c>
      <c r="D14" s="10">
        <v>505.6</v>
      </c>
      <c r="E14" s="2"/>
      <c r="F14" s="2"/>
      <c r="G14" s="2"/>
      <c r="H14" s="2"/>
      <c r="I14" s="2"/>
      <c r="J14" s="2"/>
      <c r="M14" s="149" t="s">
        <v>7</v>
      </c>
      <c r="N14" s="179" t="s">
        <v>440</v>
      </c>
      <c r="O14" s="92">
        <v>291000</v>
      </c>
      <c r="P14" s="66" t="s">
        <v>22</v>
      </c>
      <c r="Q14" s="66"/>
      <c r="R14" s="66"/>
      <c r="S14" s="66"/>
      <c r="T14" s="66"/>
      <c r="U14" s="66"/>
      <c r="V14" s="66"/>
      <c r="W14" s="66"/>
      <c r="X14" s="66"/>
      <c r="Y14" s="140"/>
    </row>
    <row r="15" spans="1:25" ht="16.5" x14ac:dyDescent="0.3">
      <c r="A15" s="2"/>
      <c r="B15" s="7" t="s">
        <v>285</v>
      </c>
      <c r="C15" s="2">
        <v>10.11</v>
      </c>
      <c r="D15" s="10">
        <v>105</v>
      </c>
      <c r="E15" s="2"/>
      <c r="F15" s="2"/>
      <c r="G15" s="2"/>
      <c r="H15" s="2"/>
      <c r="I15" s="2"/>
      <c r="J15" s="2"/>
      <c r="M15" s="149" t="s">
        <v>55</v>
      </c>
      <c r="N15" s="179" t="s">
        <v>440</v>
      </c>
      <c r="O15" s="84">
        <v>1.3</v>
      </c>
      <c r="P15" s="66" t="s">
        <v>358</v>
      </c>
      <c r="Q15" s="66"/>
      <c r="R15" s="66"/>
      <c r="S15" s="66"/>
      <c r="T15" s="66"/>
      <c r="U15" s="66"/>
      <c r="V15" s="66"/>
      <c r="W15" s="66"/>
      <c r="X15" s="66"/>
      <c r="Y15" s="140"/>
    </row>
    <row r="16" spans="1:25" ht="16.5" x14ac:dyDescent="0.3">
      <c r="A16" s="2"/>
      <c r="B16" s="7" t="s">
        <v>286</v>
      </c>
      <c r="C16" s="2">
        <v>24.08</v>
      </c>
      <c r="D16" s="10">
        <v>250.1</v>
      </c>
      <c r="E16" s="2"/>
      <c r="F16" s="2"/>
      <c r="G16" s="2"/>
      <c r="H16" s="2"/>
      <c r="I16" s="2"/>
      <c r="J16" s="2"/>
      <c r="M16" s="66"/>
      <c r="N16" s="66"/>
      <c r="O16" s="66"/>
      <c r="P16" s="66"/>
      <c r="Q16" s="66"/>
      <c r="R16" s="66"/>
      <c r="S16" s="66"/>
      <c r="T16" s="66"/>
      <c r="U16" s="66"/>
      <c r="V16" s="66"/>
      <c r="W16" s="66"/>
      <c r="X16" s="66"/>
      <c r="Y16" s="177"/>
    </row>
    <row r="17" spans="1:25" ht="16.5" x14ac:dyDescent="0.3">
      <c r="A17" s="2"/>
      <c r="B17" s="7" t="s">
        <v>297</v>
      </c>
      <c r="C17" s="2">
        <v>5.41</v>
      </c>
      <c r="D17" s="10">
        <v>56.2</v>
      </c>
      <c r="E17" s="2"/>
      <c r="F17" s="2"/>
      <c r="G17" s="2"/>
      <c r="H17" s="2"/>
      <c r="I17" s="2"/>
      <c r="J17" s="2"/>
      <c r="M17" s="180" t="s">
        <v>23</v>
      </c>
      <c r="N17" s="145" t="s">
        <v>25</v>
      </c>
      <c r="O17" s="145" t="s">
        <v>24</v>
      </c>
      <c r="P17" s="140"/>
      <c r="Q17" s="66"/>
      <c r="R17" s="66"/>
      <c r="S17" s="66"/>
      <c r="T17" s="66"/>
      <c r="U17" s="66"/>
      <c r="V17" s="66"/>
      <c r="W17" s="66"/>
      <c r="X17" s="66"/>
      <c r="Y17" s="177"/>
    </row>
    <row r="18" spans="1:25" ht="16.5" x14ac:dyDescent="0.3">
      <c r="A18" s="2"/>
      <c r="B18" s="7" t="s">
        <v>298</v>
      </c>
      <c r="C18" s="2">
        <v>4.8099999999999996</v>
      </c>
      <c r="D18" s="10">
        <v>50</v>
      </c>
      <c r="E18" s="2"/>
      <c r="F18" s="2"/>
      <c r="G18" s="2"/>
      <c r="H18" s="2"/>
      <c r="I18" s="2"/>
      <c r="J18" s="2"/>
      <c r="M18" s="149" t="s">
        <v>283</v>
      </c>
      <c r="N18" s="181">
        <f t="shared" ref="N18:N24" si="0">(O18/$O$25)*100</f>
        <v>2.0696958028494414</v>
      </c>
      <c r="O18" s="77">
        <v>21.5</v>
      </c>
      <c r="P18" s="140"/>
      <c r="Q18" s="66"/>
      <c r="R18" s="66"/>
      <c r="S18" s="66"/>
      <c r="T18" s="66"/>
      <c r="U18" s="66"/>
      <c r="V18" s="66"/>
      <c r="W18" s="66"/>
      <c r="X18" s="66"/>
      <c r="Y18" s="177"/>
    </row>
    <row r="19" spans="1:25" ht="16.5" x14ac:dyDescent="0.3">
      <c r="A19" s="2"/>
      <c r="B19" s="12" t="s">
        <v>299</v>
      </c>
      <c r="C19" s="31">
        <v>4.8499999999999996</v>
      </c>
      <c r="D19" s="29">
        <v>50.4</v>
      </c>
      <c r="E19" s="2"/>
      <c r="F19" s="2"/>
      <c r="G19" s="2"/>
      <c r="H19" s="2"/>
      <c r="I19" s="2"/>
      <c r="J19" s="2"/>
      <c r="M19" s="149" t="s">
        <v>284</v>
      </c>
      <c r="N19" s="181">
        <f t="shared" si="0"/>
        <v>48.671544089333842</v>
      </c>
      <c r="O19" s="77">
        <v>505.6</v>
      </c>
      <c r="P19" s="140"/>
      <c r="Q19" s="66"/>
      <c r="R19" s="66"/>
      <c r="S19" s="66"/>
      <c r="T19" s="66"/>
      <c r="U19" s="66"/>
      <c r="V19" s="66"/>
      <c r="W19" s="66"/>
      <c r="X19" s="66"/>
      <c r="Y19" s="177"/>
    </row>
    <row r="20" spans="1:25" ht="16.5" x14ac:dyDescent="0.3">
      <c r="A20" s="2"/>
      <c r="B20" s="7" t="s">
        <v>20</v>
      </c>
      <c r="C20" s="2">
        <f>SUM(C13:C19)</f>
        <v>100</v>
      </c>
      <c r="D20" s="104">
        <f>SUM(D13:D19)</f>
        <v>1038.8000000000002</v>
      </c>
      <c r="E20" s="2"/>
      <c r="F20" s="2"/>
      <c r="G20" s="2"/>
      <c r="H20" s="2"/>
      <c r="I20" s="2"/>
      <c r="J20" s="2"/>
      <c r="M20" s="149" t="s">
        <v>285</v>
      </c>
      <c r="N20" s="181">
        <f t="shared" si="0"/>
        <v>10.107816711590296</v>
      </c>
      <c r="O20" s="77">
        <v>105</v>
      </c>
      <c r="P20" s="140"/>
      <c r="Q20" s="66"/>
      <c r="R20" s="66"/>
      <c r="S20" s="66"/>
      <c r="T20" s="66"/>
      <c r="U20" s="66"/>
      <c r="V20" s="66"/>
      <c r="W20" s="66"/>
      <c r="X20" s="66"/>
      <c r="Y20" s="177"/>
    </row>
    <row r="21" spans="1:25" ht="16.5" x14ac:dyDescent="0.3">
      <c r="A21" s="2"/>
      <c r="B21" s="2"/>
      <c r="C21" s="2"/>
      <c r="D21" s="2"/>
      <c r="E21" s="2"/>
      <c r="F21" s="2"/>
      <c r="G21" s="2"/>
      <c r="H21" s="2"/>
      <c r="I21" s="2"/>
      <c r="J21" s="2"/>
      <c r="M21" s="149" t="s">
        <v>286</v>
      </c>
      <c r="N21" s="181">
        <f t="shared" si="0"/>
        <v>24.075856757797453</v>
      </c>
      <c r="O21" s="77">
        <v>250.1</v>
      </c>
      <c r="P21" s="140"/>
      <c r="Q21" s="66"/>
      <c r="R21" s="66"/>
      <c r="S21" s="66"/>
      <c r="T21" s="66"/>
      <c r="U21" s="66"/>
      <c r="V21" s="66"/>
      <c r="W21" s="66"/>
      <c r="X21" s="66"/>
      <c r="Y21" s="177"/>
    </row>
    <row r="22" spans="1:25" ht="16.5" x14ac:dyDescent="0.3">
      <c r="A22" s="2" t="s">
        <v>26</v>
      </c>
      <c r="B22" s="2"/>
      <c r="C22" s="2" t="s">
        <v>464</v>
      </c>
      <c r="D22" s="2"/>
      <c r="E22" s="2"/>
      <c r="F22" s="2"/>
      <c r="G22" s="2"/>
      <c r="H22" s="2"/>
      <c r="I22" s="2"/>
      <c r="J22" s="2"/>
      <c r="M22" s="149" t="s">
        <v>297</v>
      </c>
      <c r="N22" s="181">
        <f t="shared" si="0"/>
        <v>5.4100885637273768</v>
      </c>
      <c r="O22" s="77">
        <v>56.2</v>
      </c>
      <c r="P22" s="140"/>
      <c r="Q22" s="66"/>
      <c r="R22" s="66"/>
      <c r="S22" s="66"/>
      <c r="T22" s="66"/>
      <c r="U22" s="66"/>
      <c r="V22" s="66"/>
      <c r="W22" s="66"/>
      <c r="X22" s="66"/>
      <c r="Y22" s="177"/>
    </row>
    <row r="23" spans="1:25" ht="16.5" x14ac:dyDescent="0.3">
      <c r="A23" s="2"/>
      <c r="B23" s="2"/>
      <c r="C23" s="2" t="s">
        <v>465</v>
      </c>
      <c r="D23" s="2"/>
      <c r="E23" s="2"/>
      <c r="F23" s="2"/>
      <c r="G23" s="2"/>
      <c r="H23" s="2"/>
      <c r="I23" s="2"/>
      <c r="J23" s="2"/>
      <c r="M23" s="149" t="s">
        <v>298</v>
      </c>
      <c r="N23" s="181">
        <f t="shared" si="0"/>
        <v>4.8132460531382355</v>
      </c>
      <c r="O23" s="77">
        <v>50</v>
      </c>
      <c r="P23" s="140"/>
      <c r="Q23" s="66"/>
      <c r="R23" s="66"/>
      <c r="S23" s="66"/>
      <c r="T23" s="66"/>
      <c r="U23" s="66"/>
      <c r="V23" s="66"/>
      <c r="W23" s="66"/>
      <c r="X23" s="66"/>
      <c r="Y23" s="177"/>
    </row>
    <row r="24" spans="1:25" ht="16.5" x14ac:dyDescent="0.3">
      <c r="A24" s="2"/>
      <c r="B24" s="2"/>
      <c r="C24" s="2"/>
      <c r="D24" s="2"/>
      <c r="E24" s="2"/>
      <c r="F24" s="2"/>
      <c r="G24" s="2"/>
      <c r="H24" s="2"/>
      <c r="I24" s="2"/>
      <c r="J24" s="2"/>
      <c r="M24" s="182" t="s">
        <v>299</v>
      </c>
      <c r="N24" s="183">
        <f t="shared" si="0"/>
        <v>4.8517520215633416</v>
      </c>
      <c r="O24" s="93">
        <v>50.4</v>
      </c>
      <c r="P24" s="140"/>
      <c r="Q24" s="66"/>
      <c r="R24" s="66"/>
      <c r="S24" s="66"/>
      <c r="T24" s="66"/>
      <c r="U24" s="66"/>
      <c r="V24" s="66"/>
      <c r="W24" s="66"/>
      <c r="X24" s="66"/>
      <c r="Y24" s="177"/>
    </row>
    <row r="25" spans="1:25" ht="15" x14ac:dyDescent="0.25">
      <c r="A25" s="2"/>
      <c r="B25" s="2"/>
      <c r="C25" s="2" t="s">
        <v>668</v>
      </c>
      <c r="D25" s="2"/>
      <c r="E25" s="2"/>
      <c r="F25" s="2"/>
      <c r="G25" s="2"/>
      <c r="H25" s="2"/>
      <c r="I25" s="2"/>
      <c r="J25" s="2"/>
      <c r="M25" s="149" t="s">
        <v>20</v>
      </c>
      <c r="N25" s="143">
        <f>SUM(N18:N24)</f>
        <v>99.999999999999986</v>
      </c>
      <c r="O25" s="184">
        <f>SUM(O18:O24)</f>
        <v>1038.8000000000002</v>
      </c>
      <c r="P25" s="140"/>
      <c r="Q25" s="66"/>
      <c r="R25" s="66"/>
      <c r="S25" s="66"/>
      <c r="T25" s="66"/>
      <c r="U25" s="66"/>
      <c r="V25" s="66"/>
      <c r="W25" s="66"/>
      <c r="X25" s="66"/>
      <c r="Y25" s="177"/>
    </row>
    <row r="26" spans="1:25" ht="15" x14ac:dyDescent="0.25">
      <c r="A26" s="2"/>
      <c r="B26" s="2"/>
      <c r="C26" s="2"/>
      <c r="D26" s="2"/>
      <c r="E26" s="2"/>
      <c r="F26" s="2"/>
      <c r="G26" s="2"/>
      <c r="H26" s="2"/>
      <c r="I26" s="2"/>
      <c r="J26" s="2"/>
      <c r="M26" s="66"/>
      <c r="N26" s="66"/>
      <c r="O26" s="66"/>
      <c r="P26" s="66"/>
      <c r="Q26" s="66"/>
      <c r="R26" s="66"/>
      <c r="S26" s="66"/>
      <c r="T26" s="66"/>
      <c r="U26" s="66"/>
      <c r="V26" s="66"/>
      <c r="W26" s="66"/>
      <c r="X26" s="66"/>
      <c r="Y26" s="177"/>
    </row>
    <row r="27" spans="1:25" ht="16.5" x14ac:dyDescent="0.3">
      <c r="A27" s="2" t="s">
        <v>27</v>
      </c>
      <c r="B27" s="2"/>
      <c r="C27" s="2"/>
      <c r="D27" s="2"/>
      <c r="E27" s="2"/>
      <c r="F27" s="2"/>
      <c r="G27" s="2"/>
      <c r="H27" s="2"/>
      <c r="I27" s="2"/>
      <c r="J27" s="2"/>
      <c r="M27" s="144" t="s">
        <v>539</v>
      </c>
      <c r="N27" s="185" t="s">
        <v>440</v>
      </c>
      <c r="O27" s="84">
        <v>98</v>
      </c>
      <c r="P27" s="66" t="s">
        <v>536</v>
      </c>
      <c r="Q27" s="66"/>
      <c r="R27" s="66"/>
      <c r="S27" s="66"/>
      <c r="T27" s="66"/>
      <c r="U27" s="66"/>
      <c r="V27" s="66"/>
      <c r="W27" s="66"/>
      <c r="X27" s="66"/>
      <c r="Y27" s="177"/>
    </row>
    <row r="28" spans="1:25" ht="15" x14ac:dyDescent="0.25">
      <c r="A28" s="2"/>
      <c r="B28" s="2"/>
      <c r="C28" s="2"/>
      <c r="D28" s="2"/>
      <c r="E28" s="2"/>
      <c r="F28" s="2"/>
      <c r="G28" s="2"/>
      <c r="H28" s="2"/>
      <c r="I28" s="2"/>
      <c r="J28" s="2"/>
      <c r="M28" s="144" t="s">
        <v>538</v>
      </c>
      <c r="N28" s="185" t="s">
        <v>440</v>
      </c>
      <c r="O28" s="84">
        <v>1</v>
      </c>
      <c r="P28" s="66" t="s">
        <v>537</v>
      </c>
      <c r="Q28" s="66"/>
      <c r="R28" s="66"/>
      <c r="S28" s="66"/>
      <c r="T28" s="66"/>
      <c r="U28" s="66"/>
      <c r="V28" s="66"/>
      <c r="W28" s="66"/>
      <c r="X28" s="66"/>
      <c r="Y28" s="177"/>
    </row>
    <row r="29" spans="1:25" ht="15" x14ac:dyDescent="0.25">
      <c r="A29" s="2" t="s">
        <v>28</v>
      </c>
      <c r="B29" s="2"/>
      <c r="C29" s="2"/>
      <c r="D29" s="2"/>
      <c r="E29" s="2"/>
      <c r="F29" s="2"/>
      <c r="G29" s="2"/>
      <c r="H29" s="2"/>
      <c r="I29" s="2"/>
      <c r="J29" s="2"/>
      <c r="M29" s="66"/>
      <c r="N29" s="66"/>
      <c r="O29" s="66"/>
      <c r="P29" s="66"/>
      <c r="Q29" s="66"/>
      <c r="R29" s="66"/>
      <c r="S29" s="66"/>
      <c r="T29" s="66"/>
      <c r="U29" s="66"/>
      <c r="V29" s="66"/>
      <c r="W29" s="66"/>
      <c r="X29" s="66"/>
      <c r="Y29" s="177"/>
    </row>
    <row r="30" spans="1:25" ht="16.5" x14ac:dyDescent="0.3">
      <c r="A30" s="2" t="s">
        <v>669</v>
      </c>
      <c r="B30" s="2"/>
      <c r="C30" s="2"/>
      <c r="D30" s="2"/>
      <c r="E30" s="2"/>
      <c r="F30" s="2"/>
      <c r="G30" s="2"/>
      <c r="H30" s="2"/>
      <c r="I30" s="2"/>
      <c r="J30" s="2"/>
      <c r="M30" s="66" t="s">
        <v>679</v>
      </c>
      <c r="N30" s="140"/>
      <c r="O30" s="66"/>
      <c r="P30" s="89">
        <v>120</v>
      </c>
      <c r="Q30" s="66" t="s">
        <v>318</v>
      </c>
      <c r="R30" s="66"/>
      <c r="S30" s="66"/>
      <c r="T30" s="66"/>
      <c r="U30" s="66"/>
      <c r="V30" s="66"/>
      <c r="W30" s="66"/>
      <c r="X30" s="66"/>
      <c r="Y30" s="177"/>
    </row>
    <row r="31" spans="1:25" ht="15" x14ac:dyDescent="0.25">
      <c r="A31" s="2"/>
      <c r="B31" s="2"/>
      <c r="C31" s="2"/>
      <c r="D31" s="2"/>
      <c r="E31" s="2"/>
      <c r="F31" s="2"/>
      <c r="G31" s="2"/>
      <c r="H31" s="2"/>
      <c r="I31" s="2"/>
      <c r="J31" s="2"/>
      <c r="M31" s="66"/>
      <c r="N31" s="66"/>
      <c r="O31" s="66"/>
      <c r="P31" s="66"/>
      <c r="Q31" s="66"/>
      <c r="R31" s="66"/>
      <c r="S31" s="66"/>
      <c r="T31" s="66"/>
      <c r="U31" s="66"/>
      <c r="V31" s="66"/>
      <c r="W31" s="66"/>
      <c r="X31" s="66"/>
      <c r="Y31" s="177"/>
    </row>
    <row r="32" spans="1:25" ht="16.5" x14ac:dyDescent="0.3">
      <c r="A32" s="2" t="s">
        <v>495</v>
      </c>
      <c r="B32" s="2"/>
      <c r="C32" s="2"/>
      <c r="D32" s="2"/>
      <c r="E32" s="2"/>
      <c r="F32" s="2"/>
      <c r="G32" s="2"/>
      <c r="H32" s="2"/>
      <c r="I32" s="2"/>
      <c r="J32" s="2"/>
      <c r="M32" s="66"/>
      <c r="N32" s="66"/>
      <c r="O32" s="66"/>
      <c r="P32" s="66"/>
      <c r="Q32" s="66"/>
      <c r="R32" s="66"/>
      <c r="S32" s="66"/>
      <c r="T32" s="66"/>
      <c r="U32" s="66"/>
      <c r="V32" s="66"/>
      <c r="W32" s="66"/>
      <c r="X32" s="66"/>
      <c r="Y32" s="177"/>
    </row>
    <row r="33" spans="1:25" ht="15" x14ac:dyDescent="0.25">
      <c r="A33" s="2"/>
      <c r="B33" s="2"/>
      <c r="C33" s="2"/>
      <c r="D33" s="2"/>
      <c r="E33" s="2"/>
      <c r="F33" s="2"/>
      <c r="G33" s="2"/>
      <c r="H33" s="2"/>
      <c r="I33" s="2"/>
      <c r="J33" s="2"/>
      <c r="M33" s="66"/>
      <c r="N33" s="66"/>
      <c r="O33" s="66"/>
      <c r="P33" s="66"/>
      <c r="Q33" s="66"/>
      <c r="R33" s="66"/>
      <c r="S33" s="66"/>
      <c r="T33" s="66"/>
      <c r="U33" s="66"/>
      <c r="V33" s="66"/>
      <c r="W33" s="66"/>
      <c r="X33" s="66"/>
      <c r="Y33" s="177"/>
    </row>
    <row r="34" spans="1:25" ht="16.5" x14ac:dyDescent="0.3">
      <c r="A34" s="2"/>
      <c r="B34" s="2"/>
      <c r="C34" s="10">
        <f>0.98*D14</f>
        <v>495.488</v>
      </c>
      <c r="D34" s="2" t="s">
        <v>461</v>
      </c>
      <c r="E34" s="2"/>
      <c r="F34" s="2"/>
      <c r="G34" s="2"/>
      <c r="H34" s="2"/>
      <c r="I34" s="2"/>
      <c r="J34" s="2"/>
      <c r="M34" s="139" t="s">
        <v>486</v>
      </c>
      <c r="N34" s="66"/>
      <c r="O34" s="66"/>
      <c r="P34" s="66"/>
      <c r="Q34" s="66"/>
      <c r="R34" s="66"/>
      <c r="S34" s="66"/>
      <c r="T34" s="66"/>
      <c r="U34" s="66"/>
      <c r="V34" s="66"/>
      <c r="W34" s="66"/>
      <c r="X34" s="66"/>
      <c r="Y34" s="177"/>
    </row>
    <row r="35" spans="1:25" ht="16.5" x14ac:dyDescent="0.3">
      <c r="A35" s="2"/>
      <c r="B35" s="2"/>
      <c r="C35" s="2"/>
      <c r="D35" s="2"/>
      <c r="E35" s="2"/>
      <c r="F35" s="2"/>
      <c r="G35" s="2"/>
      <c r="H35" s="2"/>
      <c r="I35" s="2"/>
      <c r="J35" s="2"/>
      <c r="M35" s="149" t="s">
        <v>540</v>
      </c>
      <c r="N35" s="185" t="s">
        <v>440</v>
      </c>
      <c r="O35" s="148">
        <f>(O27/100)*O19</f>
        <v>495.488</v>
      </c>
      <c r="P35" s="66" t="s">
        <v>461</v>
      </c>
      <c r="Q35" s="150"/>
      <c r="R35" s="66"/>
      <c r="S35" s="66"/>
      <c r="T35" s="66"/>
      <c r="U35" s="66"/>
      <c r="V35" s="66"/>
      <c r="W35" s="66"/>
      <c r="X35" s="66"/>
      <c r="Y35" s="177"/>
    </row>
    <row r="36" spans="1:25" ht="16.5" x14ac:dyDescent="0.3">
      <c r="A36" s="2" t="s">
        <v>463</v>
      </c>
      <c r="B36" s="2"/>
      <c r="C36" s="2"/>
      <c r="D36" s="2"/>
      <c r="E36" s="2"/>
      <c r="F36" s="2"/>
      <c r="G36" s="2"/>
      <c r="H36" s="2"/>
      <c r="I36" s="2"/>
      <c r="J36" s="2"/>
      <c r="M36" s="149" t="s">
        <v>541</v>
      </c>
      <c r="N36" s="185" t="s">
        <v>440</v>
      </c>
      <c r="O36" s="148">
        <f>O18</f>
        <v>21.5</v>
      </c>
      <c r="P36" s="66" t="s">
        <v>462</v>
      </c>
      <c r="Q36" s="66"/>
      <c r="R36" s="66"/>
      <c r="S36" s="66"/>
      <c r="T36" s="66"/>
      <c r="U36" s="66"/>
      <c r="V36" s="66"/>
      <c r="W36" s="66"/>
      <c r="X36" s="66"/>
      <c r="Y36" s="177"/>
    </row>
    <row r="37" spans="1:25" ht="16.5" x14ac:dyDescent="0.3">
      <c r="A37" s="2"/>
      <c r="B37" s="2"/>
      <c r="C37" s="2"/>
      <c r="D37" s="2"/>
      <c r="E37" s="2"/>
      <c r="F37" s="2"/>
      <c r="G37" s="2"/>
      <c r="H37" s="2"/>
      <c r="I37" s="2"/>
      <c r="J37" s="2"/>
      <c r="M37" s="149" t="s">
        <v>542</v>
      </c>
      <c r="N37" s="185" t="s">
        <v>440</v>
      </c>
      <c r="O37" s="148">
        <f>(O28/100)*((O35+O36)/(1-(O28/100)))</f>
        <v>5.222101010101011</v>
      </c>
      <c r="P37" s="66" t="s">
        <v>497</v>
      </c>
      <c r="Q37" s="66"/>
      <c r="R37" s="66"/>
      <c r="S37" s="66"/>
      <c r="T37" s="66"/>
      <c r="U37" s="66"/>
      <c r="V37" s="66"/>
      <c r="W37" s="66"/>
      <c r="X37" s="66"/>
      <c r="Y37" s="177"/>
    </row>
    <row r="38" spans="1:25" ht="16.5" x14ac:dyDescent="0.3">
      <c r="A38" s="2"/>
      <c r="B38" s="2"/>
      <c r="C38" s="10">
        <f>D13</f>
        <v>21.5</v>
      </c>
      <c r="D38" s="2" t="s">
        <v>462</v>
      </c>
      <c r="E38" s="2"/>
      <c r="F38" s="2"/>
      <c r="G38" s="2"/>
      <c r="H38" s="2"/>
      <c r="I38" s="2"/>
      <c r="J38" s="2"/>
      <c r="M38" s="66"/>
      <c r="N38" s="66"/>
      <c r="O38" s="66"/>
      <c r="P38" s="66"/>
      <c r="Q38" s="66"/>
      <c r="R38" s="66"/>
      <c r="S38" s="66"/>
      <c r="T38" s="66"/>
      <c r="U38" s="66"/>
      <c r="V38" s="66"/>
      <c r="W38" s="66"/>
      <c r="X38" s="66"/>
      <c r="Y38" s="177"/>
    </row>
    <row r="39" spans="1:25" ht="15" x14ac:dyDescent="0.25">
      <c r="A39" s="2"/>
      <c r="B39" s="2"/>
      <c r="C39" s="2"/>
      <c r="D39" s="2"/>
      <c r="E39" s="2"/>
      <c r="F39" s="2"/>
      <c r="G39" s="2"/>
      <c r="H39" s="2"/>
      <c r="I39" s="2"/>
      <c r="J39" s="2"/>
      <c r="M39" s="66"/>
      <c r="N39" s="186" t="s">
        <v>7</v>
      </c>
      <c r="O39" s="186"/>
      <c r="P39" s="186" t="s">
        <v>17</v>
      </c>
      <c r="Q39" s="186"/>
      <c r="R39" s="186" t="s">
        <v>18</v>
      </c>
      <c r="S39" s="186"/>
      <c r="T39" s="66"/>
      <c r="U39" s="66"/>
      <c r="V39" s="66"/>
      <c r="W39" s="66"/>
      <c r="X39" s="66"/>
      <c r="Y39" s="177"/>
    </row>
    <row r="40" spans="1:25" ht="15" x14ac:dyDescent="0.25">
      <c r="A40" s="2" t="s">
        <v>705</v>
      </c>
      <c r="B40" s="2"/>
      <c r="C40" s="2"/>
      <c r="D40" s="2"/>
      <c r="E40" s="2"/>
      <c r="F40" s="2"/>
      <c r="G40" s="2"/>
      <c r="H40" s="2"/>
      <c r="I40" s="2"/>
      <c r="J40" s="2"/>
      <c r="M40" s="66"/>
      <c r="N40" s="187" t="s">
        <v>29</v>
      </c>
      <c r="O40" s="187" t="s">
        <v>25</v>
      </c>
      <c r="P40" s="187" t="s">
        <v>29</v>
      </c>
      <c r="Q40" s="187" t="s">
        <v>25</v>
      </c>
      <c r="R40" s="187" t="s">
        <v>29</v>
      </c>
      <c r="S40" s="187" t="s">
        <v>25</v>
      </c>
      <c r="T40" s="66"/>
      <c r="U40" s="66"/>
      <c r="V40" s="66"/>
      <c r="W40" s="66"/>
      <c r="X40" s="66"/>
      <c r="Y40" s="177"/>
    </row>
    <row r="41" spans="1:25" ht="17.25" x14ac:dyDescent="0.3">
      <c r="A41" s="2"/>
      <c r="B41" s="2"/>
      <c r="C41" s="2"/>
      <c r="D41" s="2"/>
      <c r="E41" s="2"/>
      <c r="F41" s="2"/>
      <c r="G41" s="2"/>
      <c r="H41" s="2"/>
      <c r="I41" s="2"/>
      <c r="J41" s="2"/>
      <c r="M41" s="188" t="s">
        <v>288</v>
      </c>
      <c r="N41" s="189">
        <f t="shared" ref="N41:N47" si="1">O18</f>
        <v>21.5</v>
      </c>
      <c r="O41" s="189">
        <f t="shared" ref="O41:O47" si="2">(N41/$N$48)*100</f>
        <v>2.0696958028494414</v>
      </c>
      <c r="P41" s="189">
        <f>O36</f>
        <v>21.5</v>
      </c>
      <c r="Q41" s="189">
        <f t="shared" ref="Q41:Q47" si="3">(P41/$P$48)*100</f>
        <v>4.1171168383018557</v>
      </c>
      <c r="R41" s="189">
        <f t="shared" ref="R41:R47" si="4">N41-P41</f>
        <v>0</v>
      </c>
      <c r="S41" s="189">
        <f t="shared" ref="S41:S47" si="5">(R41/$R$48)*100</f>
        <v>0</v>
      </c>
      <c r="T41" s="66"/>
      <c r="U41" s="66"/>
      <c r="V41" s="66"/>
      <c r="W41" s="66"/>
      <c r="X41" s="66"/>
      <c r="Y41" s="177"/>
    </row>
    <row r="42" spans="1:25" ht="17.25" x14ac:dyDescent="0.3">
      <c r="A42" s="2" t="s">
        <v>496</v>
      </c>
      <c r="B42" s="2"/>
      <c r="C42" s="2"/>
      <c r="D42" s="2"/>
      <c r="E42" s="2"/>
      <c r="F42" s="2"/>
      <c r="G42" s="2"/>
      <c r="H42" s="2"/>
      <c r="I42" s="2"/>
      <c r="J42" s="2"/>
      <c r="M42" s="188" t="s">
        <v>289</v>
      </c>
      <c r="N42" s="189">
        <f t="shared" si="1"/>
        <v>505.6</v>
      </c>
      <c r="O42" s="189">
        <f t="shared" si="2"/>
        <v>48.671544089333842</v>
      </c>
      <c r="P42" s="189">
        <f>O35</f>
        <v>495.488</v>
      </c>
      <c r="Q42" s="189">
        <f t="shared" si="3"/>
        <v>94.882883161698132</v>
      </c>
      <c r="R42" s="189">
        <f t="shared" si="4"/>
        <v>10.112000000000023</v>
      </c>
      <c r="S42" s="189">
        <f t="shared" si="5"/>
        <v>1.957452133650361</v>
      </c>
      <c r="T42" s="66"/>
      <c r="U42" s="66"/>
      <c r="V42" s="66"/>
      <c r="W42" s="66"/>
      <c r="X42" s="66"/>
      <c r="Y42" s="177"/>
    </row>
    <row r="43" spans="1:25" ht="17.25" x14ac:dyDescent="0.3">
      <c r="A43" s="2"/>
      <c r="B43" s="2"/>
      <c r="C43" s="2"/>
      <c r="D43" s="2"/>
      <c r="E43" s="2"/>
      <c r="F43" s="2"/>
      <c r="G43" s="2"/>
      <c r="H43" s="2"/>
      <c r="I43" s="2"/>
      <c r="J43" s="2"/>
      <c r="M43" s="188" t="s">
        <v>290</v>
      </c>
      <c r="N43" s="189">
        <f t="shared" si="1"/>
        <v>105</v>
      </c>
      <c r="O43" s="189">
        <f t="shared" si="2"/>
        <v>10.107816711590296</v>
      </c>
      <c r="P43" s="189">
        <f>O37</f>
        <v>5.222101010101011</v>
      </c>
      <c r="Q43" s="189">
        <f t="shared" si="3"/>
        <v>1</v>
      </c>
      <c r="R43" s="189">
        <f t="shared" si="4"/>
        <v>99.777898989898986</v>
      </c>
      <c r="S43" s="189">
        <f t="shared" si="5"/>
        <v>19.314721248905016</v>
      </c>
      <c r="T43" s="66"/>
      <c r="U43" s="66"/>
      <c r="V43" s="66"/>
      <c r="W43" s="66"/>
      <c r="X43" s="66"/>
      <c r="Y43" s="177"/>
    </row>
    <row r="44" spans="1:25" ht="17.25" x14ac:dyDescent="0.3">
      <c r="A44" s="2"/>
      <c r="B44" s="2"/>
      <c r="C44" s="10">
        <f>(C38+C34)/0.99</f>
        <v>522.21010101010108</v>
      </c>
      <c r="D44" s="2" t="s">
        <v>29</v>
      </c>
      <c r="E44" s="2"/>
      <c r="F44" s="2"/>
      <c r="G44" s="2"/>
      <c r="H44" s="2"/>
      <c r="I44" s="2"/>
      <c r="J44" s="2"/>
      <c r="M44" s="188" t="s">
        <v>291</v>
      </c>
      <c r="N44" s="189">
        <f t="shared" si="1"/>
        <v>250.1</v>
      </c>
      <c r="O44" s="189">
        <f t="shared" si="2"/>
        <v>24.075856757797453</v>
      </c>
      <c r="P44" s="189">
        <v>0</v>
      </c>
      <c r="Q44" s="189">
        <f t="shared" si="3"/>
        <v>0</v>
      </c>
      <c r="R44" s="189">
        <f t="shared" si="4"/>
        <v>250.1</v>
      </c>
      <c r="S44" s="189">
        <f t="shared" si="5"/>
        <v>48.413645038167942</v>
      </c>
      <c r="T44" s="66"/>
      <c r="U44" s="66"/>
      <c r="V44" s="66"/>
      <c r="W44" s="66"/>
      <c r="X44" s="66"/>
      <c r="Y44" s="177"/>
    </row>
    <row r="45" spans="1:25" ht="17.25" x14ac:dyDescent="0.3">
      <c r="A45" s="2"/>
      <c r="B45" s="2"/>
      <c r="C45" s="2"/>
      <c r="D45" s="2"/>
      <c r="E45" s="2"/>
      <c r="F45" s="2"/>
      <c r="G45" s="2"/>
      <c r="H45" s="2"/>
      <c r="I45" s="2"/>
      <c r="J45" s="2"/>
      <c r="M45" s="188" t="s">
        <v>300</v>
      </c>
      <c r="N45" s="189">
        <f t="shared" si="1"/>
        <v>56.2</v>
      </c>
      <c r="O45" s="189">
        <f t="shared" si="2"/>
        <v>5.4100885637273768</v>
      </c>
      <c r="P45" s="189">
        <v>0</v>
      </c>
      <c r="Q45" s="189">
        <f t="shared" si="3"/>
        <v>0</v>
      </c>
      <c r="R45" s="189">
        <f t="shared" si="4"/>
        <v>56.2</v>
      </c>
      <c r="S45" s="189">
        <f t="shared" si="5"/>
        <v>10.879035790264048</v>
      </c>
      <c r="T45" s="66"/>
      <c r="U45" s="66"/>
      <c r="V45" s="66"/>
      <c r="W45" s="66"/>
      <c r="X45" s="66"/>
      <c r="Y45" s="177"/>
    </row>
    <row r="46" spans="1:25" ht="17.25" x14ac:dyDescent="0.3">
      <c r="A46" s="2" t="s">
        <v>466</v>
      </c>
      <c r="B46" s="2"/>
      <c r="C46" s="2"/>
      <c r="D46" s="2"/>
      <c r="E46" s="2"/>
      <c r="F46" s="2"/>
      <c r="G46" s="2"/>
      <c r="H46" s="2"/>
      <c r="I46" s="2"/>
      <c r="J46" s="2"/>
      <c r="M46" s="188" t="s">
        <v>301</v>
      </c>
      <c r="N46" s="189">
        <f t="shared" si="1"/>
        <v>50</v>
      </c>
      <c r="O46" s="189">
        <f t="shared" si="2"/>
        <v>4.8132460531382355</v>
      </c>
      <c r="P46" s="189">
        <v>0</v>
      </c>
      <c r="Q46" s="189">
        <f t="shared" si="3"/>
        <v>0</v>
      </c>
      <c r="R46" s="189">
        <f t="shared" si="4"/>
        <v>50</v>
      </c>
      <c r="S46" s="189">
        <f t="shared" si="5"/>
        <v>9.678857464647729</v>
      </c>
      <c r="T46" s="66"/>
      <c r="U46" s="66"/>
      <c r="V46" s="66"/>
      <c r="W46" s="66"/>
      <c r="X46" s="66"/>
      <c r="Y46" s="177"/>
    </row>
    <row r="47" spans="1:25" ht="17.25" x14ac:dyDescent="0.3">
      <c r="A47" s="2"/>
      <c r="B47" s="2"/>
      <c r="C47" s="2"/>
      <c r="D47" s="2"/>
      <c r="E47" s="2"/>
      <c r="F47" s="2"/>
      <c r="G47" s="2"/>
      <c r="H47" s="2"/>
      <c r="I47" s="2"/>
      <c r="J47" s="2"/>
      <c r="M47" s="188" t="s">
        <v>302</v>
      </c>
      <c r="N47" s="190">
        <f t="shared" si="1"/>
        <v>50.4</v>
      </c>
      <c r="O47" s="190">
        <f t="shared" si="2"/>
        <v>4.8517520215633416</v>
      </c>
      <c r="P47" s="190">
        <v>0</v>
      </c>
      <c r="Q47" s="190">
        <f t="shared" si="3"/>
        <v>0</v>
      </c>
      <c r="R47" s="190">
        <f t="shared" si="4"/>
        <v>50.4</v>
      </c>
      <c r="S47" s="190">
        <f t="shared" si="5"/>
        <v>9.7562883243649097</v>
      </c>
      <c r="T47" s="66"/>
      <c r="U47" s="66"/>
      <c r="V47" s="66"/>
      <c r="W47" s="66"/>
      <c r="X47" s="66"/>
      <c r="Y47" s="177"/>
    </row>
    <row r="48" spans="1:25" ht="15" x14ac:dyDescent="0.25">
      <c r="A48" s="2"/>
      <c r="B48" s="2"/>
      <c r="C48" s="10">
        <f>0.01*C44</f>
        <v>5.222101010101011</v>
      </c>
      <c r="D48" s="2" t="s">
        <v>29</v>
      </c>
      <c r="E48" s="2"/>
      <c r="F48" s="2"/>
      <c r="G48" s="2"/>
      <c r="H48" s="2"/>
      <c r="I48" s="2"/>
      <c r="J48" s="2"/>
      <c r="M48" s="188" t="s">
        <v>672</v>
      </c>
      <c r="N48" s="191">
        <f t="shared" ref="N48:S48" si="6">SUM(N41:N47)</f>
        <v>1038.8000000000002</v>
      </c>
      <c r="O48" s="191">
        <f t="shared" si="6"/>
        <v>99.999999999999986</v>
      </c>
      <c r="P48" s="190">
        <f t="shared" si="6"/>
        <v>522.21010101010108</v>
      </c>
      <c r="Q48" s="190">
        <f t="shared" si="6"/>
        <v>99.999999999999986</v>
      </c>
      <c r="R48" s="190">
        <f t="shared" si="6"/>
        <v>516.58989898989898</v>
      </c>
      <c r="S48" s="190">
        <f t="shared" si="6"/>
        <v>100</v>
      </c>
      <c r="T48" s="66"/>
      <c r="U48" s="66"/>
      <c r="V48" s="66"/>
      <c r="W48" s="66"/>
      <c r="X48" s="66"/>
      <c r="Y48" s="177"/>
    </row>
    <row r="49" spans="1:25" ht="15" x14ac:dyDescent="0.25">
      <c r="A49" s="2"/>
      <c r="B49" s="2"/>
      <c r="C49" s="2"/>
      <c r="D49" s="2"/>
      <c r="E49" s="2"/>
      <c r="F49" s="2"/>
      <c r="G49" s="2"/>
      <c r="H49" s="2"/>
      <c r="I49" s="2"/>
      <c r="J49" s="2"/>
      <c r="M49" s="140"/>
      <c r="N49" s="140"/>
      <c r="O49" s="140"/>
      <c r="P49" s="140"/>
      <c r="Q49" s="140"/>
      <c r="R49" s="140"/>
      <c r="S49" s="140"/>
      <c r="T49" s="66"/>
      <c r="U49" s="66"/>
      <c r="V49" s="66"/>
      <c r="W49" s="66"/>
      <c r="X49" s="66"/>
      <c r="Y49" s="177"/>
    </row>
    <row r="50" spans="1:25" ht="15" customHeight="1" x14ac:dyDescent="0.25">
      <c r="A50" s="2" t="s">
        <v>30</v>
      </c>
      <c r="B50" s="2"/>
      <c r="C50" s="2"/>
      <c r="D50" s="2"/>
      <c r="E50" s="2"/>
      <c r="F50" s="2"/>
      <c r="G50" s="2"/>
      <c r="H50" s="2"/>
      <c r="I50" s="2"/>
      <c r="J50" s="2"/>
      <c r="M50" s="140"/>
      <c r="N50" s="140"/>
      <c r="O50" s="140"/>
      <c r="P50" s="140"/>
      <c r="Q50" s="140"/>
      <c r="R50" s="140"/>
      <c r="S50" s="140"/>
      <c r="T50" s="66"/>
      <c r="U50" s="66"/>
      <c r="V50" s="66"/>
      <c r="W50" s="66"/>
      <c r="X50" s="66"/>
      <c r="Y50" s="177"/>
    </row>
    <row r="51" spans="1:25" ht="15" x14ac:dyDescent="0.25">
      <c r="A51" s="2"/>
      <c r="B51" s="2"/>
      <c r="C51" s="2"/>
      <c r="D51" s="2"/>
      <c r="E51" s="2"/>
      <c r="F51" s="2"/>
      <c r="G51" s="2"/>
      <c r="H51" s="2"/>
      <c r="I51" s="2"/>
      <c r="J51" s="2"/>
      <c r="M51" s="66"/>
      <c r="N51" s="66"/>
      <c r="O51" s="149"/>
      <c r="P51" s="143"/>
      <c r="Q51" s="150"/>
      <c r="R51" s="66"/>
      <c r="S51" s="66"/>
      <c r="T51" s="66"/>
      <c r="U51" s="66"/>
      <c r="V51" s="66"/>
      <c r="W51" s="66"/>
      <c r="X51" s="66"/>
      <c r="Y51" s="177"/>
    </row>
    <row r="52" spans="1:25" ht="15" x14ac:dyDescent="0.25">
      <c r="A52" s="2"/>
      <c r="B52" s="108" t="s">
        <v>7</v>
      </c>
      <c r="C52" s="110"/>
      <c r="D52" s="108" t="s">
        <v>17</v>
      </c>
      <c r="E52" s="110"/>
      <c r="F52" s="108" t="s">
        <v>18</v>
      </c>
      <c r="G52" s="110"/>
      <c r="H52" s="2"/>
      <c r="I52" s="2"/>
      <c r="J52" s="2"/>
      <c r="M52" s="192"/>
      <c r="N52" s="192"/>
      <c r="O52" s="192"/>
      <c r="P52" s="192"/>
      <c r="Q52" s="192"/>
      <c r="R52" s="192"/>
      <c r="S52" s="192"/>
      <c r="T52" s="192"/>
      <c r="U52" s="192"/>
      <c r="V52" s="66"/>
      <c r="W52" s="66"/>
      <c r="X52" s="66"/>
      <c r="Y52" s="177"/>
    </row>
    <row r="53" spans="1:25" ht="15" x14ac:dyDescent="0.25">
      <c r="A53" s="2"/>
      <c r="B53" s="81" t="s">
        <v>29</v>
      </c>
      <c r="C53" s="81" t="s">
        <v>25</v>
      </c>
      <c r="D53" s="81" t="s">
        <v>29</v>
      </c>
      <c r="E53" s="81" t="s">
        <v>25</v>
      </c>
      <c r="F53" s="81" t="s">
        <v>29</v>
      </c>
      <c r="G53" s="81" t="s">
        <v>25</v>
      </c>
      <c r="H53" s="2"/>
      <c r="I53" s="2"/>
      <c r="J53" s="2"/>
      <c r="M53" s="193" t="s">
        <v>551</v>
      </c>
      <c r="N53" s="192"/>
      <c r="O53" s="192"/>
      <c r="P53" s="192"/>
      <c r="Q53" s="192"/>
      <c r="R53" s="192"/>
      <c r="S53" s="192"/>
      <c r="T53" s="192"/>
      <c r="U53" s="192"/>
      <c r="V53" s="66"/>
      <c r="W53" s="66"/>
      <c r="X53" s="66"/>
      <c r="Y53" s="177"/>
    </row>
    <row r="54" spans="1:25" ht="45.75" customHeight="1" x14ac:dyDescent="0.3">
      <c r="A54" s="5" t="s">
        <v>288</v>
      </c>
      <c r="B54" s="79">
        <v>21.5</v>
      </c>
      <c r="C54" s="80">
        <v>2.0699999999999998</v>
      </c>
      <c r="D54" s="79">
        <f>C38</f>
        <v>21.5</v>
      </c>
      <c r="E54" s="79">
        <f t="shared" ref="E54:E60" si="7">(D54/$D$61)*100</f>
        <v>4.1171168383018557</v>
      </c>
      <c r="F54" s="79">
        <f t="shared" ref="F54:F60" si="8">B54-D54</f>
        <v>0</v>
      </c>
      <c r="G54" s="79">
        <f t="shared" ref="G54:G60" si="9">(F54/$F$61)*100</f>
        <v>0</v>
      </c>
      <c r="H54" s="2"/>
      <c r="I54" s="2"/>
      <c r="J54" s="2"/>
      <c r="M54" s="111" t="str">
        <f>CONCATENATE("Perform a bubble point calculation using the Overhead composition and ",P30,"°F to find the pressure. With this temperature and pressure, find K values from Section 25 and enter them below.")</f>
        <v>Perform a bubble point calculation using the Overhead composition and 120°F to find the pressure. With this temperature and pressure, find K values from Section 25 and enter them below.</v>
      </c>
      <c r="N54" s="111"/>
      <c r="O54" s="111"/>
      <c r="P54" s="111"/>
      <c r="Q54" s="111"/>
      <c r="R54" s="111"/>
      <c r="S54" s="111"/>
      <c r="T54" s="66"/>
      <c r="U54" s="66"/>
      <c r="V54" s="66"/>
      <c r="W54" s="66"/>
      <c r="X54" s="66"/>
      <c r="Y54" s="177"/>
    </row>
    <row r="55" spans="1:25" ht="16.5" customHeight="1" x14ac:dyDescent="0.3">
      <c r="A55" s="5" t="s">
        <v>289</v>
      </c>
      <c r="B55" s="79">
        <v>505.6</v>
      </c>
      <c r="C55" s="80">
        <v>48.67</v>
      </c>
      <c r="D55" s="79">
        <f>C34</f>
        <v>495.488</v>
      </c>
      <c r="E55" s="79">
        <f t="shared" si="7"/>
        <v>94.882883161698132</v>
      </c>
      <c r="F55" s="79">
        <f t="shared" si="8"/>
        <v>10.112000000000023</v>
      </c>
      <c r="G55" s="79">
        <f t="shared" si="9"/>
        <v>1.957452133650361</v>
      </c>
      <c r="H55" s="2"/>
      <c r="I55" s="2"/>
      <c r="J55" s="2"/>
      <c r="M55" s="66"/>
      <c r="N55" s="66"/>
      <c r="O55" s="66"/>
      <c r="P55" s="66"/>
      <c r="Q55" s="66"/>
      <c r="R55" s="66"/>
      <c r="S55" s="66"/>
      <c r="T55" s="86"/>
      <c r="U55" s="86"/>
      <c r="V55" s="86"/>
      <c r="W55" s="86"/>
      <c r="X55" s="86"/>
      <c r="Y55" s="86"/>
    </row>
    <row r="56" spans="1:25" ht="17.25" x14ac:dyDescent="0.3">
      <c r="A56" s="5" t="s">
        <v>290</v>
      </c>
      <c r="B56" s="79">
        <v>105</v>
      </c>
      <c r="C56" s="80">
        <v>10.11</v>
      </c>
      <c r="D56" s="79">
        <f>C48</f>
        <v>5.222101010101011</v>
      </c>
      <c r="E56" s="79">
        <f t="shared" si="7"/>
        <v>1</v>
      </c>
      <c r="F56" s="79">
        <f t="shared" si="8"/>
        <v>99.777898989898986</v>
      </c>
      <c r="G56" s="79">
        <f t="shared" si="9"/>
        <v>19.314721248905016</v>
      </c>
      <c r="H56" s="2"/>
      <c r="I56" s="2"/>
      <c r="J56" s="2"/>
      <c r="M56" s="149" t="s">
        <v>250</v>
      </c>
      <c r="N56" s="179" t="s">
        <v>440</v>
      </c>
      <c r="O56" s="70">
        <v>280</v>
      </c>
      <c r="P56" s="141" t="s">
        <v>251</v>
      </c>
      <c r="Q56" s="86"/>
      <c r="R56" s="86"/>
      <c r="S56" s="86"/>
      <c r="T56" s="86"/>
      <c r="U56" s="86"/>
      <c r="V56" s="86"/>
      <c r="W56" s="86"/>
      <c r="X56" s="86"/>
      <c r="Y56" s="86"/>
    </row>
    <row r="57" spans="1:25" ht="17.25" x14ac:dyDescent="0.3">
      <c r="A57" s="5" t="s">
        <v>291</v>
      </c>
      <c r="B57" s="79">
        <v>250.1</v>
      </c>
      <c r="C57" s="80">
        <v>24.08</v>
      </c>
      <c r="D57" s="79">
        <v>0</v>
      </c>
      <c r="E57" s="79">
        <f t="shared" si="7"/>
        <v>0</v>
      </c>
      <c r="F57" s="79">
        <f t="shared" si="8"/>
        <v>250.1</v>
      </c>
      <c r="G57" s="79">
        <f t="shared" si="9"/>
        <v>48.413645038167942</v>
      </c>
      <c r="H57" s="2"/>
      <c r="I57" s="2"/>
      <c r="J57" s="2"/>
      <c r="M57" s="66"/>
      <c r="N57" s="66"/>
      <c r="O57" s="66"/>
      <c r="P57" s="66"/>
      <c r="Q57" s="66"/>
      <c r="R57" s="66"/>
      <c r="S57" s="66"/>
      <c r="T57" s="66"/>
      <c r="U57" s="66"/>
      <c r="V57" s="66"/>
      <c r="W57" s="66"/>
      <c r="X57" s="66"/>
      <c r="Y57" s="177"/>
    </row>
    <row r="58" spans="1:25" ht="17.25" x14ac:dyDescent="0.3">
      <c r="A58" s="5" t="s">
        <v>300</v>
      </c>
      <c r="B58" s="79">
        <v>56.2</v>
      </c>
      <c r="C58" s="80">
        <v>5.41</v>
      </c>
      <c r="D58" s="79">
        <v>0</v>
      </c>
      <c r="E58" s="79">
        <f t="shared" si="7"/>
        <v>0</v>
      </c>
      <c r="F58" s="79">
        <f t="shared" si="8"/>
        <v>56.2</v>
      </c>
      <c r="G58" s="79">
        <f t="shared" si="9"/>
        <v>10.879035790264048</v>
      </c>
      <c r="H58" s="2"/>
      <c r="I58" s="2"/>
      <c r="J58" s="2"/>
      <c r="M58" s="66"/>
      <c r="N58" s="194" t="s">
        <v>31</v>
      </c>
      <c r="O58" s="195" t="s">
        <v>35</v>
      </c>
      <c r="P58" s="192"/>
      <c r="Q58" s="66"/>
      <c r="R58" s="66"/>
      <c r="S58" s="66"/>
      <c r="T58" s="66"/>
      <c r="U58" s="66"/>
      <c r="V58" s="66"/>
      <c r="W58" s="66"/>
      <c r="X58" s="66"/>
      <c r="Y58" s="177"/>
    </row>
    <row r="59" spans="1:25" ht="17.25" x14ac:dyDescent="0.3">
      <c r="A59" s="5" t="s">
        <v>301</v>
      </c>
      <c r="B59" s="79">
        <v>50</v>
      </c>
      <c r="C59" s="80">
        <v>4.8099999999999996</v>
      </c>
      <c r="D59" s="79">
        <v>0</v>
      </c>
      <c r="E59" s="79">
        <f t="shared" si="7"/>
        <v>0</v>
      </c>
      <c r="F59" s="79">
        <f t="shared" si="8"/>
        <v>50</v>
      </c>
      <c r="G59" s="79">
        <f t="shared" si="9"/>
        <v>9.678857464647729</v>
      </c>
      <c r="H59" s="2"/>
      <c r="I59" s="2"/>
      <c r="J59" s="2"/>
      <c r="M59" s="66"/>
      <c r="N59" s="194" t="s">
        <v>283</v>
      </c>
      <c r="O59" s="94">
        <v>2.8</v>
      </c>
      <c r="P59" s="192"/>
      <c r="Q59" s="66"/>
      <c r="R59" s="66"/>
      <c r="S59" s="66"/>
      <c r="T59" s="66"/>
      <c r="U59" s="66"/>
      <c r="V59" s="66"/>
      <c r="W59" s="66"/>
      <c r="X59" s="66"/>
      <c r="Y59" s="177"/>
    </row>
    <row r="60" spans="1:25" ht="17.25" x14ac:dyDescent="0.3">
      <c r="A60" s="5" t="s">
        <v>302</v>
      </c>
      <c r="B60" s="79">
        <v>50.4</v>
      </c>
      <c r="C60" s="80">
        <v>4.8499999999999996</v>
      </c>
      <c r="D60" s="79">
        <v>0</v>
      </c>
      <c r="E60" s="79">
        <f t="shared" si="7"/>
        <v>0</v>
      </c>
      <c r="F60" s="79">
        <f t="shared" si="8"/>
        <v>50.4</v>
      </c>
      <c r="G60" s="79">
        <f t="shared" si="9"/>
        <v>9.7562883243649097</v>
      </c>
      <c r="H60" s="2"/>
      <c r="I60" s="2"/>
      <c r="J60" s="2"/>
      <c r="M60" s="66"/>
      <c r="N60" s="194" t="s">
        <v>284</v>
      </c>
      <c r="O60" s="94">
        <v>0.93</v>
      </c>
      <c r="P60" s="66"/>
      <c r="Q60" s="149"/>
      <c r="R60" s="196"/>
      <c r="S60" s="141"/>
      <c r="T60" s="66"/>
      <c r="U60" s="66"/>
      <c r="V60" s="66"/>
      <c r="W60" s="66"/>
      <c r="X60" s="66"/>
      <c r="Y60" s="177"/>
    </row>
    <row r="61" spans="1:25" ht="16.5" x14ac:dyDescent="0.25">
      <c r="A61" s="5" t="s">
        <v>672</v>
      </c>
      <c r="B61" s="105">
        <f t="shared" ref="B61:G61" si="10">SUM(B54:B60)</f>
        <v>1038.8000000000002</v>
      </c>
      <c r="C61" s="80">
        <f t="shared" si="10"/>
        <v>100</v>
      </c>
      <c r="D61" s="79">
        <f t="shared" si="10"/>
        <v>522.21010101010108</v>
      </c>
      <c r="E61" s="79">
        <f t="shared" si="10"/>
        <v>99.999999999999986</v>
      </c>
      <c r="F61" s="79">
        <f t="shared" si="10"/>
        <v>516.58989898989898</v>
      </c>
      <c r="G61" s="79">
        <f t="shared" si="10"/>
        <v>100</v>
      </c>
      <c r="H61" s="2"/>
      <c r="I61" s="2"/>
      <c r="J61" s="2"/>
      <c r="M61" s="66"/>
      <c r="N61" s="194" t="s">
        <v>285</v>
      </c>
      <c r="O61" s="94">
        <v>0.45</v>
      </c>
      <c r="P61" s="141"/>
      <c r="Q61" s="141"/>
      <c r="R61" s="141"/>
      <c r="S61" s="141"/>
      <c r="T61" s="66"/>
      <c r="U61" s="66"/>
      <c r="V61" s="66"/>
      <c r="W61" s="66"/>
      <c r="X61" s="66"/>
      <c r="Y61" s="177"/>
    </row>
    <row r="62" spans="1:25" ht="16.5" x14ac:dyDescent="0.25">
      <c r="A62" s="2"/>
      <c r="B62" s="2"/>
      <c r="C62" s="2"/>
      <c r="D62" s="2"/>
      <c r="E62" s="2"/>
      <c r="F62" s="2"/>
      <c r="G62" s="2"/>
      <c r="H62" s="2"/>
      <c r="I62" s="2"/>
      <c r="J62" s="2"/>
      <c r="M62" s="66"/>
      <c r="N62" s="194" t="s">
        <v>286</v>
      </c>
      <c r="O62" s="95">
        <v>0.35116700000000001</v>
      </c>
      <c r="P62" s="141"/>
      <c r="Q62" s="141"/>
      <c r="R62" s="141"/>
      <c r="S62" s="141"/>
      <c r="T62" s="66"/>
      <c r="U62" s="66"/>
      <c r="V62" s="66"/>
      <c r="W62" s="66"/>
      <c r="X62" s="66"/>
      <c r="Y62" s="177"/>
    </row>
    <row r="63" spans="1:25" ht="18" customHeight="1" x14ac:dyDescent="0.25">
      <c r="A63" s="107" t="s">
        <v>670</v>
      </c>
      <c r="B63" s="107"/>
      <c r="C63" s="107"/>
      <c r="D63" s="107"/>
      <c r="E63" s="107"/>
      <c r="F63" s="107"/>
      <c r="G63" s="107"/>
      <c r="H63" s="107"/>
      <c r="I63" s="107"/>
      <c r="J63" s="2"/>
      <c r="M63" s="66"/>
      <c r="N63" s="194" t="s">
        <v>297</v>
      </c>
      <c r="O63" s="95">
        <v>0.17460000000000001</v>
      </c>
      <c r="P63" s="141"/>
      <c r="Q63" s="141"/>
      <c r="R63" s="141"/>
      <c r="S63" s="141"/>
      <c r="T63" s="66"/>
      <c r="U63" s="66"/>
      <c r="V63" s="66"/>
      <c r="W63" s="66"/>
      <c r="X63" s="66"/>
      <c r="Y63" s="177"/>
    </row>
    <row r="64" spans="1:25" ht="15" customHeight="1" x14ac:dyDescent="0.25">
      <c r="A64" s="107"/>
      <c r="B64" s="107"/>
      <c r="C64" s="107"/>
      <c r="D64" s="107"/>
      <c r="E64" s="107"/>
      <c r="F64" s="107"/>
      <c r="G64" s="107"/>
      <c r="H64" s="107"/>
      <c r="I64" s="107"/>
      <c r="J64" s="2"/>
      <c r="M64" s="66"/>
      <c r="N64" s="194" t="s">
        <v>298</v>
      </c>
      <c r="O64" s="95">
        <v>0.14369999999999999</v>
      </c>
      <c r="P64" s="141"/>
      <c r="Q64" s="141"/>
      <c r="R64" s="141"/>
      <c r="S64" s="141"/>
      <c r="T64" s="66"/>
      <c r="U64" s="66"/>
      <c r="V64" s="66"/>
      <c r="W64" s="66"/>
      <c r="X64" s="66"/>
      <c r="Y64" s="177"/>
    </row>
    <row r="65" spans="1:25" ht="18.75" customHeight="1" x14ac:dyDescent="0.25">
      <c r="A65" s="85"/>
      <c r="B65" s="85"/>
      <c r="C65" s="85"/>
      <c r="D65" s="85"/>
      <c r="E65" s="85"/>
      <c r="F65" s="85"/>
      <c r="G65" s="85"/>
      <c r="H65" s="85"/>
      <c r="I65" s="85"/>
      <c r="J65" s="2"/>
      <c r="M65" s="66"/>
      <c r="N65" s="194" t="s">
        <v>299</v>
      </c>
      <c r="O65" s="96">
        <v>2.4504999999999999E-2</v>
      </c>
      <c r="P65" s="141"/>
      <c r="Q65" s="141"/>
      <c r="R65" s="141"/>
      <c r="S65" s="141"/>
      <c r="T65" s="66"/>
      <c r="U65" s="66"/>
      <c r="V65" s="66"/>
      <c r="W65" s="66"/>
      <c r="X65" s="66"/>
      <c r="Y65" s="177"/>
    </row>
    <row r="66" spans="1:25" ht="15" customHeight="1" x14ac:dyDescent="0.25">
      <c r="A66" s="116" t="s">
        <v>37</v>
      </c>
      <c r="B66" s="116"/>
      <c r="C66" s="116"/>
      <c r="D66" s="116"/>
      <c r="E66" s="116"/>
      <c r="F66" s="116"/>
      <c r="G66" s="116"/>
      <c r="H66" s="116"/>
      <c r="I66" s="116"/>
      <c r="J66" s="2"/>
      <c r="M66" s="66"/>
      <c r="N66" s="143"/>
      <c r="O66" s="197"/>
      <c r="P66" s="141"/>
      <c r="Q66" s="141"/>
      <c r="R66" s="141"/>
      <c r="S66" s="141"/>
      <c r="T66" s="66"/>
      <c r="U66" s="66"/>
      <c r="V66" s="66"/>
      <c r="W66" s="66"/>
      <c r="X66" s="66"/>
      <c r="Y66" s="177"/>
    </row>
    <row r="67" spans="1:25" ht="18" customHeight="1" x14ac:dyDescent="0.3">
      <c r="A67" s="87"/>
      <c r="B67" s="87"/>
      <c r="C67" s="87"/>
      <c r="D67" s="87"/>
      <c r="E67" s="87"/>
      <c r="F67" s="87"/>
      <c r="G67" s="87"/>
      <c r="H67" s="87"/>
      <c r="I67" s="2"/>
      <c r="J67" s="2"/>
      <c r="M67" s="149" t="s">
        <v>673</v>
      </c>
      <c r="N67" s="143" t="s">
        <v>543</v>
      </c>
      <c r="O67" s="198">
        <f>O60/O61</f>
        <v>2.0666666666666669</v>
      </c>
      <c r="P67" s="192"/>
      <c r="Q67" s="192"/>
      <c r="R67" s="192"/>
      <c r="S67" s="192"/>
      <c r="T67" s="66"/>
      <c r="U67" s="66"/>
      <c r="V67" s="66"/>
      <c r="W67" s="66"/>
      <c r="X67" s="66"/>
      <c r="Y67" s="177"/>
    </row>
    <row r="68" spans="1:25" ht="15" x14ac:dyDescent="0.25">
      <c r="A68" s="2" t="s">
        <v>36</v>
      </c>
      <c r="B68" s="2"/>
      <c r="C68" s="2"/>
      <c r="D68" s="2"/>
      <c r="E68" s="2"/>
      <c r="F68" s="85"/>
      <c r="G68" s="85"/>
      <c r="H68" s="85"/>
      <c r="I68" s="85"/>
      <c r="J68" s="2"/>
      <c r="M68" s="66"/>
      <c r="N68" s="66"/>
      <c r="O68" s="66"/>
      <c r="P68" s="66"/>
      <c r="Q68" s="141"/>
      <c r="R68" s="141"/>
      <c r="S68" s="66"/>
      <c r="T68" s="66"/>
      <c r="U68" s="66"/>
      <c r="V68" s="66"/>
      <c r="W68" s="66"/>
      <c r="X68" s="66"/>
      <c r="Y68" s="177"/>
    </row>
    <row r="69" spans="1:25" ht="42.75" customHeight="1" x14ac:dyDescent="0.25">
      <c r="A69" s="85"/>
      <c r="B69" s="85" t="s">
        <v>35</v>
      </c>
      <c r="C69" s="85"/>
      <c r="D69" s="85"/>
      <c r="E69" s="85"/>
      <c r="F69" s="85"/>
      <c r="G69" s="85"/>
      <c r="H69" s="85"/>
      <c r="I69" s="85"/>
      <c r="J69" s="2"/>
      <c r="M69" s="112" t="s">
        <v>711</v>
      </c>
      <c r="N69" s="112"/>
      <c r="O69" s="112"/>
      <c r="P69" s="112"/>
      <c r="Q69" s="112"/>
      <c r="R69" s="112"/>
      <c r="S69" s="112"/>
      <c r="T69" s="86"/>
      <c r="U69" s="86"/>
      <c r="V69" s="86"/>
      <c r="W69" s="86"/>
      <c r="X69" s="86"/>
      <c r="Y69" s="177"/>
    </row>
    <row r="70" spans="1:25" ht="16.5" x14ac:dyDescent="0.3">
      <c r="A70" s="7" t="s">
        <v>283</v>
      </c>
      <c r="B70" s="32">
        <v>2.8</v>
      </c>
      <c r="C70" s="85"/>
      <c r="D70" s="2"/>
      <c r="E70" s="85"/>
      <c r="F70" s="4"/>
      <c r="G70" s="4"/>
      <c r="H70" s="4"/>
      <c r="I70" s="4"/>
      <c r="J70" s="2"/>
      <c r="M70" s="86"/>
      <c r="N70" s="66"/>
      <c r="O70" s="66"/>
      <c r="P70" s="66"/>
      <c r="Q70" s="86"/>
      <c r="R70" s="86"/>
      <c r="S70" s="86"/>
      <c r="T70" s="86"/>
      <c r="U70" s="86"/>
      <c r="V70" s="86"/>
      <c r="W70" s="86"/>
      <c r="X70" s="86"/>
      <c r="Y70" s="177"/>
    </row>
    <row r="71" spans="1:25" ht="16.5" x14ac:dyDescent="0.3">
      <c r="A71" s="7" t="s">
        <v>284</v>
      </c>
      <c r="B71" s="32">
        <v>0.93</v>
      </c>
      <c r="C71" s="85"/>
      <c r="D71" s="25"/>
      <c r="E71" s="33"/>
      <c r="F71" s="4"/>
      <c r="G71" s="4"/>
      <c r="H71" s="4"/>
      <c r="I71" s="4"/>
      <c r="J71" s="2"/>
      <c r="M71" s="149" t="s">
        <v>412</v>
      </c>
      <c r="N71" s="179" t="s">
        <v>440</v>
      </c>
      <c r="O71" s="84">
        <v>250</v>
      </c>
      <c r="P71" s="66" t="s">
        <v>318</v>
      </c>
      <c r="Q71" s="66"/>
      <c r="R71" s="66"/>
      <c r="S71" s="66"/>
      <c r="T71" s="66"/>
      <c r="U71" s="66"/>
      <c r="V71" s="66"/>
      <c r="W71" s="66"/>
      <c r="X71" s="66"/>
      <c r="Y71" s="140"/>
    </row>
    <row r="72" spans="1:25" ht="16.5" x14ac:dyDescent="0.3">
      <c r="A72" s="7" t="s">
        <v>285</v>
      </c>
      <c r="B72" s="32">
        <v>0.45</v>
      </c>
      <c r="C72" s="4"/>
      <c r="D72" s="4"/>
      <c r="E72" s="4"/>
      <c r="F72" s="4"/>
      <c r="G72" s="4"/>
      <c r="H72" s="4"/>
      <c r="I72" s="4"/>
      <c r="J72" s="2"/>
      <c r="M72" s="66"/>
      <c r="N72" s="66"/>
      <c r="O72" s="66"/>
      <c r="P72" s="66"/>
      <c r="Q72" s="66"/>
      <c r="R72" s="66"/>
      <c r="S72" s="66"/>
      <c r="T72" s="66"/>
      <c r="U72" s="66"/>
      <c r="V72" s="66"/>
      <c r="W72" s="66"/>
      <c r="X72" s="66"/>
      <c r="Y72" s="140"/>
    </row>
    <row r="73" spans="1:25" ht="15" x14ac:dyDescent="0.25">
      <c r="A73" s="7"/>
      <c r="B73" s="32"/>
      <c r="C73" s="4"/>
      <c r="D73" s="4"/>
      <c r="E73" s="4"/>
      <c r="F73" s="4"/>
      <c r="G73" s="4"/>
      <c r="H73" s="4"/>
      <c r="I73" s="4"/>
      <c r="J73" s="2"/>
      <c r="M73" s="66"/>
      <c r="N73" s="143" t="s">
        <v>31</v>
      </c>
      <c r="O73" s="143" t="s">
        <v>35</v>
      </c>
      <c r="P73" s="143"/>
      <c r="Q73" s="66"/>
      <c r="R73" s="66"/>
      <c r="S73" s="66"/>
      <c r="T73" s="66"/>
      <c r="U73" s="66"/>
      <c r="V73" s="66"/>
      <c r="W73" s="66"/>
      <c r="X73" s="66"/>
      <c r="Y73" s="177"/>
    </row>
    <row r="74" spans="1:25" ht="16.5" x14ac:dyDescent="0.3">
      <c r="A74" s="87" t="s">
        <v>38</v>
      </c>
      <c r="B74" s="34"/>
      <c r="C74" s="85"/>
      <c r="D74" s="85"/>
      <c r="E74" s="85"/>
      <c r="F74" s="85"/>
      <c r="G74" s="4"/>
      <c r="H74" s="4"/>
      <c r="I74" s="4"/>
      <c r="J74" s="2"/>
      <c r="M74" s="66"/>
      <c r="N74" s="143" t="s">
        <v>283</v>
      </c>
      <c r="O74" s="84">
        <v>3.36</v>
      </c>
      <c r="P74" s="66"/>
      <c r="Q74" s="66"/>
      <c r="R74" s="66"/>
      <c r="S74" s="192"/>
      <c r="T74" s="192"/>
      <c r="U74" s="192"/>
      <c r="V74" s="66"/>
      <c r="W74" s="66"/>
      <c r="X74" s="66"/>
      <c r="Y74" s="177"/>
    </row>
    <row r="75" spans="1:25" ht="16.5" x14ac:dyDescent="0.3">
      <c r="A75" s="7"/>
      <c r="B75" s="32"/>
      <c r="C75" s="4"/>
      <c r="D75" s="4"/>
      <c r="E75" s="4"/>
      <c r="F75" s="4"/>
      <c r="G75" s="4"/>
      <c r="H75" s="4"/>
      <c r="I75" s="4"/>
      <c r="J75" s="2"/>
      <c r="M75" s="66"/>
      <c r="N75" s="143" t="s">
        <v>284</v>
      </c>
      <c r="O75" s="84">
        <v>2.2999999999999998</v>
      </c>
      <c r="P75" s="66"/>
      <c r="Q75" s="66"/>
      <c r="R75" s="66"/>
      <c r="S75" s="141"/>
      <c r="T75" s="141"/>
      <c r="U75" s="141"/>
      <c r="V75" s="66"/>
      <c r="W75" s="66"/>
      <c r="X75" s="66"/>
      <c r="Y75" s="177"/>
    </row>
    <row r="76" spans="1:25" ht="16.5" x14ac:dyDescent="0.3">
      <c r="A76" s="2" t="s">
        <v>439</v>
      </c>
      <c r="B76" s="32"/>
      <c r="C76" s="4"/>
      <c r="D76" s="4"/>
      <c r="E76" s="4"/>
      <c r="F76" s="4"/>
      <c r="G76" s="4"/>
      <c r="H76" s="4"/>
      <c r="I76" s="4"/>
      <c r="J76" s="2"/>
      <c r="M76" s="66"/>
      <c r="N76" s="143" t="s">
        <v>285</v>
      </c>
      <c r="O76" s="84">
        <v>1.4</v>
      </c>
      <c r="P76" s="66"/>
      <c r="Q76" s="66"/>
      <c r="R76" s="66"/>
      <c r="S76" s="141"/>
      <c r="T76" s="141"/>
      <c r="U76" s="141"/>
      <c r="V76" s="66"/>
      <c r="W76" s="66"/>
      <c r="X76" s="66"/>
      <c r="Y76" s="177"/>
    </row>
    <row r="77" spans="1:25" ht="16.5" x14ac:dyDescent="0.3">
      <c r="A77" s="25" t="s">
        <v>33</v>
      </c>
      <c r="B77" s="33">
        <f>B71/B72</f>
        <v>2.0666666666666669</v>
      </c>
      <c r="C77" s="4"/>
      <c r="D77" s="4"/>
      <c r="E77" s="4"/>
      <c r="F77" s="4"/>
      <c r="G77" s="4"/>
      <c r="H77" s="4"/>
      <c r="I77" s="4"/>
      <c r="J77" s="2"/>
      <c r="M77" s="66"/>
      <c r="N77" s="143" t="s">
        <v>286</v>
      </c>
      <c r="O77" s="84">
        <v>1.1499999999999999</v>
      </c>
      <c r="P77" s="66"/>
      <c r="Q77" s="66"/>
      <c r="R77" s="66"/>
      <c r="S77" s="141"/>
      <c r="T77" s="141"/>
      <c r="U77" s="141"/>
      <c r="V77" s="66"/>
      <c r="W77" s="66"/>
      <c r="X77" s="66"/>
      <c r="Y77" s="177"/>
    </row>
    <row r="78" spans="1:25" ht="16.5" x14ac:dyDescent="0.3">
      <c r="A78" s="2"/>
      <c r="B78" s="2"/>
      <c r="C78" s="2"/>
      <c r="D78" s="2"/>
      <c r="E78" s="2"/>
      <c r="F78" s="2"/>
      <c r="G78" s="2"/>
      <c r="H78" s="2"/>
      <c r="I78" s="2"/>
      <c r="J78" s="2"/>
      <c r="M78" s="66"/>
      <c r="N78" s="143" t="s">
        <v>297</v>
      </c>
      <c r="O78" s="84">
        <v>0.68</v>
      </c>
      <c r="P78" s="66"/>
      <c r="Q78" s="66"/>
      <c r="R78" s="66"/>
      <c r="S78" s="141"/>
      <c r="T78" s="141"/>
      <c r="U78" s="141"/>
      <c r="V78" s="66"/>
      <c r="W78" s="66"/>
      <c r="X78" s="66"/>
      <c r="Y78" s="177"/>
    </row>
    <row r="79" spans="1:25" ht="16.5" x14ac:dyDescent="0.3">
      <c r="A79" s="107" t="s">
        <v>34</v>
      </c>
      <c r="B79" s="107"/>
      <c r="C79" s="107"/>
      <c r="D79" s="107"/>
      <c r="E79" s="107"/>
      <c r="F79" s="107"/>
      <c r="G79" s="107"/>
      <c r="H79" s="107"/>
      <c r="I79" s="107"/>
      <c r="J79" s="2"/>
      <c r="M79" s="149"/>
      <c r="N79" s="143" t="s">
        <v>298</v>
      </c>
      <c r="O79" s="84">
        <v>0.62</v>
      </c>
      <c r="P79" s="66"/>
      <c r="Q79" s="66"/>
      <c r="R79" s="66"/>
      <c r="S79" s="141"/>
      <c r="T79" s="141"/>
      <c r="U79" s="141"/>
      <c r="V79" s="66"/>
      <c r="W79" s="66"/>
      <c r="X79" s="66"/>
      <c r="Y79" s="177"/>
    </row>
    <row r="80" spans="1:25" ht="16.5" x14ac:dyDescent="0.3">
      <c r="A80" s="107"/>
      <c r="B80" s="107"/>
      <c r="C80" s="107"/>
      <c r="D80" s="107"/>
      <c r="E80" s="107"/>
      <c r="F80" s="107"/>
      <c r="G80" s="107"/>
      <c r="H80" s="107"/>
      <c r="I80" s="107"/>
      <c r="J80" s="2"/>
      <c r="M80" s="149"/>
      <c r="N80" s="143" t="s">
        <v>299</v>
      </c>
      <c r="O80" s="84">
        <v>0.15</v>
      </c>
      <c r="P80" s="66"/>
      <c r="Q80" s="66"/>
      <c r="R80" s="66"/>
      <c r="S80" s="141"/>
      <c r="T80" s="141"/>
      <c r="U80" s="141"/>
      <c r="V80" s="66"/>
      <c r="W80" s="66"/>
      <c r="X80" s="66"/>
      <c r="Y80" s="177"/>
    </row>
    <row r="81" spans="1:25" ht="15" x14ac:dyDescent="0.25">
      <c r="A81" s="2"/>
      <c r="B81" s="2"/>
      <c r="C81" s="2"/>
      <c r="D81" s="2"/>
      <c r="E81" s="2"/>
      <c r="F81" s="2"/>
      <c r="G81" s="2"/>
      <c r="H81" s="2"/>
      <c r="I81" s="2"/>
      <c r="J81" s="2"/>
      <c r="M81" s="149"/>
      <c r="N81" s="66"/>
      <c r="O81" s="143"/>
      <c r="P81" s="66"/>
      <c r="Q81" s="66"/>
      <c r="R81" s="66"/>
      <c r="S81" s="141"/>
      <c r="T81" s="141"/>
      <c r="U81" s="141"/>
      <c r="V81" s="66"/>
      <c r="W81" s="66"/>
      <c r="X81" s="66"/>
      <c r="Y81" s="177"/>
    </row>
    <row r="82" spans="1:25" ht="16.5" x14ac:dyDescent="0.3">
      <c r="A82" s="2" t="s">
        <v>31</v>
      </c>
      <c r="B82" s="2" t="s">
        <v>32</v>
      </c>
      <c r="C82" s="2"/>
      <c r="D82" s="2"/>
      <c r="E82" s="2"/>
      <c r="F82" s="2"/>
      <c r="G82" s="2"/>
      <c r="H82" s="2"/>
      <c r="I82" s="2"/>
      <c r="J82" s="2"/>
      <c r="M82" s="149" t="s">
        <v>673</v>
      </c>
      <c r="N82" s="143" t="s">
        <v>543</v>
      </c>
      <c r="O82" s="199">
        <f>O75/O76</f>
        <v>1.6428571428571428</v>
      </c>
      <c r="P82" s="66"/>
      <c r="Q82" s="66"/>
      <c r="R82" s="66"/>
      <c r="S82" s="141"/>
      <c r="T82" s="141"/>
      <c r="U82" s="141"/>
      <c r="V82" s="66"/>
      <c r="W82" s="66"/>
      <c r="X82" s="66"/>
      <c r="Y82" s="177"/>
    </row>
    <row r="83" spans="1:25" ht="15" customHeight="1" x14ac:dyDescent="0.25">
      <c r="A83" s="2"/>
      <c r="B83" s="2"/>
      <c r="C83" s="2"/>
      <c r="D83" s="2"/>
      <c r="E83" s="2"/>
      <c r="F83" s="2"/>
      <c r="G83" s="2"/>
      <c r="H83" s="2"/>
      <c r="I83" s="2"/>
      <c r="J83" s="2"/>
      <c r="M83" s="149"/>
      <c r="N83" s="143"/>
      <c r="O83" s="143"/>
      <c r="P83" s="66"/>
      <c r="Q83" s="66"/>
      <c r="R83" s="66"/>
      <c r="S83" s="141"/>
      <c r="T83" s="141"/>
      <c r="U83" s="141"/>
      <c r="V83" s="66"/>
      <c r="W83" s="66"/>
      <c r="X83" s="66"/>
      <c r="Y83" s="177"/>
    </row>
    <row r="84" spans="1:25" ht="16.5" x14ac:dyDescent="0.3">
      <c r="A84" s="7" t="s">
        <v>284</v>
      </c>
      <c r="B84" s="2">
        <v>2.2999999999999998</v>
      </c>
      <c r="C84" s="2"/>
      <c r="D84" s="2"/>
      <c r="E84" s="2"/>
      <c r="F84" s="2"/>
      <c r="G84" s="2"/>
      <c r="H84" s="2"/>
      <c r="I84" s="2"/>
      <c r="J84" s="2"/>
      <c r="M84" s="139" t="s">
        <v>552</v>
      </c>
      <c r="N84" s="140"/>
      <c r="O84" s="140"/>
      <c r="P84" s="140"/>
      <c r="Q84" s="140"/>
      <c r="R84" s="140"/>
      <c r="S84" s="140"/>
      <c r="T84" s="140"/>
      <c r="U84" s="140"/>
      <c r="V84" s="140"/>
      <c r="W84" s="140"/>
      <c r="X84" s="140"/>
      <c r="Y84" s="177"/>
    </row>
    <row r="85" spans="1:25" ht="16.5" x14ac:dyDescent="0.3">
      <c r="A85" s="7" t="s">
        <v>285</v>
      </c>
      <c r="B85" s="2">
        <v>1.4</v>
      </c>
      <c r="C85" s="2"/>
      <c r="D85" s="2"/>
      <c r="E85" s="2"/>
      <c r="F85" s="2"/>
      <c r="G85" s="2"/>
      <c r="H85" s="2"/>
      <c r="I85" s="2"/>
      <c r="J85" s="2"/>
      <c r="M85" s="140"/>
      <c r="N85" s="140"/>
      <c r="O85" s="140"/>
      <c r="P85" s="140"/>
      <c r="Q85" s="140"/>
      <c r="R85" s="140"/>
      <c r="S85" s="140"/>
      <c r="T85" s="140"/>
      <c r="U85" s="141"/>
      <c r="V85" s="140"/>
      <c r="W85" s="140"/>
      <c r="X85" s="140"/>
      <c r="Y85" s="177"/>
    </row>
    <row r="86" spans="1:25" ht="16.5" x14ac:dyDescent="0.3">
      <c r="A86" s="7" t="s">
        <v>286</v>
      </c>
      <c r="B86" s="2">
        <v>1.1499999999999999</v>
      </c>
      <c r="C86" s="2"/>
      <c r="D86" s="2"/>
      <c r="E86" s="2"/>
      <c r="F86" s="2"/>
      <c r="G86" s="2"/>
      <c r="H86" s="2"/>
      <c r="I86" s="2"/>
      <c r="J86" s="2"/>
      <c r="M86" s="149" t="s">
        <v>544</v>
      </c>
      <c r="N86" s="143" t="s">
        <v>543</v>
      </c>
      <c r="O86" s="199">
        <f>AVERAGE(O82,O67)</f>
        <v>1.8547619047619048</v>
      </c>
      <c r="P86" s="66"/>
      <c r="Q86" s="66" t="s">
        <v>674</v>
      </c>
      <c r="R86" s="66"/>
      <c r="S86" s="141"/>
      <c r="T86" s="141"/>
      <c r="U86" s="141"/>
      <c r="V86" s="66"/>
      <c r="W86" s="66"/>
      <c r="X86" s="66"/>
      <c r="Y86" s="177"/>
    </row>
    <row r="87" spans="1:25" ht="16.5" x14ac:dyDescent="0.3">
      <c r="A87" s="7" t="s">
        <v>297</v>
      </c>
      <c r="B87" s="2">
        <v>0.68</v>
      </c>
      <c r="C87" s="2"/>
      <c r="D87" s="2"/>
      <c r="E87" s="2"/>
      <c r="F87" s="2"/>
      <c r="G87" s="2"/>
      <c r="H87" s="2"/>
      <c r="I87" s="2"/>
      <c r="J87" s="2"/>
      <c r="M87" s="149" t="s">
        <v>305</v>
      </c>
      <c r="N87" s="143" t="s">
        <v>543</v>
      </c>
      <c r="O87" s="148">
        <f>(Q42/S42)*(S43/Q43)</f>
        <v>936.23563409595363</v>
      </c>
      <c r="P87" s="66"/>
      <c r="Q87" s="66" t="s">
        <v>581</v>
      </c>
      <c r="R87" s="66"/>
      <c r="S87" s="200"/>
      <c r="T87" s="200"/>
      <c r="U87" s="141"/>
      <c r="V87" s="66"/>
      <c r="W87" s="66"/>
      <c r="X87" s="66"/>
      <c r="Y87" s="177"/>
    </row>
    <row r="88" spans="1:25" ht="16.5" x14ac:dyDescent="0.3">
      <c r="A88" s="7" t="s">
        <v>298</v>
      </c>
      <c r="B88" s="2">
        <v>0.62</v>
      </c>
      <c r="C88" s="2"/>
      <c r="D88" s="2"/>
      <c r="E88" s="2"/>
      <c r="F88" s="2"/>
      <c r="G88" s="2"/>
      <c r="H88" s="2"/>
      <c r="I88" s="2"/>
      <c r="J88" s="2"/>
      <c r="M88" s="149" t="s">
        <v>442</v>
      </c>
      <c r="N88" s="143" t="s">
        <v>543</v>
      </c>
      <c r="O88" s="181">
        <f>LOG(O87)/LOG(O86)</f>
        <v>11.075349304395077</v>
      </c>
      <c r="P88" s="66" t="s">
        <v>41</v>
      </c>
      <c r="Q88" s="66" t="s">
        <v>500</v>
      </c>
      <c r="R88" s="66"/>
      <c r="S88" s="201"/>
      <c r="T88" s="200"/>
      <c r="U88" s="141"/>
      <c r="V88" s="66"/>
      <c r="W88" s="66"/>
      <c r="X88" s="66"/>
      <c r="Y88" s="177"/>
    </row>
    <row r="89" spans="1:25" ht="16.5" x14ac:dyDescent="0.3">
      <c r="A89" s="7" t="s">
        <v>299</v>
      </c>
      <c r="B89" s="2">
        <v>0.15</v>
      </c>
      <c r="C89" s="2"/>
      <c r="D89" s="2"/>
      <c r="E89" s="2"/>
      <c r="F89" s="2"/>
      <c r="G89" s="2"/>
      <c r="H89" s="2"/>
      <c r="I89" s="2"/>
      <c r="J89" s="2"/>
      <c r="M89" s="149" t="s">
        <v>676</v>
      </c>
      <c r="N89" s="143" t="s">
        <v>543</v>
      </c>
      <c r="O89" s="199">
        <f>LN(O60/O75)/LN(0.45/1.4)</f>
        <v>0.79779367861158168</v>
      </c>
      <c r="P89" s="66"/>
      <c r="Q89" s="66" t="s">
        <v>501</v>
      </c>
      <c r="R89" s="66"/>
      <c r="S89" s="66"/>
      <c r="T89" s="66"/>
      <c r="U89" s="66"/>
      <c r="V89" s="66"/>
      <c r="W89" s="66"/>
      <c r="X89" s="66"/>
      <c r="Y89" s="177"/>
    </row>
    <row r="90" spans="1:25" ht="15" x14ac:dyDescent="0.25">
      <c r="A90" s="7"/>
      <c r="B90" s="35"/>
      <c r="C90" s="2"/>
      <c r="D90" s="2"/>
      <c r="E90" s="2"/>
      <c r="F90" s="2"/>
      <c r="G90" s="2"/>
      <c r="H90" s="2"/>
      <c r="I90" s="2"/>
      <c r="J90" s="2"/>
      <c r="M90" s="149" t="s">
        <v>44</v>
      </c>
      <c r="N90" s="143" t="s">
        <v>543</v>
      </c>
      <c r="O90" s="199">
        <f>O60/0.45^O89</f>
        <v>1.7585220281614307</v>
      </c>
      <c r="P90" s="66"/>
      <c r="Q90" s="66" t="s">
        <v>501</v>
      </c>
      <c r="R90" s="172"/>
      <c r="S90" s="66"/>
      <c r="T90" s="66"/>
      <c r="U90" s="66"/>
      <c r="V90" s="66"/>
      <c r="W90" s="66"/>
      <c r="X90" s="66"/>
      <c r="Y90" s="177"/>
    </row>
    <row r="91" spans="1:25" ht="16.5" x14ac:dyDescent="0.3">
      <c r="A91" s="87" t="s">
        <v>38</v>
      </c>
      <c r="B91" s="35"/>
      <c r="C91" s="2"/>
      <c r="D91" s="2"/>
      <c r="E91" s="2"/>
      <c r="F91" s="2"/>
      <c r="G91" s="2"/>
      <c r="H91" s="2"/>
      <c r="I91" s="2"/>
      <c r="J91" s="2"/>
      <c r="M91" s="149" t="s">
        <v>442</v>
      </c>
      <c r="N91" s="143" t="s">
        <v>543</v>
      </c>
      <c r="O91" s="181">
        <f>LOG((P42/R42)*(R43/P43)^O89*(R48/P48)^(1-O89))/LOG(O90)</f>
        <v>11.060145153882198</v>
      </c>
      <c r="P91" s="66" t="s">
        <v>443</v>
      </c>
      <c r="Q91" s="66"/>
      <c r="R91" s="66"/>
      <c r="S91" s="66"/>
      <c r="T91" s="66"/>
      <c r="U91" s="66"/>
      <c r="V91" s="66"/>
      <c r="W91" s="66"/>
      <c r="X91" s="66"/>
      <c r="Y91" s="177"/>
    </row>
    <row r="92" spans="1:25" ht="16.5" x14ac:dyDescent="0.3">
      <c r="A92" s="7"/>
      <c r="B92" s="35"/>
      <c r="C92" s="2"/>
      <c r="D92" s="2"/>
      <c r="E92" s="2"/>
      <c r="F92" s="2"/>
      <c r="G92" s="2"/>
      <c r="H92" s="2"/>
      <c r="I92" s="2"/>
      <c r="J92" s="2"/>
      <c r="M92" s="149" t="s">
        <v>442</v>
      </c>
      <c r="N92" s="143" t="s">
        <v>543</v>
      </c>
      <c r="O92" s="181">
        <f>O88</f>
        <v>11.075349304395077</v>
      </c>
      <c r="P92" s="66" t="s">
        <v>444</v>
      </c>
      <c r="Q92" s="66"/>
      <c r="R92" s="66"/>
      <c r="S92" s="66"/>
      <c r="T92" s="66"/>
      <c r="U92" s="66"/>
      <c r="V92" s="66"/>
      <c r="W92" s="66"/>
      <c r="X92" s="66"/>
      <c r="Y92" s="177"/>
    </row>
    <row r="93" spans="1:25" ht="16.5" customHeight="1" x14ac:dyDescent="0.3">
      <c r="A93" s="2" t="s">
        <v>439</v>
      </c>
      <c r="B93" s="35"/>
      <c r="C93" s="2"/>
      <c r="D93" s="2"/>
      <c r="E93" s="2"/>
      <c r="F93" s="2"/>
      <c r="G93" s="2"/>
      <c r="H93" s="2"/>
      <c r="I93" s="2"/>
      <c r="J93" s="2"/>
      <c r="M93" s="66"/>
      <c r="N93" s="66"/>
      <c r="O93" s="66"/>
      <c r="P93" s="66"/>
      <c r="Q93" s="66"/>
      <c r="R93" s="66"/>
      <c r="S93" s="66"/>
      <c r="T93" s="66"/>
      <c r="U93" s="66"/>
      <c r="V93" s="66"/>
      <c r="W93" s="66"/>
      <c r="X93" s="66"/>
      <c r="Y93" s="177"/>
    </row>
    <row r="94" spans="1:25" ht="15" x14ac:dyDescent="0.25">
      <c r="A94" s="25" t="s">
        <v>33</v>
      </c>
      <c r="B94" s="35">
        <f>B84/B85</f>
        <v>1.6428571428571428</v>
      </c>
      <c r="C94" s="2"/>
      <c r="D94" s="2"/>
      <c r="E94" s="2"/>
      <c r="F94" s="2"/>
      <c r="G94" s="2"/>
      <c r="H94" s="2"/>
      <c r="I94" s="2"/>
      <c r="J94" s="2"/>
      <c r="M94" s="66"/>
      <c r="N94" s="66"/>
      <c r="O94" s="66"/>
      <c r="P94" s="66"/>
      <c r="Q94" s="66"/>
      <c r="R94" s="66"/>
      <c r="S94" s="66"/>
      <c r="T94" s="66"/>
      <c r="U94" s="66"/>
      <c r="V94" s="66"/>
      <c r="W94" s="66"/>
      <c r="X94" s="66"/>
      <c r="Y94" s="177"/>
    </row>
    <row r="95" spans="1:25" ht="15" x14ac:dyDescent="0.25">
      <c r="A95" s="2"/>
      <c r="B95" s="2"/>
      <c r="C95" s="2"/>
      <c r="D95" s="2"/>
      <c r="E95" s="2"/>
      <c r="F95" s="2"/>
      <c r="G95" s="2"/>
      <c r="H95" s="2"/>
      <c r="I95" s="2"/>
      <c r="J95" s="2"/>
      <c r="M95" s="67" t="s">
        <v>445</v>
      </c>
      <c r="N95" s="66"/>
      <c r="O95" s="66"/>
      <c r="P95" s="66"/>
      <c r="Q95" s="66"/>
      <c r="R95" s="66"/>
      <c r="S95" s="66"/>
      <c r="T95" s="66"/>
      <c r="U95" s="66"/>
      <c r="V95" s="66"/>
      <c r="W95" s="66"/>
      <c r="X95" s="66"/>
      <c r="Y95" s="177"/>
    </row>
    <row r="96" spans="1:25" ht="15" x14ac:dyDescent="0.25">
      <c r="A96" s="2" t="s">
        <v>675</v>
      </c>
      <c r="B96" s="2"/>
      <c r="C96" s="2"/>
      <c r="D96" s="2"/>
      <c r="E96" s="2"/>
      <c r="F96" s="2"/>
      <c r="G96" s="2"/>
      <c r="H96" s="2"/>
      <c r="I96" s="2"/>
      <c r="J96" s="2"/>
      <c r="M96" s="67" t="s">
        <v>680</v>
      </c>
      <c r="N96" s="66"/>
      <c r="O96" s="66"/>
      <c r="P96" s="66"/>
      <c r="Q96" s="66"/>
      <c r="R96" s="66"/>
      <c r="S96" s="66"/>
      <c r="T96" s="66"/>
      <c r="U96" s="66"/>
      <c r="V96" s="66"/>
      <c r="W96" s="66"/>
      <c r="X96" s="66"/>
      <c r="Y96" s="177"/>
    </row>
    <row r="97" spans="1:25" ht="15" x14ac:dyDescent="0.25">
      <c r="A97" s="2"/>
      <c r="B97" s="2"/>
      <c r="C97" s="2"/>
      <c r="D97" s="2"/>
      <c r="E97" s="2"/>
      <c r="F97" s="2"/>
      <c r="G97" s="2"/>
      <c r="H97" s="2"/>
      <c r="I97" s="2"/>
      <c r="J97" s="2"/>
      <c r="M97" s="67" t="s">
        <v>547</v>
      </c>
      <c r="N97" s="66"/>
      <c r="O97" s="66"/>
      <c r="P97" s="66"/>
      <c r="Q97" s="66"/>
      <c r="R97" s="66"/>
      <c r="S97" s="66"/>
      <c r="T97" s="66"/>
      <c r="U97" s="66"/>
      <c r="V97" s="66"/>
      <c r="W97" s="66"/>
      <c r="X97" s="66"/>
      <c r="Y97" s="177"/>
    </row>
    <row r="98" spans="1:25" ht="16.5" x14ac:dyDescent="0.3">
      <c r="A98" s="2" t="s">
        <v>303</v>
      </c>
      <c r="B98" s="35">
        <f>AVERAGE(B94,B77)</f>
        <v>1.8547619047619048</v>
      </c>
      <c r="C98" s="2"/>
      <c r="D98" s="2"/>
      <c r="E98" s="2"/>
      <c r="F98" s="2"/>
      <c r="G98" s="2"/>
      <c r="H98" s="2"/>
      <c r="I98" s="2"/>
      <c r="J98" s="2"/>
      <c r="M98" s="66"/>
      <c r="N98" s="66"/>
      <c r="O98" s="66"/>
      <c r="P98" s="66"/>
      <c r="Q98" s="66"/>
      <c r="R98" s="66"/>
      <c r="S98" s="66"/>
      <c r="T98" s="66"/>
      <c r="U98" s="66"/>
      <c r="V98" s="66"/>
      <c r="W98" s="66"/>
      <c r="X98" s="66"/>
      <c r="Y98" s="177"/>
    </row>
    <row r="99" spans="1:25" ht="15" x14ac:dyDescent="0.25">
      <c r="A99" s="2"/>
      <c r="B99" s="2"/>
      <c r="C99" s="2"/>
      <c r="D99" s="2"/>
      <c r="E99" s="2"/>
      <c r="F99" s="2"/>
      <c r="G99" s="2"/>
      <c r="H99" s="2"/>
      <c r="I99" s="2"/>
      <c r="J99" s="2"/>
      <c r="M99" s="66"/>
      <c r="N99" s="66"/>
      <c r="O99" s="66"/>
      <c r="P99" s="66"/>
      <c r="Q99" s="66"/>
      <c r="R99" s="66"/>
      <c r="S99" s="66"/>
      <c r="T99" s="66"/>
      <c r="U99" s="66"/>
      <c r="V99" s="66"/>
      <c r="W99" s="66"/>
      <c r="X99" s="66"/>
      <c r="Y99" s="177"/>
    </row>
    <row r="100" spans="1:25" ht="46.5" customHeight="1" x14ac:dyDescent="0.3">
      <c r="A100" s="2" t="s">
        <v>304</v>
      </c>
      <c r="B100" s="2"/>
      <c r="C100" s="2"/>
      <c r="D100" s="2"/>
      <c r="E100" s="2"/>
      <c r="F100" s="2"/>
      <c r="G100" s="2"/>
      <c r="H100" s="2"/>
      <c r="I100" s="2"/>
      <c r="J100" s="2"/>
      <c r="M100" s="66"/>
      <c r="N100" s="202" t="s">
        <v>306</v>
      </c>
      <c r="O100" s="202" t="s">
        <v>52</v>
      </c>
      <c r="P100" s="202" t="s">
        <v>53</v>
      </c>
      <c r="Q100" s="202" t="s">
        <v>498</v>
      </c>
      <c r="R100" s="203" t="s">
        <v>499</v>
      </c>
      <c r="S100" s="204"/>
      <c r="T100" s="205"/>
      <c r="U100" s="66"/>
      <c r="V100" s="66"/>
      <c r="W100" s="66"/>
      <c r="X100" s="66"/>
      <c r="Y100" s="177"/>
    </row>
    <row r="101" spans="1:25" ht="15" x14ac:dyDescent="0.25">
      <c r="A101" s="2"/>
      <c r="B101" s="2"/>
      <c r="C101" s="2"/>
      <c r="D101" s="2"/>
      <c r="E101" s="2"/>
      <c r="F101" s="2"/>
      <c r="G101" s="2"/>
      <c r="H101" s="2"/>
      <c r="I101" s="2"/>
      <c r="J101" s="2"/>
      <c r="M101" s="66"/>
      <c r="N101" s="206"/>
      <c r="O101" s="206"/>
      <c r="P101" s="206"/>
      <c r="Q101" s="206"/>
      <c r="R101" s="207" t="s">
        <v>548</v>
      </c>
      <c r="S101" s="208"/>
      <c r="T101" s="209"/>
      <c r="U101" s="66"/>
      <c r="V101" s="66"/>
      <c r="W101" s="66"/>
      <c r="X101" s="66"/>
      <c r="Y101" s="177"/>
    </row>
    <row r="102" spans="1:25" ht="16.5" x14ac:dyDescent="0.3">
      <c r="A102" s="2" t="s">
        <v>411</v>
      </c>
      <c r="B102" s="2"/>
      <c r="C102" s="2"/>
      <c r="D102" s="2"/>
      <c r="E102" s="2"/>
      <c r="F102" s="2"/>
      <c r="G102" s="2"/>
      <c r="H102" s="2"/>
      <c r="I102" s="2"/>
      <c r="J102" s="2"/>
      <c r="M102" s="195"/>
      <c r="N102" s="210"/>
      <c r="O102" s="210"/>
      <c r="P102" s="210"/>
      <c r="Q102" s="210"/>
      <c r="R102" s="97">
        <v>16</v>
      </c>
      <c r="S102" s="98">
        <v>15</v>
      </c>
      <c r="T102" s="99">
        <v>15.8</v>
      </c>
      <c r="U102" s="66"/>
      <c r="V102" s="66"/>
      <c r="W102" s="66"/>
      <c r="X102" s="66"/>
      <c r="Y102" s="177"/>
    </row>
    <row r="103" spans="1:25" ht="16.5" x14ac:dyDescent="0.3">
      <c r="A103" s="2"/>
      <c r="B103" s="2"/>
      <c r="C103" s="2"/>
      <c r="D103" s="2"/>
      <c r="E103" s="2"/>
      <c r="F103" s="2"/>
      <c r="G103" s="2"/>
      <c r="H103" s="2"/>
      <c r="I103" s="2"/>
      <c r="J103" s="2"/>
      <c r="M103" s="143" t="s">
        <v>283</v>
      </c>
      <c r="N103" s="211">
        <f t="shared" ref="N103:N109" si="11">N18/100</f>
        <v>2.0696958028494413E-2</v>
      </c>
      <c r="O103" s="212">
        <f t="shared" ref="O103:O108" si="12">O59</f>
        <v>2.8</v>
      </c>
      <c r="P103" s="213">
        <f t="shared" ref="P103:P109" si="13">O74</f>
        <v>3.36</v>
      </c>
      <c r="Q103" s="214">
        <f>AVERAGE((O103/$O$109),(P103/$P$109))</f>
        <v>68.331197714752093</v>
      </c>
      <c r="R103" s="215">
        <f t="shared" ref="R103:R109" si="14">Q103*N103/(Q103-$R$102)</f>
        <v>2.7024948652002723E-2</v>
      </c>
      <c r="S103" s="215">
        <f t="shared" ref="S103:S109" si="15">Q103*N103/(Q103-$S$102)</f>
        <v>2.6518210573541617E-2</v>
      </c>
      <c r="T103" s="216">
        <f t="shared" ref="T103:T109" si="16">Q103*N103/(Q103-$T$102)</f>
        <v>2.6922057608860128E-2</v>
      </c>
      <c r="U103" s="66"/>
      <c r="V103" s="66"/>
      <c r="W103" s="66"/>
      <c r="X103" s="66"/>
      <c r="Y103" s="177"/>
    </row>
    <row r="104" spans="1:25" ht="16.5" x14ac:dyDescent="0.3">
      <c r="A104" s="2" t="s">
        <v>305</v>
      </c>
      <c r="B104" s="10">
        <f>(E55/G55)*(G56/E56)</f>
        <v>936.23563409595363</v>
      </c>
      <c r="C104" s="2"/>
      <c r="D104" s="2"/>
      <c r="E104" s="2"/>
      <c r="F104" s="2"/>
      <c r="G104" s="2"/>
      <c r="H104" s="2"/>
      <c r="I104" s="2"/>
      <c r="J104" s="2"/>
      <c r="M104" s="143" t="s">
        <v>284</v>
      </c>
      <c r="N104" s="217">
        <f t="shared" si="11"/>
        <v>0.4867154408933384</v>
      </c>
      <c r="O104" s="218">
        <f t="shared" si="12"/>
        <v>0.93</v>
      </c>
      <c r="P104" s="219">
        <f t="shared" si="13"/>
        <v>2.2999999999999998</v>
      </c>
      <c r="Q104" s="214">
        <f t="shared" ref="Q104:Q109" si="17">AVERAGE((O104/$O$109),(P104/$P$109))</f>
        <v>26.642385907637902</v>
      </c>
      <c r="R104" s="215">
        <f t="shared" si="14"/>
        <v>1.2184542748238452</v>
      </c>
      <c r="S104" s="215">
        <f t="shared" si="15"/>
        <v>1.1137975245245368</v>
      </c>
      <c r="T104" s="216">
        <f t="shared" si="16"/>
        <v>1.1959785156098974</v>
      </c>
      <c r="U104" s="66"/>
      <c r="V104" s="66"/>
      <c r="W104" s="66"/>
      <c r="X104" s="66"/>
      <c r="Y104" s="177"/>
    </row>
    <row r="105" spans="1:25" ht="16.5" x14ac:dyDescent="0.3">
      <c r="A105" s="2"/>
      <c r="B105" s="2"/>
      <c r="C105" s="2"/>
      <c r="D105" s="2"/>
      <c r="E105" s="2"/>
      <c r="F105" s="2"/>
      <c r="G105" s="2"/>
      <c r="H105" s="2"/>
      <c r="I105" s="2"/>
      <c r="J105" s="2"/>
      <c r="M105" s="143" t="s">
        <v>285</v>
      </c>
      <c r="N105" s="217">
        <f t="shared" si="11"/>
        <v>0.10107816711590295</v>
      </c>
      <c r="O105" s="218">
        <f t="shared" si="12"/>
        <v>0.45</v>
      </c>
      <c r="P105" s="219">
        <f t="shared" si="13"/>
        <v>1.4</v>
      </c>
      <c r="Q105" s="214">
        <f t="shared" si="17"/>
        <v>13.848466299394683</v>
      </c>
      <c r="R105" s="215">
        <f t="shared" si="14"/>
        <v>-0.65059524306560934</v>
      </c>
      <c r="S105" s="215">
        <f t="shared" si="15"/>
        <v>-1.2155767479261417</v>
      </c>
      <c r="T105" s="216">
        <f t="shared" si="16"/>
        <v>-0.71727051932282271</v>
      </c>
      <c r="U105" s="66"/>
      <c r="V105" s="66"/>
      <c r="W105" s="66"/>
      <c r="X105" s="66"/>
      <c r="Y105" s="177"/>
    </row>
    <row r="106" spans="1:25" ht="16.5" x14ac:dyDescent="0.3">
      <c r="A106" s="2" t="s">
        <v>39</v>
      </c>
      <c r="B106" s="2"/>
      <c r="C106" s="2"/>
      <c r="D106" s="2"/>
      <c r="E106" s="2"/>
      <c r="F106" s="2"/>
      <c r="G106" s="2"/>
      <c r="H106" s="2"/>
      <c r="I106" s="2"/>
      <c r="J106" s="2"/>
      <c r="M106" s="143" t="s">
        <v>286</v>
      </c>
      <c r="N106" s="217">
        <f t="shared" si="11"/>
        <v>0.24075856757797454</v>
      </c>
      <c r="O106" s="218">
        <f t="shared" si="12"/>
        <v>0.35116700000000001</v>
      </c>
      <c r="P106" s="219">
        <f t="shared" si="13"/>
        <v>1.1499999999999999</v>
      </c>
      <c r="Q106" s="214">
        <f t="shared" si="17"/>
        <v>10.998544514724887</v>
      </c>
      <c r="R106" s="215">
        <f t="shared" si="14"/>
        <v>-0.52944464478465636</v>
      </c>
      <c r="S106" s="215">
        <f t="shared" si="15"/>
        <v>-0.66175766106909351</v>
      </c>
      <c r="T106" s="216">
        <f t="shared" si="16"/>
        <v>-0.55149815111865574</v>
      </c>
      <c r="U106" s="66"/>
      <c r="V106" s="66"/>
      <c r="W106" s="66"/>
      <c r="X106" s="66"/>
      <c r="Y106" s="177"/>
    </row>
    <row r="107" spans="1:25" ht="16.5" x14ac:dyDescent="0.3">
      <c r="A107" s="2"/>
      <c r="B107" s="2"/>
      <c r="C107" s="2"/>
      <c r="D107" s="2"/>
      <c r="E107" s="2"/>
      <c r="F107" s="2"/>
      <c r="G107" s="2"/>
      <c r="H107" s="2"/>
      <c r="I107" s="2"/>
      <c r="J107" s="2"/>
      <c r="M107" s="143" t="s">
        <v>297</v>
      </c>
      <c r="N107" s="217">
        <f t="shared" si="11"/>
        <v>5.410088563727377E-2</v>
      </c>
      <c r="O107" s="218">
        <f t="shared" si="12"/>
        <v>0.17460000000000001</v>
      </c>
      <c r="P107" s="219">
        <f t="shared" si="13"/>
        <v>0.68</v>
      </c>
      <c r="Q107" s="214">
        <f t="shared" si="17"/>
        <v>5.8292049241651371</v>
      </c>
      <c r="R107" s="215">
        <f t="shared" si="14"/>
        <v>-3.1006931769550439E-2</v>
      </c>
      <c r="S107" s="215">
        <f t="shared" si="15"/>
        <v>-3.4387983413726203E-2</v>
      </c>
      <c r="T107" s="216">
        <f t="shared" si="16"/>
        <v>-3.1628886819949548E-2</v>
      </c>
      <c r="U107" s="66"/>
      <c r="V107" s="66"/>
      <c r="W107" s="66"/>
      <c r="X107" s="66"/>
      <c r="Y107" s="177"/>
    </row>
    <row r="108" spans="1:25" ht="16.5" x14ac:dyDescent="0.3">
      <c r="A108" s="2" t="s">
        <v>441</v>
      </c>
      <c r="B108" s="2"/>
      <c r="C108" s="2"/>
      <c r="D108" s="2"/>
      <c r="E108" s="2"/>
      <c r="F108" s="2"/>
      <c r="G108" s="2"/>
      <c r="H108" s="2"/>
      <c r="I108" s="2"/>
      <c r="J108" s="2"/>
      <c r="M108" s="143" t="s">
        <v>298</v>
      </c>
      <c r="N108" s="217">
        <f t="shared" si="11"/>
        <v>4.8132460531382357E-2</v>
      </c>
      <c r="O108" s="218">
        <f t="shared" si="12"/>
        <v>0.14369999999999999</v>
      </c>
      <c r="P108" s="219">
        <f t="shared" si="13"/>
        <v>0.62</v>
      </c>
      <c r="Q108" s="214">
        <f t="shared" si="17"/>
        <v>4.9987213493844802</v>
      </c>
      <c r="R108" s="215">
        <f t="shared" si="14"/>
        <v>-2.1870253967539062E-2</v>
      </c>
      <c r="S108" s="215">
        <f t="shared" si="15"/>
        <v>-2.4056999755908137E-2</v>
      </c>
      <c r="T108" s="216">
        <f t="shared" si="16"/>
        <v>-2.2275210726363029E-2</v>
      </c>
      <c r="U108" s="66"/>
      <c r="V108" s="66"/>
      <c r="W108" s="66"/>
      <c r="X108" s="66"/>
      <c r="Y108" s="177"/>
    </row>
    <row r="109" spans="1:25" ht="16.5" x14ac:dyDescent="0.3">
      <c r="A109" s="2"/>
      <c r="B109" s="2"/>
      <c r="C109" s="2"/>
      <c r="D109" s="2"/>
      <c r="E109" s="2"/>
      <c r="F109" s="2"/>
      <c r="G109" s="2"/>
      <c r="H109" s="2"/>
      <c r="I109" s="2"/>
      <c r="J109" s="2"/>
      <c r="M109" s="143" t="s">
        <v>299</v>
      </c>
      <c r="N109" s="220">
        <f t="shared" si="11"/>
        <v>4.8517520215633415E-2</v>
      </c>
      <c r="O109" s="221">
        <v>2.4504999999999999E-2</v>
      </c>
      <c r="P109" s="222">
        <f t="shared" si="13"/>
        <v>0.15</v>
      </c>
      <c r="Q109" s="223">
        <f t="shared" si="17"/>
        <v>1</v>
      </c>
      <c r="R109" s="224">
        <f t="shared" si="14"/>
        <v>-3.2345013477088945E-3</v>
      </c>
      <c r="S109" s="224">
        <f t="shared" si="15"/>
        <v>-3.4655371582595295E-3</v>
      </c>
      <c r="T109" s="225">
        <f t="shared" si="16"/>
        <v>-3.278210825380636E-3</v>
      </c>
      <c r="U109" s="66"/>
      <c r="V109" s="66"/>
      <c r="W109" s="66"/>
      <c r="X109" s="66"/>
      <c r="Y109" s="177"/>
    </row>
    <row r="110" spans="1:25" ht="16.5" x14ac:dyDescent="0.3">
      <c r="A110" s="2" t="s">
        <v>442</v>
      </c>
      <c r="B110" s="36">
        <f>LOG(B104)/LOG(B98)</f>
        <v>11.075349304395077</v>
      </c>
      <c r="C110" s="2" t="s">
        <v>41</v>
      </c>
      <c r="D110" s="2"/>
      <c r="E110" s="2"/>
      <c r="F110" s="2"/>
      <c r="G110" s="2"/>
      <c r="H110" s="2"/>
      <c r="I110" s="2"/>
      <c r="J110" s="2"/>
      <c r="M110" s="143" t="s">
        <v>672</v>
      </c>
      <c r="N110" s="66"/>
      <c r="O110" s="66"/>
      <c r="P110" s="66"/>
      <c r="Q110" s="66"/>
      <c r="R110" s="226">
        <f>SUM(R103:R109)</f>
        <v>9.3276485407837346E-3</v>
      </c>
      <c r="S110" s="227">
        <f>SUM(S103:S109)</f>
        <v>-0.7989291942250506</v>
      </c>
      <c r="T110" s="228">
        <f>SUM(T103:T109)</f>
        <v>-0.10305040559441422</v>
      </c>
      <c r="U110" s="66"/>
      <c r="V110" s="66"/>
      <c r="W110" s="66"/>
      <c r="X110" s="66"/>
      <c r="Y110" s="177"/>
    </row>
    <row r="111" spans="1:25" ht="15" x14ac:dyDescent="0.25">
      <c r="A111" s="2"/>
      <c r="B111" s="2"/>
      <c r="C111" s="2"/>
      <c r="D111" s="2"/>
      <c r="E111" s="2"/>
      <c r="F111" s="2"/>
      <c r="G111" s="2"/>
      <c r="H111" s="2"/>
      <c r="I111" s="2"/>
      <c r="J111" s="2"/>
      <c r="M111" s="66"/>
      <c r="N111" s="66"/>
      <c r="O111" s="66"/>
      <c r="P111" s="66"/>
      <c r="Q111" s="66"/>
      <c r="R111" s="66"/>
      <c r="S111" s="66"/>
      <c r="T111" s="66"/>
      <c r="U111" s="66"/>
      <c r="V111" s="66"/>
      <c r="W111" s="66"/>
      <c r="X111" s="66"/>
      <c r="Y111" s="177"/>
    </row>
    <row r="112" spans="1:25" ht="15" x14ac:dyDescent="0.25">
      <c r="A112" s="2" t="s">
        <v>42</v>
      </c>
      <c r="B112" s="2"/>
      <c r="C112" s="2"/>
      <c r="D112" s="2"/>
      <c r="E112" s="2"/>
      <c r="F112" s="2"/>
      <c r="G112" s="2"/>
      <c r="H112" s="2"/>
      <c r="I112" s="2"/>
      <c r="J112" s="2"/>
      <c r="M112" s="149" t="s">
        <v>545</v>
      </c>
      <c r="N112" s="179" t="s">
        <v>440</v>
      </c>
      <c r="O112" s="181">
        <f>INTERCEPT(R102:T102,R110:T110)</f>
        <v>15.95893618243548</v>
      </c>
      <c r="P112" s="66"/>
      <c r="Q112" s="66"/>
      <c r="R112" s="66"/>
      <c r="S112" s="66"/>
      <c r="T112" s="66"/>
      <c r="U112" s="66"/>
      <c r="V112" s="66"/>
      <c r="W112" s="66"/>
      <c r="X112" s="66"/>
      <c r="Y112" s="177"/>
    </row>
    <row r="113" spans="1:26" ht="16.5" x14ac:dyDescent="0.3">
      <c r="A113" s="2"/>
      <c r="B113" s="2"/>
      <c r="C113" s="2"/>
      <c r="D113" s="2"/>
      <c r="E113" s="2"/>
      <c r="F113" s="2"/>
      <c r="G113" s="2"/>
      <c r="H113" s="2"/>
      <c r="I113" s="2"/>
      <c r="J113" s="2"/>
      <c r="M113" s="149" t="s">
        <v>446</v>
      </c>
      <c r="N113" s="179" t="s">
        <v>440</v>
      </c>
      <c r="O113" s="199">
        <f>(Q103*(Q41/100)/(Q103-O112))+(Q104*(Q42/100)/(Q104-O112))+(Q105*(Q43/100)/(Q105-O112))-1</f>
        <v>1.3542882154225202</v>
      </c>
      <c r="P113" s="66"/>
      <c r="Q113" s="66" t="s">
        <v>502</v>
      </c>
      <c r="R113" s="66"/>
      <c r="S113" s="66"/>
      <c r="T113" s="66"/>
      <c r="U113" s="66"/>
      <c r="V113" s="66"/>
      <c r="W113" s="66"/>
      <c r="X113" s="66"/>
      <c r="Y113" s="177"/>
    </row>
    <row r="114" spans="1:26" ht="18.75" x14ac:dyDescent="0.3">
      <c r="A114" s="2" t="s">
        <v>360</v>
      </c>
      <c r="B114" s="2"/>
      <c r="C114" s="2" t="s">
        <v>46</v>
      </c>
      <c r="D114" s="2"/>
      <c r="E114" s="2"/>
      <c r="F114" s="2"/>
      <c r="G114" s="2"/>
      <c r="H114" s="2"/>
      <c r="I114" s="2"/>
      <c r="J114" s="2"/>
      <c r="M114" s="149" t="s">
        <v>55</v>
      </c>
      <c r="N114" s="179" t="s">
        <v>440</v>
      </c>
      <c r="O114" s="199">
        <f>O15*O113</f>
        <v>1.7605746800492763</v>
      </c>
      <c r="P114" s="66"/>
      <c r="Q114" s="66"/>
      <c r="R114" s="66"/>
      <c r="S114" s="66"/>
      <c r="T114" s="66"/>
      <c r="U114" s="66"/>
      <c r="V114" s="66"/>
      <c r="W114" s="66"/>
      <c r="X114" s="66"/>
      <c r="Y114" s="177"/>
    </row>
    <row r="115" spans="1:26" ht="16.5" x14ac:dyDescent="0.3">
      <c r="A115" s="2"/>
      <c r="B115" s="2"/>
      <c r="C115" s="2"/>
      <c r="D115" s="2"/>
      <c r="E115" s="2"/>
      <c r="F115" s="2"/>
      <c r="G115" s="2"/>
      <c r="H115" s="2"/>
      <c r="I115" s="2"/>
      <c r="J115" s="2"/>
      <c r="M115" s="149" t="s">
        <v>549</v>
      </c>
      <c r="N115" s="179" t="s">
        <v>440</v>
      </c>
      <c r="O115" s="199">
        <f>O114/(O114+1)</f>
        <v>0.63775658480568609</v>
      </c>
      <c r="P115" s="66"/>
      <c r="Q115" s="66" t="s">
        <v>502</v>
      </c>
      <c r="R115" s="66"/>
      <c r="S115" s="66"/>
      <c r="T115" s="66"/>
      <c r="U115" s="66"/>
      <c r="V115" s="66"/>
      <c r="W115" s="66"/>
      <c r="X115" s="66"/>
      <c r="Y115" s="177"/>
    </row>
    <row r="116" spans="1:26" ht="18.75" x14ac:dyDescent="0.3">
      <c r="A116" s="2" t="s">
        <v>361</v>
      </c>
      <c r="B116" s="2"/>
      <c r="C116" s="2" t="s">
        <v>47</v>
      </c>
      <c r="D116" s="2"/>
      <c r="E116" s="2"/>
      <c r="F116" s="2"/>
      <c r="G116" s="2"/>
      <c r="H116" s="2"/>
      <c r="I116" s="2"/>
      <c r="J116" s="2"/>
      <c r="M116" s="149" t="s">
        <v>550</v>
      </c>
      <c r="N116" s="179" t="s">
        <v>440</v>
      </c>
      <c r="O116" s="199">
        <f>O113/(O113+1)</f>
        <v>0.57524316969809419</v>
      </c>
      <c r="P116" s="66"/>
      <c r="Q116" s="66" t="s">
        <v>502</v>
      </c>
      <c r="R116" s="66"/>
      <c r="S116" s="66"/>
      <c r="T116" s="66"/>
      <c r="U116" s="66"/>
      <c r="V116" s="66"/>
      <c r="W116" s="66"/>
      <c r="X116" s="66"/>
      <c r="Y116" s="177"/>
    </row>
    <row r="117" spans="1:26" ht="16.5" x14ac:dyDescent="0.3">
      <c r="A117" s="2"/>
      <c r="B117" s="2"/>
      <c r="C117" s="2"/>
      <c r="D117" s="2"/>
      <c r="E117" s="2"/>
      <c r="F117" s="2"/>
      <c r="G117" s="2"/>
      <c r="H117" s="2"/>
      <c r="I117" s="2"/>
      <c r="J117" s="2"/>
      <c r="M117" s="149" t="s">
        <v>413</v>
      </c>
      <c r="N117" s="179" t="s">
        <v>440</v>
      </c>
      <c r="O117" s="84">
        <v>0.54</v>
      </c>
      <c r="P117" s="66"/>
      <c r="Q117" s="66" t="s">
        <v>546</v>
      </c>
      <c r="R117" s="66"/>
      <c r="S117" s="66"/>
      <c r="T117" s="66"/>
      <c r="U117" s="66"/>
      <c r="V117" s="66"/>
      <c r="W117" s="66"/>
      <c r="X117" s="66"/>
      <c r="Y117" s="177"/>
    </row>
    <row r="118" spans="1:26" ht="15" x14ac:dyDescent="0.25">
      <c r="A118" s="2" t="s">
        <v>45</v>
      </c>
      <c r="B118" s="2"/>
      <c r="C118" s="2"/>
      <c r="D118" s="2"/>
      <c r="E118" s="2"/>
      <c r="F118" s="2"/>
      <c r="G118" s="2"/>
      <c r="H118" s="2"/>
      <c r="I118" s="2"/>
      <c r="J118" s="2"/>
      <c r="M118" s="149" t="s">
        <v>56</v>
      </c>
      <c r="N118" s="179" t="s">
        <v>440</v>
      </c>
      <c r="O118" s="229">
        <f>CEILING(O88/O117,1)</f>
        <v>21</v>
      </c>
      <c r="P118" s="66" t="s">
        <v>57</v>
      </c>
      <c r="Q118" s="66"/>
      <c r="R118" s="66"/>
      <c r="S118" s="66"/>
      <c r="T118" s="66"/>
      <c r="U118" s="66"/>
      <c r="V118" s="66"/>
      <c r="W118" s="66"/>
      <c r="X118" s="66"/>
      <c r="Y118" s="177"/>
    </row>
    <row r="119" spans="1:26" ht="15" x14ac:dyDescent="0.25">
      <c r="A119" s="2"/>
      <c r="B119" s="2"/>
      <c r="C119" s="2"/>
      <c r="D119" s="2"/>
      <c r="E119" s="2"/>
      <c r="F119" s="2"/>
      <c r="G119" s="2"/>
      <c r="H119" s="2"/>
      <c r="I119" s="2"/>
      <c r="J119" s="2"/>
      <c r="M119" s="140"/>
      <c r="N119" s="140"/>
      <c r="O119" s="140"/>
      <c r="P119" s="140"/>
      <c r="Q119" s="140"/>
      <c r="R119" s="66"/>
      <c r="S119" s="66"/>
      <c r="T119" s="66"/>
      <c r="U119" s="66"/>
      <c r="V119" s="66"/>
      <c r="W119" s="66"/>
      <c r="X119" s="66"/>
      <c r="Y119" s="177"/>
    </row>
    <row r="120" spans="1:26" ht="15" x14ac:dyDescent="0.25">
      <c r="A120" s="2" t="s">
        <v>43</v>
      </c>
      <c r="B120" s="2">
        <v>0.79800000000000004</v>
      </c>
      <c r="C120" s="2"/>
      <c r="D120" s="2"/>
      <c r="E120" s="2"/>
      <c r="F120" s="2"/>
      <c r="G120" s="2"/>
      <c r="H120" s="2"/>
      <c r="I120" s="2"/>
      <c r="J120" s="2"/>
      <c r="M120" s="140"/>
      <c r="N120" s="140"/>
      <c r="O120" s="140"/>
      <c r="P120" s="140"/>
      <c r="Q120" s="140"/>
      <c r="R120" s="66"/>
      <c r="S120" s="66"/>
      <c r="T120" s="66"/>
      <c r="U120" s="66"/>
      <c r="V120" s="66"/>
      <c r="W120" s="66"/>
      <c r="X120" s="66"/>
      <c r="Y120" s="177"/>
    </row>
    <row r="121" spans="1:26" ht="15" x14ac:dyDescent="0.25">
      <c r="A121" s="2" t="s">
        <v>44</v>
      </c>
      <c r="B121" s="2">
        <v>1.7589999999999999</v>
      </c>
      <c r="C121" s="2"/>
      <c r="D121" s="2"/>
      <c r="E121" s="2"/>
      <c r="F121" s="2"/>
      <c r="G121" s="2"/>
      <c r="H121" s="2"/>
      <c r="I121" s="2"/>
      <c r="J121" s="2"/>
      <c r="L121" s="230"/>
      <c r="M121" s="140"/>
      <c r="N121" s="140"/>
      <c r="O121" s="140"/>
      <c r="P121" s="140"/>
      <c r="Q121" s="140"/>
      <c r="R121" s="66"/>
      <c r="S121" s="66"/>
      <c r="T121" s="66"/>
      <c r="U121" s="66"/>
      <c r="V121" s="66"/>
      <c r="W121" s="66"/>
      <c r="X121" s="66"/>
      <c r="Y121" s="177"/>
      <c r="Z121" s="230"/>
    </row>
    <row r="122" spans="1:26" ht="15" x14ac:dyDescent="0.25">
      <c r="A122" s="2"/>
      <c r="B122" s="2"/>
      <c r="C122" s="2"/>
      <c r="D122" s="2"/>
      <c r="E122" s="2"/>
      <c r="F122" s="2"/>
      <c r="G122" s="2"/>
      <c r="H122" s="2"/>
      <c r="I122" s="2"/>
      <c r="J122" s="2"/>
      <c r="L122" s="230"/>
      <c r="M122" s="66"/>
      <c r="N122" s="66"/>
      <c r="O122" s="66"/>
      <c r="P122" s="66"/>
      <c r="Q122" s="66"/>
      <c r="R122" s="66"/>
      <c r="S122" s="66"/>
      <c r="T122" s="66"/>
      <c r="U122" s="66"/>
      <c r="V122" s="66"/>
      <c r="W122" s="66"/>
      <c r="X122" s="66"/>
      <c r="Y122" s="177"/>
      <c r="Z122" s="230"/>
    </row>
    <row r="123" spans="1:26" ht="15" x14ac:dyDescent="0.25">
      <c r="A123" s="2" t="s">
        <v>48</v>
      </c>
      <c r="B123" s="2"/>
      <c r="C123" s="2"/>
      <c r="D123" s="2"/>
      <c r="E123" s="2"/>
      <c r="F123" s="2"/>
      <c r="G123" s="2"/>
      <c r="H123" s="2"/>
      <c r="I123" s="2"/>
      <c r="J123" s="2"/>
      <c r="L123" s="230"/>
      <c r="M123" s="66"/>
      <c r="N123" s="66"/>
      <c r="O123" s="66"/>
      <c r="P123" s="66"/>
      <c r="Q123" s="66"/>
      <c r="R123" s="66"/>
      <c r="S123" s="66"/>
      <c r="T123" s="66"/>
      <c r="U123" s="66"/>
      <c r="V123" s="66"/>
      <c r="W123" s="66"/>
      <c r="X123" s="66"/>
      <c r="Y123" s="177"/>
      <c r="Z123" s="230"/>
    </row>
    <row r="124" spans="1:26" ht="15" x14ac:dyDescent="0.25">
      <c r="A124" s="2"/>
      <c r="B124" s="2"/>
      <c r="C124" s="2"/>
      <c r="D124" s="2"/>
      <c r="E124" s="2"/>
      <c r="F124" s="2"/>
      <c r="G124" s="2"/>
      <c r="H124" s="2"/>
      <c r="I124" s="2"/>
      <c r="J124" s="2"/>
      <c r="L124" s="230"/>
      <c r="M124" s="66"/>
      <c r="N124" s="66"/>
      <c r="O124" s="66"/>
      <c r="P124" s="66"/>
      <c r="Q124" s="66"/>
      <c r="R124" s="66"/>
      <c r="S124" s="66"/>
      <c r="T124" s="66"/>
      <c r="U124" s="66"/>
      <c r="V124" s="66"/>
      <c r="W124" s="66"/>
      <c r="X124" s="66"/>
      <c r="Y124" s="177"/>
      <c r="Z124" s="230"/>
    </row>
    <row r="125" spans="1:26" ht="15" x14ac:dyDescent="0.25">
      <c r="A125" s="2" t="s">
        <v>40</v>
      </c>
      <c r="B125" s="36">
        <f>LOG((D55/F55)*(F56/D56)^B120*(F61/D61)^(1-B120))/LOG(B121)</f>
        <v>11.055904511442172</v>
      </c>
      <c r="C125" s="2" t="s">
        <v>49</v>
      </c>
      <c r="D125" s="2"/>
      <c r="E125" s="2"/>
      <c r="F125" s="2"/>
      <c r="G125" s="2"/>
      <c r="H125" s="2"/>
      <c r="I125" s="2"/>
      <c r="J125" s="2"/>
      <c r="L125" s="230"/>
      <c r="M125" s="230"/>
      <c r="N125" s="230"/>
      <c r="O125" s="230"/>
      <c r="P125" s="230"/>
      <c r="Q125" s="230"/>
      <c r="R125" s="230"/>
      <c r="S125" s="230"/>
      <c r="T125" s="230"/>
      <c r="U125" s="231"/>
      <c r="V125" s="231"/>
      <c r="W125" s="231"/>
      <c r="X125" s="231"/>
      <c r="Y125" s="232"/>
      <c r="Z125" s="230"/>
    </row>
    <row r="126" spans="1:26" ht="15" x14ac:dyDescent="0.25">
      <c r="A126" s="2"/>
      <c r="B126" s="2"/>
      <c r="C126" s="2"/>
      <c r="D126" s="2"/>
      <c r="E126" s="2"/>
      <c r="F126" s="2"/>
      <c r="G126" s="2"/>
      <c r="H126" s="2"/>
      <c r="I126" s="2"/>
      <c r="J126" s="2"/>
      <c r="L126" s="230"/>
      <c r="M126" s="230"/>
      <c r="N126" s="230"/>
      <c r="O126" s="230"/>
      <c r="P126" s="230"/>
      <c r="Q126" s="230"/>
      <c r="R126" s="230"/>
      <c r="S126" s="230"/>
      <c r="T126" s="230"/>
      <c r="U126" s="231"/>
      <c r="V126" s="231"/>
      <c r="W126" s="231"/>
      <c r="X126" s="231"/>
      <c r="Y126" s="232"/>
      <c r="Z126" s="230"/>
    </row>
    <row r="127" spans="1:26" ht="15" x14ac:dyDescent="0.25">
      <c r="A127" s="2" t="s">
        <v>50</v>
      </c>
      <c r="B127" s="2"/>
      <c r="C127" s="2"/>
      <c r="D127" s="2"/>
      <c r="E127" s="2"/>
      <c r="F127" s="2"/>
      <c r="G127" s="2"/>
      <c r="H127" s="2"/>
      <c r="I127" s="2"/>
      <c r="J127" s="2"/>
      <c r="L127" s="230"/>
      <c r="M127" s="230"/>
      <c r="N127" s="230"/>
      <c r="O127" s="230"/>
      <c r="P127" s="230"/>
      <c r="Q127" s="231"/>
      <c r="R127" s="230"/>
      <c r="S127" s="230"/>
      <c r="T127" s="230"/>
      <c r="U127" s="231"/>
      <c r="V127" s="231"/>
      <c r="W127" s="231"/>
      <c r="X127" s="231"/>
      <c r="Y127" s="232"/>
      <c r="Z127" s="230"/>
    </row>
    <row r="128" spans="1:26" ht="15" x14ac:dyDescent="0.25">
      <c r="A128" s="2"/>
      <c r="B128" s="2"/>
      <c r="C128" s="2"/>
      <c r="D128" s="2"/>
      <c r="E128" s="2"/>
      <c r="F128" s="2"/>
      <c r="G128" s="2"/>
      <c r="H128" s="2"/>
      <c r="I128" s="2"/>
      <c r="J128" s="2"/>
      <c r="L128" s="230"/>
      <c r="M128" s="230"/>
      <c r="N128" s="230"/>
      <c r="O128" s="230"/>
      <c r="P128" s="230"/>
      <c r="Q128" s="231"/>
      <c r="R128" s="230"/>
      <c r="S128" s="230"/>
      <c r="T128" s="230"/>
      <c r="U128" s="231"/>
      <c r="V128" s="231"/>
      <c r="W128" s="231"/>
      <c r="X128" s="231"/>
      <c r="Y128" s="232"/>
      <c r="Z128" s="230"/>
    </row>
    <row r="129" spans="1:31" ht="15" x14ac:dyDescent="0.25">
      <c r="A129" s="2" t="s">
        <v>51</v>
      </c>
      <c r="B129" s="2"/>
      <c r="C129" s="2"/>
      <c r="D129" s="2"/>
      <c r="E129" s="2"/>
      <c r="F129" s="2"/>
      <c r="G129" s="2"/>
      <c r="H129" s="2"/>
      <c r="I129" s="2"/>
      <c r="J129" s="2"/>
      <c r="L129" s="230"/>
      <c r="M129" s="230"/>
      <c r="N129" s="230"/>
      <c r="O129" s="230"/>
      <c r="P129" s="230"/>
      <c r="Q129" s="231"/>
      <c r="R129" s="230"/>
      <c r="S129" s="230"/>
      <c r="T129" s="230"/>
      <c r="U129" s="231"/>
      <c r="V129" s="231"/>
      <c r="W129" s="231"/>
      <c r="X129" s="231"/>
      <c r="Y129" s="232"/>
      <c r="Z129" s="230"/>
    </row>
    <row r="130" spans="1:31" ht="15" x14ac:dyDescent="0.25">
      <c r="A130" s="2"/>
      <c r="B130" s="2"/>
      <c r="C130" s="2"/>
      <c r="D130" s="2"/>
      <c r="E130" s="2"/>
      <c r="F130" s="2"/>
      <c r="G130" s="2"/>
      <c r="H130" s="2"/>
      <c r="I130" s="2"/>
      <c r="J130" s="2"/>
      <c r="L130" s="230"/>
      <c r="M130" s="230"/>
      <c r="N130" s="230"/>
      <c r="O130" s="230"/>
      <c r="P130" s="230"/>
      <c r="Q130" s="231"/>
      <c r="R130" s="230"/>
      <c r="S130" s="230"/>
      <c r="T130" s="230"/>
      <c r="U130" s="231"/>
      <c r="V130" s="231"/>
      <c r="W130" s="231"/>
      <c r="X130" s="231"/>
      <c r="Y130" s="232"/>
      <c r="Z130" s="230"/>
    </row>
    <row r="131" spans="1:31" ht="15" x14ac:dyDescent="0.25">
      <c r="A131" s="2" t="s">
        <v>293</v>
      </c>
      <c r="B131" s="2"/>
      <c r="C131" s="2"/>
      <c r="D131" s="2"/>
      <c r="E131" s="2"/>
      <c r="F131" s="2"/>
      <c r="G131" s="2"/>
      <c r="H131" s="2"/>
      <c r="I131" s="2"/>
      <c r="J131" s="2"/>
      <c r="L131" s="230"/>
      <c r="M131" s="230"/>
      <c r="N131" s="230"/>
      <c r="O131" s="230"/>
      <c r="P131" s="230"/>
      <c r="Q131" s="231"/>
      <c r="R131" s="230"/>
      <c r="S131" s="230"/>
      <c r="T131" s="230"/>
      <c r="U131" s="231"/>
      <c r="V131" s="231"/>
      <c r="W131" s="231"/>
      <c r="X131" s="231"/>
      <c r="Y131" s="232"/>
      <c r="Z131" s="230"/>
    </row>
    <row r="132" spans="1:31" ht="15" x14ac:dyDescent="0.25">
      <c r="A132" s="2"/>
      <c r="B132" s="2"/>
      <c r="C132" s="2"/>
      <c r="D132" s="2"/>
      <c r="E132" s="2"/>
      <c r="F132" s="113" t="s">
        <v>294</v>
      </c>
      <c r="G132" s="114"/>
      <c r="H132" s="115"/>
      <c r="I132" s="37"/>
      <c r="J132" s="37"/>
      <c r="L132" s="230"/>
      <c r="M132" s="230"/>
      <c r="N132" s="230"/>
      <c r="O132" s="230"/>
      <c r="P132" s="230"/>
      <c r="Q132" s="231"/>
      <c r="R132" s="231"/>
      <c r="S132" s="231"/>
      <c r="T132" s="231"/>
      <c r="U132" s="231"/>
      <c r="V132" s="231"/>
      <c r="W132" s="231"/>
      <c r="X132" s="231"/>
      <c r="Y132" s="232"/>
      <c r="Z132" s="230"/>
    </row>
    <row r="133" spans="1:31" ht="46.5" x14ac:dyDescent="0.25">
      <c r="A133" s="38"/>
      <c r="B133" s="39" t="s">
        <v>306</v>
      </c>
      <c r="C133" s="40" t="s">
        <v>52</v>
      </c>
      <c r="D133" s="40" t="s">
        <v>53</v>
      </c>
      <c r="E133" s="40" t="s">
        <v>498</v>
      </c>
      <c r="F133" s="41" t="s">
        <v>295</v>
      </c>
      <c r="G133" s="40" t="s">
        <v>296</v>
      </c>
      <c r="H133" s="41" t="s">
        <v>414</v>
      </c>
      <c r="I133" s="42"/>
      <c r="J133" s="42"/>
      <c r="L133" s="230"/>
      <c r="M133" s="230"/>
      <c r="N133" s="230"/>
      <c r="O133" s="230"/>
      <c r="P133" s="230"/>
      <c r="Q133" s="231"/>
      <c r="R133" s="230"/>
      <c r="S133" s="231"/>
      <c r="T133" s="231"/>
      <c r="U133" s="231"/>
      <c r="V133" s="231"/>
      <c r="W133" s="231"/>
      <c r="X133" s="231"/>
      <c r="Y133" s="232"/>
      <c r="Z133" s="230"/>
    </row>
    <row r="134" spans="1:31" ht="16.5" x14ac:dyDescent="0.3">
      <c r="A134" s="7" t="s">
        <v>283</v>
      </c>
      <c r="B134" s="2">
        <f>C13/100</f>
        <v>2.07E-2</v>
      </c>
      <c r="C134" s="32">
        <v>2.8</v>
      </c>
      <c r="D134" s="2">
        <v>3.36</v>
      </c>
      <c r="E134" s="36">
        <f>AVERAGE((C134/$C$140),(D134/$D$140))</f>
        <v>68.331197714752093</v>
      </c>
      <c r="F134" s="43">
        <f>E134*B134/(E134-16)</f>
        <v>2.7028920690967389E-2</v>
      </c>
      <c r="G134" s="44">
        <f>E134*B134/(E134-15)</f>
        <v>2.6522108133793357E-2</v>
      </c>
      <c r="H134" s="43">
        <f>E134*B134/(E134-15.8)</f>
        <v>2.6926014525234271E-2</v>
      </c>
      <c r="I134" s="44"/>
      <c r="J134" s="44"/>
      <c r="L134" s="230"/>
      <c r="M134" s="69"/>
      <c r="N134" s="231"/>
      <c r="O134" s="231"/>
      <c r="P134" s="231"/>
      <c r="Q134" s="231"/>
      <c r="R134" s="231"/>
      <c r="S134" s="231"/>
      <c r="T134" s="231"/>
      <c r="U134" s="231"/>
      <c r="V134" s="231"/>
      <c r="W134" s="231"/>
      <c r="X134" s="231"/>
      <c r="Y134" s="232"/>
      <c r="Z134" s="230"/>
    </row>
    <row r="135" spans="1:31" ht="16.5" x14ac:dyDescent="0.3">
      <c r="A135" s="7" t="s">
        <v>284</v>
      </c>
      <c r="B135" s="2">
        <f t="shared" ref="B135:B140" si="18">C14/100</f>
        <v>0.48670000000000002</v>
      </c>
      <c r="C135" s="32">
        <v>0.93</v>
      </c>
      <c r="D135" s="2">
        <v>2.2999999999999998</v>
      </c>
      <c r="E135" s="36">
        <f t="shared" ref="E135:E140" si="19">AVERAGE((C135/$C$140),(D135/$D$140))</f>
        <v>26.642385907637902</v>
      </c>
      <c r="F135" s="43">
        <f t="shared" ref="F135:F140" si="20">E135*B135/(E135-16)</f>
        <v>1.2184156197475633</v>
      </c>
      <c r="G135" s="44">
        <f t="shared" ref="G135:G140" si="21">E135*B135/(E135-15)</f>
        <v>1.113762189650539</v>
      </c>
      <c r="H135" s="43">
        <f t="shared" ref="H135:H140" si="22">E135*B135/(E135-15.8)</f>
        <v>1.1959405735699642</v>
      </c>
      <c r="I135" s="44"/>
      <c r="J135" s="44"/>
      <c r="L135" s="230"/>
      <c r="M135" s="231"/>
      <c r="N135" s="231"/>
      <c r="O135" s="231"/>
      <c r="P135" s="231"/>
      <c r="Q135" s="231"/>
      <c r="R135" s="231"/>
      <c r="S135" s="231"/>
      <c r="T135" s="231"/>
      <c r="U135" s="231"/>
      <c r="V135" s="231"/>
      <c r="W135" s="231"/>
      <c r="X135" s="231"/>
      <c r="Y135" s="232"/>
      <c r="Z135" s="230"/>
    </row>
    <row r="136" spans="1:31" ht="16.5" x14ac:dyDescent="0.3">
      <c r="A136" s="7" t="s">
        <v>285</v>
      </c>
      <c r="B136" s="2">
        <f t="shared" si="18"/>
        <v>0.1011</v>
      </c>
      <c r="C136" s="32">
        <v>0.45</v>
      </c>
      <c r="D136" s="2">
        <v>1.4</v>
      </c>
      <c r="E136" s="36">
        <f t="shared" si="19"/>
        <v>13.848466299394683</v>
      </c>
      <c r="F136" s="43">
        <f t="shared" si="20"/>
        <v>-0.65073577163811158</v>
      </c>
      <c r="G136" s="44">
        <f t="shared" si="21"/>
        <v>-1.2158393125036937</v>
      </c>
      <c r="H136" s="43">
        <f t="shared" si="22"/>
        <v>-0.71742544975499656</v>
      </c>
      <c r="I136" s="44"/>
      <c r="J136" s="44"/>
      <c r="L136" s="230"/>
      <c r="M136" s="231"/>
      <c r="N136" s="231"/>
      <c r="O136" s="231"/>
      <c r="P136" s="231"/>
      <c r="Q136" s="231"/>
      <c r="R136" s="231"/>
      <c r="S136" s="231"/>
      <c r="T136" s="231"/>
      <c r="U136" s="231"/>
      <c r="V136" s="231"/>
      <c r="W136" s="231"/>
      <c r="X136" s="231"/>
      <c r="Y136" s="232"/>
      <c r="Z136" s="230"/>
    </row>
    <row r="137" spans="1:31" ht="16.5" x14ac:dyDescent="0.3">
      <c r="A137" s="7" t="s">
        <v>286</v>
      </c>
      <c r="B137" s="2">
        <f t="shared" si="18"/>
        <v>0.24079999999999999</v>
      </c>
      <c r="C137" s="32">
        <v>0.35116700000000001</v>
      </c>
      <c r="D137" s="2">
        <v>1.1499999999999999</v>
      </c>
      <c r="E137" s="36">
        <f t="shared" si="19"/>
        <v>10.998544514724887</v>
      </c>
      <c r="F137" s="43">
        <f t="shared" si="20"/>
        <v>-0.52953575752960458</v>
      </c>
      <c r="G137" s="44">
        <f t="shared" si="21"/>
        <v>-0.66187154371496493</v>
      </c>
      <c r="H137" s="43">
        <f t="shared" si="22"/>
        <v>-0.55159305907716905</v>
      </c>
      <c r="I137" s="44"/>
      <c r="J137" s="44"/>
      <c r="L137" s="230"/>
      <c r="M137" s="231"/>
      <c r="N137" s="231"/>
      <c r="O137" s="231"/>
      <c r="P137" s="231"/>
      <c r="Q137" s="231"/>
      <c r="R137" s="231"/>
      <c r="S137" s="231"/>
      <c r="T137" s="231"/>
      <c r="U137" s="231"/>
      <c r="V137" s="231"/>
      <c r="W137" s="231"/>
      <c r="X137" s="231"/>
      <c r="Y137" s="232"/>
      <c r="Z137" s="230"/>
    </row>
    <row r="138" spans="1:31" ht="16.5" x14ac:dyDescent="0.3">
      <c r="A138" s="7" t="s">
        <v>297</v>
      </c>
      <c r="B138" s="2">
        <f t="shared" si="18"/>
        <v>5.4100000000000002E-2</v>
      </c>
      <c r="C138" s="32">
        <v>0.17460000000000001</v>
      </c>
      <c r="D138" s="2">
        <v>0.68</v>
      </c>
      <c r="E138" s="36">
        <f t="shared" si="19"/>
        <v>5.8292049241651371</v>
      </c>
      <c r="F138" s="43">
        <f t="shared" si="20"/>
        <v>-3.1006424182767028E-2</v>
      </c>
      <c r="G138" s="44">
        <f t="shared" si="21"/>
        <v>-3.438742047876641E-2</v>
      </c>
      <c r="H138" s="43">
        <f t="shared" si="22"/>
        <v>-3.1628369051695561E-2</v>
      </c>
      <c r="I138" s="44"/>
      <c r="J138" s="44"/>
      <c r="L138" s="230"/>
      <c r="M138" s="231"/>
      <c r="N138" s="231"/>
      <c r="O138" s="231"/>
      <c r="P138" s="231"/>
      <c r="Q138" s="231"/>
      <c r="R138" s="231"/>
      <c r="S138" s="231"/>
      <c r="T138" s="231"/>
      <c r="U138" s="231"/>
      <c r="V138" s="231"/>
      <c r="W138" s="231"/>
      <c r="X138" s="231"/>
      <c r="Y138" s="232"/>
      <c r="Z138" s="230"/>
    </row>
    <row r="139" spans="1:31" ht="16.5" x14ac:dyDescent="0.3">
      <c r="A139" s="7" t="s">
        <v>298</v>
      </c>
      <c r="B139" s="2">
        <f t="shared" si="18"/>
        <v>4.8099999999999997E-2</v>
      </c>
      <c r="C139" s="32">
        <v>0.14369999999999999</v>
      </c>
      <c r="D139" s="2">
        <v>0.62</v>
      </c>
      <c r="E139" s="36">
        <f t="shared" si="19"/>
        <v>4.9987213493844802</v>
      </c>
      <c r="F139" s="43">
        <f t="shared" si="20"/>
        <v>-2.1855504668263356E-2</v>
      </c>
      <c r="G139" s="44">
        <f t="shared" si="21"/>
        <v>-2.4040775715272758E-2</v>
      </c>
      <c r="H139" s="43">
        <f t="shared" si="22"/>
        <v>-2.2260188324249173E-2</v>
      </c>
      <c r="I139" s="44"/>
      <c r="J139" s="44"/>
      <c r="L139" s="230"/>
      <c r="M139" s="230"/>
      <c r="N139" s="230"/>
      <c r="O139" s="230"/>
      <c r="P139" s="230"/>
      <c r="Q139" s="230"/>
      <c r="R139" s="230"/>
      <c r="S139" s="230"/>
      <c r="T139" s="230"/>
      <c r="U139" s="230"/>
      <c r="V139" s="230"/>
      <c r="W139" s="230"/>
      <c r="X139" s="230"/>
      <c r="Y139" s="232"/>
      <c r="Z139" s="230"/>
    </row>
    <row r="140" spans="1:31" ht="16.5" x14ac:dyDescent="0.3">
      <c r="A140" s="7" t="s">
        <v>299</v>
      </c>
      <c r="B140" s="31">
        <f t="shared" si="18"/>
        <v>4.8499999999999995E-2</v>
      </c>
      <c r="C140" s="45">
        <v>2.4504999999999999E-2</v>
      </c>
      <c r="D140" s="31">
        <v>0.15</v>
      </c>
      <c r="E140" s="46">
        <f t="shared" si="19"/>
        <v>1</v>
      </c>
      <c r="F140" s="47">
        <f t="shared" si="20"/>
        <v>-3.2333333333333329E-3</v>
      </c>
      <c r="G140" s="31">
        <f t="shared" si="21"/>
        <v>-3.464285714285714E-3</v>
      </c>
      <c r="H140" s="47">
        <f t="shared" si="22"/>
        <v>-3.2770270270270265E-3</v>
      </c>
      <c r="I140" s="44"/>
      <c r="J140" s="44"/>
      <c r="L140" s="230"/>
      <c r="M140" s="230"/>
      <c r="N140" s="230"/>
      <c r="O140" s="230"/>
      <c r="P140" s="230"/>
      <c r="Q140" s="230"/>
      <c r="R140" s="230"/>
      <c r="S140" s="230"/>
      <c r="T140" s="230"/>
      <c r="U140" s="230"/>
      <c r="V140" s="230"/>
      <c r="W140" s="230"/>
      <c r="X140" s="230"/>
      <c r="Y140" s="232"/>
      <c r="Z140" s="230"/>
    </row>
    <row r="141" spans="1:31" ht="15" x14ac:dyDescent="0.25">
      <c r="A141" s="7" t="s">
        <v>20</v>
      </c>
      <c r="B141" s="2"/>
      <c r="C141" s="2"/>
      <c r="D141" s="2"/>
      <c r="E141" s="2"/>
      <c r="F141" s="2">
        <f>SUM(F134:F140)</f>
        <v>9.0777490864507124E-3</v>
      </c>
      <c r="G141" s="2">
        <f>SUM(G134:G140)</f>
        <v>-0.79931904034265111</v>
      </c>
      <c r="H141" s="2">
        <f>SUM(H134:H140)</f>
        <v>-0.1033175051399388</v>
      </c>
      <c r="I141" s="44"/>
      <c r="J141" s="44"/>
      <c r="L141" s="230"/>
      <c r="M141" s="230"/>
      <c r="N141" s="230"/>
      <c r="O141" s="230"/>
      <c r="P141" s="230"/>
      <c r="Q141" s="230"/>
      <c r="R141" s="230"/>
      <c r="S141" s="230"/>
      <c r="T141" s="230"/>
      <c r="U141" s="233"/>
      <c r="V141" s="233"/>
      <c r="W141" s="233"/>
      <c r="X141" s="233"/>
      <c r="Y141" s="232"/>
      <c r="Z141" s="230"/>
    </row>
    <row r="142" spans="1:31" ht="16.5" customHeight="1" x14ac:dyDescent="0.25">
      <c r="A142" s="2"/>
      <c r="B142" s="2"/>
      <c r="C142" s="2"/>
      <c r="D142" s="2"/>
      <c r="E142" s="2"/>
      <c r="F142" s="2"/>
      <c r="G142" s="2"/>
      <c r="H142" s="2"/>
      <c r="I142" s="2"/>
      <c r="J142" s="2"/>
      <c r="L142" s="230"/>
      <c r="M142" s="230"/>
      <c r="N142" s="230"/>
      <c r="O142" s="230"/>
      <c r="P142" s="230"/>
      <c r="Q142" s="230"/>
      <c r="R142" s="230"/>
      <c r="S142" s="230"/>
      <c r="T142" s="230"/>
      <c r="U142" s="234"/>
      <c r="V142" s="234"/>
      <c r="W142" s="234"/>
      <c r="X142" s="234"/>
      <c r="Y142" s="232"/>
      <c r="Z142" s="230"/>
    </row>
    <row r="143" spans="1:31" s="235" customFormat="1" ht="15.75" customHeight="1" x14ac:dyDescent="0.25">
      <c r="A143" s="87" t="s">
        <v>415</v>
      </c>
      <c r="B143" s="2"/>
      <c r="C143" s="2"/>
      <c r="D143" s="2"/>
      <c r="E143" s="2"/>
      <c r="F143" s="2"/>
      <c r="G143" s="2"/>
      <c r="H143" s="2"/>
      <c r="I143" s="2"/>
      <c r="J143" s="2"/>
      <c r="L143" s="236"/>
      <c r="M143" s="236"/>
      <c r="N143" s="236"/>
      <c r="O143" s="236"/>
      <c r="P143" s="236"/>
      <c r="Q143" s="236"/>
      <c r="R143" s="236"/>
      <c r="S143" s="236"/>
      <c r="T143" s="236"/>
      <c r="U143" s="237"/>
      <c r="V143" s="237"/>
      <c r="W143" s="237"/>
      <c r="X143" s="237"/>
      <c r="Y143" s="238"/>
      <c r="Z143" s="239"/>
      <c r="AA143" s="240"/>
    </row>
    <row r="144" spans="1:31" ht="15" x14ac:dyDescent="0.25">
      <c r="A144" s="87"/>
      <c r="B144" s="2"/>
      <c r="C144" s="2"/>
      <c r="D144" s="2"/>
      <c r="E144" s="2"/>
      <c r="F144" s="2"/>
      <c r="G144" s="2"/>
      <c r="H144" s="2"/>
      <c r="I144" s="2"/>
      <c r="J144" s="2"/>
      <c r="L144" s="230"/>
      <c r="M144" s="230"/>
      <c r="N144" s="230"/>
      <c r="O144" s="230"/>
      <c r="P144" s="230"/>
      <c r="Q144" s="230"/>
      <c r="R144" s="230"/>
      <c r="S144" s="230"/>
      <c r="T144" s="230"/>
      <c r="U144" s="241"/>
      <c r="V144" s="241"/>
      <c r="W144" s="241"/>
      <c r="X144" s="241"/>
      <c r="Y144" s="242"/>
      <c r="Z144" s="230"/>
      <c r="AB144" s="241"/>
      <c r="AC144" s="241"/>
      <c r="AD144" s="241"/>
      <c r="AE144" s="241"/>
    </row>
    <row r="145" spans="1:31" ht="16.5" x14ac:dyDescent="0.3">
      <c r="A145" s="2" t="s">
        <v>467</v>
      </c>
      <c r="B145" s="2"/>
      <c r="C145" s="2"/>
      <c r="D145" s="2"/>
      <c r="E145" s="2"/>
      <c r="F145" s="2"/>
      <c r="G145" s="2"/>
      <c r="H145" s="2"/>
      <c r="I145" s="2"/>
      <c r="J145" s="2"/>
      <c r="L145" s="230"/>
      <c r="M145" s="230"/>
      <c r="N145" s="230"/>
      <c r="O145" s="230"/>
      <c r="P145" s="230"/>
      <c r="Q145" s="230"/>
      <c r="R145" s="230"/>
      <c r="S145" s="230"/>
      <c r="T145" s="230"/>
      <c r="U145" s="241"/>
      <c r="V145" s="241"/>
      <c r="W145" s="241"/>
      <c r="X145" s="241"/>
      <c r="Y145" s="232"/>
      <c r="Z145" s="230"/>
      <c r="AB145" s="173"/>
      <c r="AC145" s="173"/>
      <c r="AD145" s="173"/>
      <c r="AE145" s="173"/>
    </row>
    <row r="146" spans="1:31" ht="15" x14ac:dyDescent="0.25">
      <c r="A146" s="2" t="s">
        <v>54</v>
      </c>
      <c r="B146" s="35">
        <f>(E134*(E54/100)/(E134-15.9))+(E135*(E55/100)/(E135-15.9))+(E136*(E56/100)/(E136-15.9))-1</f>
        <v>1.3393610961661224</v>
      </c>
      <c r="C146" s="2"/>
      <c r="D146" s="2"/>
      <c r="E146" s="2"/>
      <c r="F146" s="2"/>
      <c r="G146" s="2"/>
      <c r="H146" s="2"/>
      <c r="I146" s="2"/>
      <c r="J146" s="2"/>
      <c r="L146" s="230"/>
      <c r="M146" s="230"/>
      <c r="N146" s="230"/>
      <c r="O146" s="230"/>
      <c r="P146" s="230"/>
      <c r="Q146" s="230"/>
      <c r="R146" s="230"/>
      <c r="S146" s="230"/>
      <c r="T146" s="230"/>
      <c r="U146" s="241"/>
      <c r="V146" s="241"/>
      <c r="W146" s="241"/>
      <c r="X146" s="241"/>
      <c r="Y146" s="232"/>
      <c r="Z146" s="230"/>
    </row>
    <row r="147" spans="1:31" ht="15" x14ac:dyDescent="0.25">
      <c r="A147" s="2"/>
      <c r="B147" s="2"/>
      <c r="C147" s="2"/>
      <c r="D147" s="2"/>
      <c r="E147" s="2"/>
      <c r="F147" s="2"/>
      <c r="G147" s="2"/>
      <c r="H147" s="2"/>
      <c r="I147" s="2"/>
      <c r="J147" s="2"/>
      <c r="L147" s="230"/>
      <c r="M147" s="230"/>
      <c r="N147" s="230"/>
      <c r="O147" s="230"/>
      <c r="P147" s="230"/>
      <c r="Q147" s="230"/>
      <c r="R147" s="230"/>
      <c r="S147" s="230"/>
      <c r="T147" s="230"/>
      <c r="U147" s="241"/>
      <c r="V147" s="241"/>
      <c r="W147" s="241"/>
      <c r="X147" s="241"/>
      <c r="Y147" s="232"/>
      <c r="Z147" s="230"/>
    </row>
    <row r="148" spans="1:31" ht="16.5" x14ac:dyDescent="0.3">
      <c r="A148" s="2" t="s">
        <v>447</v>
      </c>
      <c r="B148" s="2"/>
      <c r="C148" s="2"/>
      <c r="D148" s="2"/>
      <c r="E148" s="2"/>
      <c r="F148" s="2"/>
      <c r="G148" s="2"/>
      <c r="H148" s="2"/>
      <c r="I148" s="2"/>
      <c r="J148" s="2"/>
      <c r="L148" s="230"/>
      <c r="M148" s="230"/>
      <c r="N148" s="230"/>
      <c r="O148" s="230"/>
      <c r="P148" s="230"/>
      <c r="Q148" s="230"/>
      <c r="R148" s="230"/>
      <c r="S148" s="230"/>
      <c r="T148" s="230"/>
      <c r="U148" s="241"/>
      <c r="V148" s="241"/>
      <c r="W148" s="241"/>
      <c r="X148" s="241"/>
      <c r="Y148" s="232"/>
      <c r="Z148" s="230"/>
    </row>
    <row r="149" spans="1:31" ht="15" x14ac:dyDescent="0.25">
      <c r="A149" s="2"/>
      <c r="B149" s="2"/>
      <c r="C149" s="2"/>
      <c r="D149" s="2"/>
      <c r="E149" s="2"/>
      <c r="F149" s="2"/>
      <c r="G149" s="2"/>
      <c r="H149" s="2"/>
      <c r="I149" s="2"/>
      <c r="J149" s="2"/>
      <c r="L149" s="230"/>
      <c r="M149" s="230"/>
      <c r="N149" s="230"/>
      <c r="O149" s="230"/>
      <c r="P149" s="230"/>
      <c r="Q149" s="230"/>
      <c r="R149" s="230"/>
      <c r="S149" s="230"/>
      <c r="T149" s="230"/>
      <c r="U149" s="241"/>
      <c r="V149" s="241"/>
      <c r="W149" s="241"/>
      <c r="X149" s="241"/>
      <c r="Y149" s="232"/>
      <c r="Z149" s="230"/>
    </row>
    <row r="150" spans="1:31" ht="16.5" x14ac:dyDescent="0.3">
      <c r="A150" s="2"/>
      <c r="B150" s="2" t="s">
        <v>468</v>
      </c>
      <c r="C150" s="2"/>
      <c r="D150" s="2"/>
      <c r="E150" s="2"/>
      <c r="F150" s="2"/>
      <c r="G150" s="2"/>
      <c r="H150" s="2"/>
      <c r="I150" s="2"/>
      <c r="J150" s="2"/>
      <c r="L150" s="230"/>
      <c r="M150" s="230"/>
      <c r="N150" s="230"/>
      <c r="O150" s="230"/>
      <c r="P150" s="230"/>
      <c r="Q150" s="230"/>
      <c r="R150" s="230"/>
      <c r="S150" s="230"/>
      <c r="T150" s="230"/>
      <c r="U150" s="241"/>
      <c r="V150" s="241"/>
      <c r="W150" s="241"/>
      <c r="X150" s="241"/>
      <c r="Y150" s="232"/>
      <c r="Z150" s="230"/>
    </row>
    <row r="151" spans="1:31" ht="15" x14ac:dyDescent="0.25">
      <c r="A151" s="2"/>
      <c r="B151" s="2" t="s">
        <v>671</v>
      </c>
      <c r="C151" s="35">
        <f>1.3*B146</f>
        <v>1.7411694250159593</v>
      </c>
      <c r="D151" s="2"/>
      <c r="E151" s="2"/>
      <c r="F151" s="2"/>
      <c r="G151" s="2"/>
      <c r="H151" s="2"/>
      <c r="I151" s="2"/>
      <c r="J151" s="2"/>
      <c r="L151" s="230"/>
      <c r="M151" s="230"/>
      <c r="N151" s="230"/>
      <c r="O151" s="230"/>
      <c r="P151" s="230"/>
      <c r="Q151" s="230"/>
      <c r="R151" s="230"/>
      <c r="S151" s="230"/>
      <c r="T151" s="230"/>
      <c r="U151" s="241"/>
      <c r="V151" s="241"/>
      <c r="W151" s="241"/>
      <c r="X151" s="241"/>
      <c r="Y151" s="232"/>
      <c r="Z151" s="230"/>
    </row>
    <row r="152" spans="1:31" ht="15" x14ac:dyDescent="0.25">
      <c r="A152" s="2"/>
      <c r="B152" s="2"/>
      <c r="C152" s="2"/>
      <c r="D152" s="2"/>
      <c r="E152" s="2"/>
      <c r="F152" s="2"/>
      <c r="G152" s="2"/>
      <c r="H152" s="2"/>
      <c r="I152" s="2"/>
      <c r="J152" s="2"/>
      <c r="L152" s="230"/>
      <c r="M152" s="231"/>
      <c r="N152" s="231"/>
      <c r="O152" s="231"/>
      <c r="P152" s="231"/>
      <c r="Q152" s="231"/>
      <c r="R152" s="231"/>
      <c r="S152" s="231"/>
      <c r="T152" s="231"/>
      <c r="U152" s="231"/>
      <c r="V152" s="231"/>
      <c r="W152" s="231"/>
      <c r="X152" s="231"/>
      <c r="Y152" s="232"/>
      <c r="Z152" s="230"/>
    </row>
    <row r="153" spans="1:31" ht="16.5" x14ac:dyDescent="0.3">
      <c r="A153" s="2" t="s">
        <v>307</v>
      </c>
      <c r="B153" s="2"/>
      <c r="C153" s="2"/>
      <c r="D153" s="2">
        <f>C151/(C151+1)</f>
        <v>0.63519219539150595</v>
      </c>
      <c r="E153" s="2"/>
      <c r="F153" s="2"/>
      <c r="G153" s="2"/>
      <c r="H153" s="2"/>
      <c r="I153" s="2"/>
      <c r="J153" s="2"/>
      <c r="L153" s="230"/>
      <c r="M153" s="243"/>
      <c r="N153" s="231"/>
      <c r="O153" s="231"/>
      <c r="P153" s="231"/>
      <c r="Q153" s="231"/>
      <c r="R153" s="231"/>
      <c r="S153" s="231"/>
      <c r="T153" s="231"/>
      <c r="U153" s="231"/>
      <c r="V153" s="231"/>
      <c r="W153" s="231"/>
      <c r="X153" s="231"/>
      <c r="Y153" s="232"/>
      <c r="Z153" s="241"/>
      <c r="AA153" s="241"/>
    </row>
    <row r="154" spans="1:31" ht="16.5" x14ac:dyDescent="0.3">
      <c r="A154" s="2" t="s">
        <v>308</v>
      </c>
      <c r="B154" s="2"/>
      <c r="C154" s="2"/>
      <c r="D154" s="2">
        <f>B146/(B146+1)</f>
        <v>0.57253285880539917</v>
      </c>
      <c r="E154" s="2"/>
      <c r="F154" s="2"/>
      <c r="G154" s="2"/>
      <c r="H154" s="2"/>
      <c r="I154" s="2"/>
      <c r="J154" s="2"/>
      <c r="L154" s="230"/>
      <c r="M154" s="243"/>
      <c r="N154" s="231"/>
      <c r="O154" s="231"/>
      <c r="P154" s="231"/>
      <c r="Q154" s="231"/>
      <c r="R154" s="231"/>
      <c r="S154" s="231"/>
      <c r="T154" s="231"/>
      <c r="U154" s="231"/>
      <c r="V154" s="231"/>
      <c r="W154" s="231"/>
      <c r="X154" s="231"/>
      <c r="Y154" s="232"/>
      <c r="Z154" s="244"/>
      <c r="AA154" s="173"/>
    </row>
    <row r="155" spans="1:31" ht="15" x14ac:dyDescent="0.25">
      <c r="A155" s="2"/>
      <c r="B155" s="2"/>
      <c r="C155" s="2"/>
      <c r="D155" s="2"/>
      <c r="E155" s="2"/>
      <c r="F155" s="2"/>
      <c r="G155" s="2"/>
      <c r="H155" s="2"/>
      <c r="I155" s="2"/>
      <c r="J155" s="2"/>
      <c r="L155" s="230"/>
      <c r="M155" s="243"/>
      <c r="N155" s="230"/>
      <c r="O155" s="230"/>
      <c r="P155" s="231"/>
      <c r="Q155" s="231"/>
      <c r="R155" s="231"/>
      <c r="S155" s="231"/>
      <c r="T155" s="231"/>
      <c r="U155" s="231"/>
      <c r="V155" s="231"/>
      <c r="W155" s="231"/>
      <c r="X155" s="231"/>
      <c r="Y155" s="245"/>
      <c r="Z155" s="230"/>
    </row>
    <row r="156" spans="1:31" ht="15" x14ac:dyDescent="0.25">
      <c r="A156" s="2" t="s">
        <v>706</v>
      </c>
      <c r="B156" s="2"/>
      <c r="C156" s="2"/>
      <c r="D156" s="2"/>
      <c r="E156" s="2"/>
      <c r="F156" s="2"/>
      <c r="G156" s="2"/>
      <c r="H156" s="2"/>
      <c r="I156" s="2"/>
      <c r="J156" s="2"/>
      <c r="L156" s="230"/>
      <c r="M156" s="243"/>
      <c r="N156" s="231"/>
      <c r="O156" s="231"/>
      <c r="P156" s="231"/>
      <c r="Q156" s="231"/>
      <c r="R156" s="231"/>
      <c r="S156" s="231"/>
      <c r="T156" s="231"/>
      <c r="U156" s="231"/>
      <c r="V156" s="231"/>
      <c r="W156" s="231"/>
      <c r="X156" s="231"/>
      <c r="Y156" s="232"/>
      <c r="Z156" s="230"/>
    </row>
    <row r="157" spans="1:31" ht="15" x14ac:dyDescent="0.25">
      <c r="A157" s="2"/>
      <c r="B157" s="2"/>
      <c r="C157" s="2"/>
      <c r="D157" s="2"/>
      <c r="E157" s="2"/>
      <c r="F157" s="2"/>
      <c r="G157" s="2"/>
      <c r="H157" s="2"/>
      <c r="I157" s="2"/>
      <c r="J157" s="2"/>
      <c r="L157" s="230"/>
      <c r="M157" s="231"/>
      <c r="N157" s="231"/>
      <c r="O157" s="231"/>
      <c r="P157" s="231"/>
      <c r="Q157" s="231"/>
      <c r="R157" s="231"/>
      <c r="S157" s="231"/>
      <c r="T157" s="231"/>
      <c r="U157" s="231"/>
      <c r="V157" s="231"/>
      <c r="W157" s="231"/>
      <c r="X157" s="231"/>
      <c r="Y157" s="232"/>
      <c r="Z157" s="230"/>
    </row>
    <row r="158" spans="1:31" ht="16.5" x14ac:dyDescent="0.3">
      <c r="A158" s="25" t="s">
        <v>413</v>
      </c>
      <c r="B158" s="2">
        <v>0.54</v>
      </c>
      <c r="C158" s="2"/>
      <c r="D158" s="2"/>
      <c r="E158" s="2"/>
      <c r="F158" s="2"/>
      <c r="G158" s="2"/>
      <c r="H158" s="2"/>
      <c r="I158" s="2"/>
      <c r="J158" s="2"/>
      <c r="L158" s="230"/>
      <c r="M158" s="231"/>
      <c r="N158" s="231"/>
      <c r="O158" s="231"/>
      <c r="P158" s="231"/>
      <c r="Q158" s="231"/>
      <c r="R158" s="231"/>
      <c r="S158" s="231"/>
      <c r="T158" s="231"/>
      <c r="U158" s="231"/>
      <c r="V158" s="231"/>
      <c r="W158" s="231"/>
      <c r="X158" s="231"/>
      <c r="Y158" s="232"/>
      <c r="Z158" s="230"/>
    </row>
    <row r="159" spans="1:31" ht="15" x14ac:dyDescent="0.25">
      <c r="A159" s="2"/>
      <c r="B159" s="2"/>
      <c r="C159" s="2"/>
      <c r="D159" s="2"/>
      <c r="E159" s="2"/>
      <c r="F159" s="2"/>
      <c r="G159" s="2"/>
      <c r="H159" s="2"/>
      <c r="I159" s="2"/>
      <c r="J159" s="2"/>
      <c r="L159" s="230"/>
      <c r="M159" s="231"/>
      <c r="N159" s="231"/>
      <c r="O159" s="231"/>
      <c r="P159" s="231"/>
      <c r="Q159" s="231"/>
      <c r="R159" s="231"/>
      <c r="S159" s="231"/>
      <c r="T159" s="231"/>
      <c r="U159" s="231"/>
      <c r="V159" s="231"/>
      <c r="W159" s="231"/>
      <c r="X159" s="231"/>
      <c r="Y159" s="232"/>
      <c r="Z159" s="230"/>
    </row>
    <row r="160" spans="1:31" ht="15" x14ac:dyDescent="0.25">
      <c r="A160" s="25" t="s">
        <v>56</v>
      </c>
      <c r="B160" s="48">
        <f>B110/B158</f>
        <v>20.509906119250143</v>
      </c>
      <c r="C160" s="2" t="s">
        <v>57</v>
      </c>
      <c r="D160" s="2"/>
      <c r="E160" s="2"/>
      <c r="F160" s="2"/>
      <c r="G160" s="2"/>
      <c r="H160" s="2"/>
      <c r="I160" s="2"/>
      <c r="J160" s="2"/>
      <c r="L160" s="230"/>
      <c r="M160" s="230"/>
      <c r="N160" s="230"/>
      <c r="O160" s="230"/>
      <c r="P160" s="230"/>
      <c r="Q160" s="231"/>
      <c r="R160" s="231"/>
      <c r="S160" s="231"/>
      <c r="T160" s="231"/>
      <c r="U160" s="231"/>
      <c r="V160" s="231"/>
      <c r="W160" s="231"/>
      <c r="X160" s="231"/>
      <c r="Y160" s="232"/>
      <c r="Z160" s="230"/>
    </row>
    <row r="161" spans="1:27" ht="15" x14ac:dyDescent="0.25">
      <c r="A161" s="2"/>
      <c r="B161" s="2"/>
      <c r="C161" s="2"/>
      <c r="D161" s="2"/>
      <c r="E161" s="2"/>
      <c r="F161" s="2"/>
      <c r="G161" s="2"/>
      <c r="H161" s="2"/>
      <c r="I161" s="2"/>
      <c r="J161" s="2"/>
      <c r="L161" s="230"/>
      <c r="M161" s="231"/>
      <c r="N161" s="231"/>
      <c r="O161" s="231"/>
      <c r="P161" s="231"/>
      <c r="Q161" s="231"/>
      <c r="R161" s="231"/>
      <c r="S161" s="231"/>
      <c r="T161" s="231"/>
      <c r="U161" s="231"/>
      <c r="V161" s="231"/>
      <c r="W161" s="231"/>
      <c r="X161" s="231"/>
      <c r="Y161" s="232"/>
      <c r="Z161" s="230"/>
    </row>
    <row r="162" spans="1:27" ht="15" x14ac:dyDescent="0.25">
      <c r="A162" s="2" t="s">
        <v>58</v>
      </c>
      <c r="B162" s="2"/>
      <c r="C162" s="2"/>
      <c r="D162" s="2"/>
      <c r="E162" s="2"/>
      <c r="F162" s="2"/>
      <c r="G162" s="2"/>
      <c r="H162" s="2"/>
      <c r="I162" s="2"/>
      <c r="J162" s="2"/>
      <c r="L162" s="230"/>
      <c r="M162" s="231"/>
      <c r="N162" s="231"/>
      <c r="O162" s="231"/>
      <c r="P162" s="231"/>
      <c r="Q162" s="231"/>
      <c r="R162" s="231"/>
      <c r="S162" s="231"/>
      <c r="T162" s="231"/>
      <c r="U162" s="231"/>
      <c r="V162" s="231"/>
      <c r="W162" s="231"/>
      <c r="X162" s="231"/>
      <c r="Y162" s="232"/>
      <c r="Z162" s="230"/>
    </row>
    <row r="163" spans="1:27" ht="15" x14ac:dyDescent="0.25">
      <c r="L163" s="230"/>
      <c r="M163" s="231"/>
      <c r="N163" s="231"/>
      <c r="O163" s="231"/>
      <c r="P163" s="231"/>
      <c r="Q163" s="231"/>
      <c r="R163" s="231"/>
      <c r="S163" s="231"/>
      <c r="T163" s="231"/>
      <c r="U163" s="231"/>
      <c r="V163" s="231"/>
      <c r="W163" s="231"/>
      <c r="X163" s="231"/>
      <c r="Y163" s="232"/>
      <c r="Z163" s="230"/>
    </row>
    <row r="164" spans="1:27" ht="15" x14ac:dyDescent="0.25">
      <c r="L164" s="230"/>
      <c r="M164" s="231"/>
      <c r="N164" s="231"/>
      <c r="O164" s="231"/>
      <c r="P164" s="246"/>
      <c r="Q164" s="247"/>
      <c r="R164" s="231"/>
      <c r="S164" s="231"/>
      <c r="T164" s="231"/>
      <c r="U164" s="231"/>
      <c r="V164" s="231"/>
      <c r="W164" s="231"/>
      <c r="X164" s="231"/>
      <c r="Y164" s="232"/>
      <c r="Z164" s="230"/>
    </row>
    <row r="165" spans="1:27" ht="15" x14ac:dyDescent="0.25">
      <c r="B165" s="230"/>
      <c r="C165" s="230"/>
      <c r="D165" s="230"/>
      <c r="E165" s="230"/>
      <c r="F165" s="230"/>
      <c r="G165" s="230"/>
      <c r="H165" s="230"/>
      <c r="L165" s="230"/>
      <c r="M165" s="231"/>
      <c r="N165" s="230"/>
      <c r="O165" s="230"/>
      <c r="P165" s="231"/>
      <c r="Q165" s="231"/>
      <c r="R165" s="231"/>
      <c r="S165" s="231"/>
      <c r="T165" s="231"/>
      <c r="U165" s="231"/>
      <c r="V165" s="231"/>
      <c r="W165" s="231"/>
      <c r="X165" s="231"/>
      <c r="Y165" s="232"/>
      <c r="Z165" s="230"/>
    </row>
    <row r="166" spans="1:27" ht="15" x14ac:dyDescent="0.25">
      <c r="B166" s="230"/>
      <c r="C166" s="230"/>
      <c r="D166" s="248"/>
      <c r="E166" s="248"/>
      <c r="F166" s="249"/>
      <c r="G166" s="230"/>
      <c r="H166" s="230"/>
      <c r="L166" s="230"/>
      <c r="M166" s="231"/>
      <c r="N166" s="231"/>
      <c r="O166" s="231"/>
      <c r="P166" s="231"/>
      <c r="Q166" s="231"/>
      <c r="R166" s="231"/>
      <c r="S166" s="231"/>
      <c r="T166" s="231"/>
      <c r="U166" s="231"/>
      <c r="V166" s="231"/>
      <c r="W166" s="231"/>
      <c r="X166" s="231"/>
      <c r="Y166" s="232"/>
      <c r="Z166" s="230"/>
    </row>
    <row r="167" spans="1:27" ht="15" x14ac:dyDescent="0.25">
      <c r="B167" s="230"/>
      <c r="C167" s="230"/>
      <c r="D167" s="248"/>
      <c r="E167" s="248"/>
      <c r="F167" s="249"/>
      <c r="G167" s="230"/>
      <c r="H167" s="230"/>
      <c r="L167" s="230"/>
      <c r="M167" s="230"/>
      <c r="N167" s="230"/>
      <c r="O167" s="231"/>
      <c r="P167" s="230"/>
      <c r="Q167" s="231"/>
      <c r="R167" s="231"/>
      <c r="S167" s="231"/>
      <c r="T167" s="231"/>
      <c r="U167" s="231"/>
      <c r="V167" s="231"/>
      <c r="W167" s="231"/>
      <c r="X167" s="231"/>
      <c r="Y167" s="232"/>
      <c r="Z167" s="230"/>
    </row>
    <row r="168" spans="1:27" ht="15" x14ac:dyDescent="0.25">
      <c r="B168" s="230"/>
      <c r="C168" s="230"/>
      <c r="D168" s="248"/>
      <c r="E168" s="248"/>
      <c r="F168" s="249"/>
      <c r="G168" s="230"/>
      <c r="H168" s="230"/>
      <c r="L168" s="230"/>
      <c r="M168" s="230"/>
      <c r="N168" s="230"/>
      <c r="O168" s="231"/>
      <c r="P168" s="230"/>
      <c r="Q168" s="231"/>
      <c r="R168" s="231"/>
      <c r="S168" s="231"/>
      <c r="T168" s="231"/>
      <c r="U168" s="231"/>
      <c r="V168" s="231"/>
      <c r="W168" s="231"/>
      <c r="X168" s="231"/>
      <c r="Y168" s="232"/>
      <c r="Z168" s="230"/>
      <c r="AA168" s="231"/>
    </row>
    <row r="169" spans="1:27" ht="15" x14ac:dyDescent="0.25">
      <c r="B169" s="230"/>
      <c r="C169" s="230"/>
      <c r="D169" s="248"/>
      <c r="E169" s="248"/>
      <c r="F169" s="249"/>
      <c r="G169" s="230"/>
      <c r="H169" s="230"/>
      <c r="L169" s="230"/>
      <c r="M169" s="231"/>
      <c r="N169" s="231"/>
      <c r="O169" s="231"/>
      <c r="P169" s="231"/>
      <c r="Q169" s="231"/>
      <c r="R169" s="231"/>
      <c r="S169" s="231"/>
      <c r="T169" s="231"/>
      <c r="U169" s="231"/>
      <c r="V169" s="231"/>
      <c r="W169" s="231"/>
      <c r="X169" s="231"/>
      <c r="Y169" s="232"/>
      <c r="Z169" s="230"/>
    </row>
    <row r="170" spans="1:27" ht="15" x14ac:dyDescent="0.25">
      <c r="B170" s="230"/>
      <c r="C170" s="230"/>
      <c r="D170" s="248"/>
      <c r="E170" s="248"/>
      <c r="F170" s="249"/>
      <c r="G170" s="230"/>
      <c r="H170" s="230"/>
      <c r="L170" s="230"/>
      <c r="M170" s="230"/>
      <c r="N170" s="230"/>
      <c r="O170" s="230"/>
      <c r="P170" s="230"/>
      <c r="Q170" s="230"/>
      <c r="R170" s="231"/>
      <c r="S170" s="231"/>
      <c r="T170" s="231"/>
      <c r="U170" s="231"/>
      <c r="V170" s="231"/>
      <c r="W170" s="231"/>
      <c r="X170" s="231"/>
      <c r="Y170" s="232"/>
      <c r="Z170" s="230"/>
    </row>
    <row r="171" spans="1:27" ht="15" x14ac:dyDescent="0.25">
      <c r="B171" s="230"/>
      <c r="C171" s="230"/>
      <c r="D171" s="248"/>
      <c r="E171" s="248"/>
      <c r="F171" s="249"/>
      <c r="G171" s="230"/>
      <c r="H171" s="230"/>
      <c r="L171" s="230"/>
      <c r="M171" s="230"/>
      <c r="N171" s="230"/>
      <c r="O171" s="230"/>
      <c r="P171" s="230"/>
      <c r="Q171" s="230"/>
      <c r="R171" s="231"/>
      <c r="S171" s="231"/>
      <c r="T171" s="231"/>
      <c r="U171" s="231"/>
      <c r="V171" s="231"/>
      <c r="W171" s="231"/>
      <c r="X171" s="231"/>
      <c r="Y171" s="232"/>
      <c r="Z171" s="230"/>
    </row>
    <row r="172" spans="1:27" ht="15" x14ac:dyDescent="0.25">
      <c r="B172" s="230"/>
      <c r="C172" s="230"/>
      <c r="D172" s="248"/>
      <c r="E172" s="248"/>
      <c r="F172" s="249"/>
      <c r="G172" s="230"/>
      <c r="H172" s="230"/>
      <c r="L172" s="230"/>
      <c r="M172" s="230"/>
      <c r="N172" s="230"/>
      <c r="O172" s="230"/>
      <c r="P172" s="230"/>
      <c r="Q172" s="230"/>
      <c r="R172" s="231"/>
      <c r="S172" s="231"/>
      <c r="T172" s="231"/>
      <c r="U172" s="231"/>
      <c r="V172" s="231"/>
      <c r="W172" s="231"/>
      <c r="X172" s="231"/>
      <c r="Y172" s="232"/>
      <c r="Z172" s="230"/>
    </row>
    <row r="173" spans="1:27" ht="15" x14ac:dyDescent="0.25">
      <c r="L173" s="230"/>
      <c r="M173" s="230"/>
      <c r="N173" s="230"/>
      <c r="O173" s="230"/>
      <c r="P173" s="230"/>
      <c r="Q173" s="230"/>
      <c r="R173" s="231"/>
      <c r="S173" s="231"/>
      <c r="T173" s="231"/>
      <c r="U173" s="231"/>
      <c r="V173" s="231"/>
      <c r="W173" s="231"/>
      <c r="X173" s="231"/>
      <c r="Y173" s="232"/>
      <c r="Z173" s="230"/>
    </row>
    <row r="174" spans="1:27" ht="15" x14ac:dyDescent="0.25">
      <c r="L174" s="230"/>
      <c r="M174" s="230"/>
      <c r="N174" s="230"/>
      <c r="O174" s="230"/>
      <c r="P174" s="230"/>
      <c r="Q174" s="230"/>
      <c r="R174" s="231"/>
      <c r="S174" s="231"/>
      <c r="T174" s="231"/>
      <c r="U174" s="231"/>
      <c r="V174" s="231"/>
      <c r="W174" s="231"/>
      <c r="X174" s="231"/>
      <c r="Y174" s="232"/>
      <c r="Z174" s="230"/>
    </row>
    <row r="175" spans="1:27" ht="15" x14ac:dyDescent="0.25">
      <c r="L175" s="230"/>
      <c r="M175" s="230"/>
      <c r="N175" s="230"/>
      <c r="O175" s="230"/>
      <c r="P175" s="230"/>
      <c r="Q175" s="230"/>
      <c r="R175" s="231"/>
      <c r="S175" s="231"/>
      <c r="T175" s="231"/>
      <c r="U175" s="231"/>
      <c r="V175" s="231"/>
      <c r="W175" s="231"/>
      <c r="X175" s="231"/>
      <c r="Y175" s="232"/>
      <c r="Z175" s="230"/>
      <c r="AA175" s="231"/>
    </row>
    <row r="176" spans="1:27" ht="15" x14ac:dyDescent="0.25">
      <c r="L176" s="230"/>
      <c r="M176" s="230"/>
      <c r="N176" s="230"/>
      <c r="O176" s="230"/>
      <c r="P176" s="230"/>
      <c r="Q176" s="230"/>
      <c r="R176" s="231"/>
      <c r="S176" s="231"/>
      <c r="T176" s="231"/>
      <c r="U176" s="231"/>
      <c r="V176" s="231"/>
      <c r="W176" s="231"/>
      <c r="X176" s="231"/>
      <c r="Y176" s="232"/>
      <c r="Z176" s="230"/>
    </row>
    <row r="178" spans="1:1" ht="15" x14ac:dyDescent="0.25">
      <c r="A178" s="129" t="s">
        <v>723</v>
      </c>
    </row>
    <row r="179" spans="1:1" ht="15" x14ac:dyDescent="0.25">
      <c r="A179" s="129" t="s">
        <v>724</v>
      </c>
    </row>
    <row r="180" spans="1:1" ht="15" x14ac:dyDescent="0.25">
      <c r="A180" s="129" t="s">
        <v>725</v>
      </c>
    </row>
    <row r="181" spans="1:1" ht="15" x14ac:dyDescent="0.25">
      <c r="A181" s="129" t="s">
        <v>684</v>
      </c>
    </row>
    <row r="182" spans="1:1" ht="15" x14ac:dyDescent="0.25">
      <c r="A182" s="130" t="s">
        <v>726</v>
      </c>
    </row>
  </sheetData>
  <sheetProtection password="E156" sheet="1" objects="1" scenarios="1"/>
  <mergeCells count="20">
    <mergeCell ref="M54:S54"/>
    <mergeCell ref="M69:S69"/>
    <mergeCell ref="F132:H132"/>
    <mergeCell ref="A63:I64"/>
    <mergeCell ref="A79:I80"/>
    <mergeCell ref="A66:I66"/>
    <mergeCell ref="Q100:Q102"/>
    <mergeCell ref="R100:T100"/>
    <mergeCell ref="R101:T101"/>
    <mergeCell ref="N100:N102"/>
    <mergeCell ref="O100:O102"/>
    <mergeCell ref="P100:P102"/>
    <mergeCell ref="A7:H8"/>
    <mergeCell ref="B52:C52"/>
    <mergeCell ref="D52:E52"/>
    <mergeCell ref="F52:G52"/>
    <mergeCell ref="M6:X7"/>
    <mergeCell ref="N39:O39"/>
    <mergeCell ref="P39:Q39"/>
    <mergeCell ref="R39:S39"/>
  </mergeCells>
  <phoneticPr fontId="3"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7"/>
  <sheetViews>
    <sheetView zoomScale="85" zoomScaleNormal="85" workbookViewId="0">
      <selection activeCell="X29" sqref="X29"/>
    </sheetView>
  </sheetViews>
  <sheetFormatPr defaultColWidth="9.140625" defaultRowHeight="12.75" x14ac:dyDescent="0.2"/>
  <cols>
    <col min="1" max="1" width="19" style="68" customWidth="1"/>
    <col min="2" max="2" width="12.28515625" style="68" customWidth="1"/>
    <col min="3" max="3" width="13" style="68" customWidth="1"/>
    <col min="4" max="4" width="9.140625" style="68"/>
    <col min="5" max="5" width="10.140625" style="68" customWidth="1"/>
    <col min="6" max="11" width="9.140625" style="68"/>
    <col min="12" max="12" width="23" style="68" customWidth="1"/>
    <col min="13" max="13" width="8.42578125" style="68" customWidth="1"/>
    <col min="14" max="14" width="10.85546875" style="68" customWidth="1"/>
    <col min="15" max="15" width="11.5703125" style="68" customWidth="1"/>
    <col min="16" max="16" width="12.5703125" style="68" customWidth="1"/>
    <col min="17" max="16384" width="9.140625" style="68"/>
  </cols>
  <sheetData>
    <row r="1" spans="1:20" ht="15" x14ac:dyDescent="0.25">
      <c r="A1" s="128" t="s">
        <v>717</v>
      </c>
    </row>
    <row r="5" spans="1:20" ht="15" x14ac:dyDescent="0.25">
      <c r="A5" s="1" t="s">
        <v>384</v>
      </c>
      <c r="B5" s="2"/>
      <c r="C5" s="2"/>
      <c r="D5" s="2"/>
      <c r="E5" s="2"/>
      <c r="F5" s="2"/>
      <c r="G5" s="2"/>
      <c r="H5" s="2"/>
      <c r="I5" s="2"/>
      <c r="L5" s="139" t="s">
        <v>454</v>
      </c>
      <c r="M5" s="66"/>
      <c r="N5" s="66"/>
      <c r="O5" s="66"/>
      <c r="P5" s="66"/>
      <c r="Q5" s="66"/>
      <c r="R5" s="66"/>
      <c r="S5" s="66"/>
      <c r="T5" s="66"/>
    </row>
    <row r="6" spans="1:20" ht="15" x14ac:dyDescent="0.25">
      <c r="A6" s="2" t="s">
        <v>59</v>
      </c>
      <c r="B6" s="2"/>
      <c r="C6" s="2"/>
      <c r="D6" s="2"/>
      <c r="E6" s="2"/>
      <c r="F6" s="2"/>
      <c r="G6" s="2"/>
      <c r="H6" s="2"/>
      <c r="I6" s="2"/>
      <c r="L6" s="66" t="s">
        <v>362</v>
      </c>
      <c r="M6" s="66"/>
      <c r="N6" s="66"/>
      <c r="O6" s="66"/>
      <c r="P6" s="66"/>
      <c r="Q6" s="66"/>
      <c r="R6" s="66"/>
      <c r="S6" s="66"/>
      <c r="T6" s="66"/>
    </row>
    <row r="7" spans="1:20" ht="15" x14ac:dyDescent="0.25">
      <c r="A7" s="2"/>
      <c r="B7" s="2"/>
      <c r="C7" s="2"/>
      <c r="D7" s="2"/>
      <c r="E7" s="2"/>
      <c r="F7" s="2"/>
      <c r="G7" s="2"/>
      <c r="H7" s="2"/>
      <c r="I7" s="2"/>
      <c r="L7" s="67" t="s">
        <v>376</v>
      </c>
      <c r="M7" s="66"/>
      <c r="N7" s="66"/>
      <c r="O7" s="66"/>
      <c r="P7" s="66"/>
      <c r="Q7" s="66"/>
      <c r="R7" s="66"/>
      <c r="S7" s="66"/>
      <c r="T7" s="66"/>
    </row>
    <row r="8" spans="1:20" ht="18" x14ac:dyDescent="0.25">
      <c r="A8" s="2" t="s">
        <v>60</v>
      </c>
      <c r="B8" s="101">
        <v>70418</v>
      </c>
      <c r="C8" s="2" t="s">
        <v>309</v>
      </c>
      <c r="D8" s="35">
        <f>B8/3600</f>
        <v>19.560555555555556</v>
      </c>
      <c r="E8" s="2" t="s">
        <v>310</v>
      </c>
      <c r="F8" s="2"/>
      <c r="G8" s="2"/>
      <c r="H8" s="2"/>
      <c r="I8" s="2"/>
      <c r="L8" s="140"/>
      <c r="M8" s="140"/>
      <c r="N8" s="140"/>
      <c r="O8" s="140"/>
      <c r="P8" s="140"/>
      <c r="Q8" s="66"/>
      <c r="R8" s="66"/>
      <c r="S8" s="66"/>
      <c r="T8" s="66"/>
    </row>
    <row r="9" spans="1:20" ht="18" x14ac:dyDescent="0.25">
      <c r="A9" s="2" t="s">
        <v>61</v>
      </c>
      <c r="B9" s="10">
        <v>3</v>
      </c>
      <c r="C9" s="2" t="s">
        <v>311</v>
      </c>
      <c r="D9" s="2"/>
      <c r="E9" s="2"/>
      <c r="F9" s="2"/>
      <c r="G9" s="2"/>
      <c r="H9" s="2"/>
      <c r="I9" s="2"/>
      <c r="L9" s="142" t="s">
        <v>535</v>
      </c>
      <c r="M9" s="140"/>
      <c r="N9" s="140"/>
      <c r="O9" s="140"/>
      <c r="P9" s="140"/>
      <c r="Q9" s="66"/>
      <c r="R9" s="66"/>
      <c r="S9" s="66"/>
      <c r="T9" s="66"/>
    </row>
    <row r="10" spans="1:20" ht="18" x14ac:dyDescent="0.25">
      <c r="A10" s="2" t="s">
        <v>62</v>
      </c>
      <c r="B10" s="101">
        <v>1190</v>
      </c>
      <c r="C10" s="2" t="s">
        <v>63</v>
      </c>
      <c r="D10" s="2"/>
      <c r="E10" s="2"/>
      <c r="F10" s="2"/>
      <c r="G10" s="2"/>
      <c r="H10" s="2"/>
      <c r="I10" s="2"/>
      <c r="L10" s="149" t="s">
        <v>60</v>
      </c>
      <c r="M10" s="250" t="s">
        <v>440</v>
      </c>
      <c r="N10" s="92">
        <v>70418</v>
      </c>
      <c r="O10" s="66" t="s">
        <v>309</v>
      </c>
      <c r="P10" s="140"/>
      <c r="Q10" s="140"/>
      <c r="R10" s="66"/>
      <c r="S10" s="66"/>
      <c r="T10" s="66"/>
    </row>
    <row r="11" spans="1:20" ht="18" x14ac:dyDescent="0.25">
      <c r="A11" s="2" t="s">
        <v>64</v>
      </c>
      <c r="B11" s="2">
        <v>28.8</v>
      </c>
      <c r="C11" s="2" t="s">
        <v>311</v>
      </c>
      <c r="D11" s="2"/>
      <c r="E11" s="2"/>
      <c r="F11" s="2"/>
      <c r="G11" s="2"/>
      <c r="H11" s="2"/>
      <c r="I11" s="2"/>
      <c r="L11" s="251"/>
      <c r="M11" s="250" t="s">
        <v>440</v>
      </c>
      <c r="N11" s="199">
        <f>N10/3600</f>
        <v>19.560555555555556</v>
      </c>
      <c r="O11" s="66" t="s">
        <v>310</v>
      </c>
      <c r="P11" s="66"/>
      <c r="Q11" s="66"/>
      <c r="R11" s="66"/>
      <c r="S11" s="66"/>
      <c r="T11" s="66"/>
    </row>
    <row r="12" spans="1:20" ht="18" x14ac:dyDescent="0.25">
      <c r="A12" s="2" t="s">
        <v>65</v>
      </c>
      <c r="B12" s="2">
        <v>3.3</v>
      </c>
      <c r="C12" s="2" t="s">
        <v>66</v>
      </c>
      <c r="D12" s="2"/>
      <c r="E12" s="2"/>
      <c r="F12" s="2"/>
      <c r="G12" s="2"/>
      <c r="H12" s="2"/>
      <c r="I12" s="2"/>
      <c r="L12" s="149" t="s">
        <v>61</v>
      </c>
      <c r="M12" s="250" t="s">
        <v>440</v>
      </c>
      <c r="N12" s="77">
        <v>3</v>
      </c>
      <c r="O12" s="66" t="s">
        <v>311</v>
      </c>
      <c r="P12" s="66"/>
      <c r="Q12" s="66"/>
      <c r="R12" s="66"/>
      <c r="S12" s="66"/>
      <c r="T12" s="66"/>
    </row>
    <row r="13" spans="1:20" ht="15" x14ac:dyDescent="0.25">
      <c r="A13" s="2" t="s">
        <v>67</v>
      </c>
      <c r="B13" s="2">
        <v>24</v>
      </c>
      <c r="C13" s="2" t="s">
        <v>68</v>
      </c>
      <c r="D13" s="2"/>
      <c r="E13" s="2"/>
      <c r="F13" s="2"/>
      <c r="G13" s="2"/>
      <c r="H13" s="2"/>
      <c r="I13" s="2"/>
      <c r="L13" s="149" t="s">
        <v>62</v>
      </c>
      <c r="M13" s="250" t="s">
        <v>440</v>
      </c>
      <c r="N13" s="92">
        <v>1190</v>
      </c>
      <c r="O13" s="66" t="s">
        <v>63</v>
      </c>
      <c r="P13" s="66"/>
      <c r="Q13" s="66"/>
      <c r="R13" s="66"/>
      <c r="S13" s="66"/>
      <c r="T13" s="66"/>
    </row>
    <row r="14" spans="1:20" ht="18" x14ac:dyDescent="0.25">
      <c r="A14" s="2"/>
      <c r="B14" s="2"/>
      <c r="C14" s="2"/>
      <c r="D14" s="2"/>
      <c r="E14" s="2"/>
      <c r="F14" s="2"/>
      <c r="G14" s="2"/>
      <c r="H14" s="2"/>
      <c r="I14" s="2"/>
      <c r="L14" s="149" t="s">
        <v>64</v>
      </c>
      <c r="M14" s="250" t="s">
        <v>440</v>
      </c>
      <c r="N14" s="84">
        <v>28.8</v>
      </c>
      <c r="O14" s="66" t="s">
        <v>311</v>
      </c>
      <c r="P14" s="66"/>
      <c r="Q14" s="66"/>
      <c r="R14" s="66"/>
      <c r="S14" s="66"/>
      <c r="T14" s="66"/>
    </row>
    <row r="15" spans="1:20" ht="15" x14ac:dyDescent="0.25">
      <c r="A15" s="2" t="s">
        <v>69</v>
      </c>
      <c r="B15" s="2"/>
      <c r="C15" s="2"/>
      <c r="D15" s="2"/>
      <c r="E15" s="2"/>
      <c r="F15" s="2"/>
      <c r="G15" s="2"/>
      <c r="H15" s="2"/>
      <c r="I15" s="2"/>
      <c r="L15" s="149" t="s">
        <v>65</v>
      </c>
      <c r="M15" s="250" t="s">
        <v>440</v>
      </c>
      <c r="N15" s="84">
        <v>3.3</v>
      </c>
      <c r="O15" s="66" t="s">
        <v>66</v>
      </c>
      <c r="P15" s="66"/>
      <c r="Q15" s="66"/>
      <c r="R15" s="66"/>
      <c r="S15" s="66"/>
      <c r="T15" s="66"/>
    </row>
    <row r="16" spans="1:20" ht="15" x14ac:dyDescent="0.25">
      <c r="A16" s="2"/>
      <c r="B16" s="2"/>
      <c r="C16" s="2"/>
      <c r="D16" s="2"/>
      <c r="E16" s="2"/>
      <c r="F16" s="2"/>
      <c r="G16" s="2"/>
      <c r="H16" s="2"/>
      <c r="I16" s="2"/>
      <c r="L16" s="149" t="s">
        <v>67</v>
      </c>
      <c r="M16" s="250" t="s">
        <v>440</v>
      </c>
      <c r="N16" s="84">
        <v>24</v>
      </c>
      <c r="O16" s="66" t="s">
        <v>68</v>
      </c>
      <c r="P16" s="66"/>
      <c r="Q16" s="66"/>
      <c r="R16" s="66"/>
      <c r="S16" s="66"/>
      <c r="T16" s="66"/>
    </row>
    <row r="17" spans="1:20" ht="15" x14ac:dyDescent="0.25">
      <c r="A17" s="1" t="s">
        <v>70</v>
      </c>
      <c r="B17" s="2"/>
      <c r="C17" s="2"/>
      <c r="D17" s="2"/>
      <c r="E17" s="2"/>
      <c r="F17" s="2"/>
      <c r="G17" s="2"/>
      <c r="H17" s="2"/>
      <c r="I17" s="2"/>
      <c r="L17" s="140"/>
      <c r="M17" s="143"/>
      <c r="N17" s="66"/>
      <c r="O17" s="66"/>
      <c r="P17" s="66"/>
      <c r="Q17" s="66"/>
      <c r="R17" s="66"/>
      <c r="S17" s="140"/>
      <c r="T17" s="140"/>
    </row>
    <row r="18" spans="1:20" ht="15" x14ac:dyDescent="0.25">
      <c r="A18" s="2"/>
      <c r="B18" s="2"/>
      <c r="C18" s="2"/>
      <c r="D18" s="2"/>
      <c r="E18" s="2"/>
      <c r="F18" s="2"/>
      <c r="G18" s="2"/>
      <c r="H18" s="2"/>
      <c r="I18" s="2"/>
      <c r="L18" s="139" t="s">
        <v>70</v>
      </c>
      <c r="M18" s="66"/>
      <c r="N18" s="66"/>
      <c r="O18" s="66"/>
      <c r="P18" s="66"/>
      <c r="Q18" s="66"/>
      <c r="R18" s="66"/>
      <c r="S18" s="140"/>
      <c r="T18" s="140"/>
    </row>
    <row r="19" spans="1:20" ht="15" x14ac:dyDescent="0.25">
      <c r="A19" s="2" t="s">
        <v>582</v>
      </c>
      <c r="B19" s="2"/>
      <c r="C19" s="2"/>
      <c r="D19" s="2"/>
      <c r="E19" s="2"/>
      <c r="F19" s="2"/>
      <c r="G19" s="2"/>
      <c r="H19" s="2"/>
      <c r="I19" s="2"/>
      <c r="L19" s="67" t="s">
        <v>583</v>
      </c>
      <c r="M19" s="66"/>
      <c r="N19" s="66"/>
      <c r="O19" s="66"/>
      <c r="P19" s="66"/>
      <c r="Q19" s="66"/>
      <c r="R19" s="66"/>
      <c r="S19" s="140"/>
      <c r="T19" s="140"/>
    </row>
    <row r="20" spans="1:20" ht="15" x14ac:dyDescent="0.25">
      <c r="A20" s="2"/>
      <c r="B20" s="2"/>
      <c r="C20" s="2"/>
      <c r="D20" s="2"/>
      <c r="E20" s="2"/>
      <c r="F20" s="2"/>
      <c r="G20" s="2"/>
      <c r="H20" s="2"/>
      <c r="I20" s="2"/>
      <c r="L20" s="149" t="s">
        <v>112</v>
      </c>
      <c r="M20" s="250" t="s">
        <v>440</v>
      </c>
      <c r="N20" s="84">
        <v>430</v>
      </c>
      <c r="O20" s="66" t="s">
        <v>0</v>
      </c>
      <c r="P20" s="66" t="s">
        <v>553</v>
      </c>
      <c r="Q20" s="66"/>
      <c r="R20" s="66"/>
      <c r="S20" s="140"/>
      <c r="T20" s="140"/>
    </row>
    <row r="21" spans="1:20" ht="16.5" x14ac:dyDescent="0.3">
      <c r="A21" s="2" t="s">
        <v>312</v>
      </c>
      <c r="B21" s="2"/>
      <c r="C21" s="2"/>
      <c r="D21" s="2"/>
      <c r="E21" s="2"/>
      <c r="F21" s="2"/>
      <c r="G21" s="2"/>
      <c r="H21" s="2"/>
      <c r="I21" s="2"/>
      <c r="L21" s="149" t="s">
        <v>1</v>
      </c>
      <c r="M21" s="250" t="s">
        <v>440</v>
      </c>
      <c r="N21" s="252">
        <f>N20*SQRT((N14-N12)/N12)</f>
        <v>1261.0075336809055</v>
      </c>
      <c r="O21" s="66" t="s">
        <v>0</v>
      </c>
      <c r="P21" s="66" t="s">
        <v>503</v>
      </c>
      <c r="Q21" s="66"/>
      <c r="R21" s="66"/>
      <c r="S21" s="140"/>
      <c r="T21" s="140"/>
    </row>
    <row r="22" spans="1:20" ht="16.5" x14ac:dyDescent="0.3">
      <c r="A22" s="2"/>
      <c r="B22" s="2"/>
      <c r="C22" s="2"/>
      <c r="D22" s="2"/>
      <c r="E22" s="2"/>
      <c r="F22" s="2"/>
      <c r="G22" s="2"/>
      <c r="H22" s="2"/>
      <c r="I22" s="2"/>
      <c r="L22" s="149" t="s">
        <v>326</v>
      </c>
      <c r="M22" s="250" t="s">
        <v>440</v>
      </c>
      <c r="N22" s="181">
        <f>SQRT(N10/(N21*0.7854))</f>
        <v>8.4321350572948042</v>
      </c>
      <c r="O22" s="66" t="s">
        <v>74</v>
      </c>
      <c r="P22" s="66" t="s">
        <v>504</v>
      </c>
      <c r="Q22" s="66"/>
      <c r="R22" s="66"/>
      <c r="S22" s="140"/>
      <c r="T22" s="140"/>
    </row>
    <row r="23" spans="1:20" ht="16.5" x14ac:dyDescent="0.3">
      <c r="A23" s="2"/>
      <c r="B23" s="2" t="s">
        <v>1</v>
      </c>
      <c r="C23" s="101">
        <f>430*SQRT((B11-B9)/B9)</f>
        <v>1261.0075336809055</v>
      </c>
      <c r="D23" s="2" t="s">
        <v>71</v>
      </c>
      <c r="E23" s="2"/>
      <c r="F23" s="2"/>
      <c r="G23" s="2"/>
      <c r="H23" s="2"/>
      <c r="I23" s="2"/>
      <c r="L23" s="66"/>
      <c r="M23" s="253"/>
      <c r="N23" s="253"/>
      <c r="O23" s="140"/>
      <c r="P23" s="140"/>
      <c r="Q23" s="66"/>
      <c r="R23" s="66"/>
      <c r="S23" s="140"/>
      <c r="T23" s="140"/>
    </row>
    <row r="24" spans="1:20" ht="15" x14ac:dyDescent="0.25">
      <c r="A24" s="2"/>
      <c r="B24" s="2"/>
      <c r="C24" s="2"/>
      <c r="D24" s="2"/>
      <c r="E24" s="2"/>
      <c r="F24" s="2"/>
      <c r="G24" s="2"/>
      <c r="H24" s="2"/>
      <c r="I24" s="2"/>
      <c r="L24" s="139" t="s">
        <v>75</v>
      </c>
      <c r="M24" s="253"/>
      <c r="N24" s="253"/>
      <c r="O24" s="140"/>
      <c r="P24" s="140"/>
      <c r="Q24" s="66"/>
      <c r="R24" s="66"/>
      <c r="S24" s="140"/>
      <c r="T24" s="140"/>
    </row>
    <row r="25" spans="1:20" ht="15" x14ac:dyDescent="0.25">
      <c r="A25" s="2" t="s">
        <v>72</v>
      </c>
      <c r="B25" s="2"/>
      <c r="C25" s="2"/>
      <c r="D25" s="2"/>
      <c r="E25" s="2"/>
      <c r="F25" s="2"/>
      <c r="G25" s="2"/>
      <c r="H25" s="2"/>
      <c r="I25" s="2"/>
      <c r="L25" s="66"/>
      <c r="M25" s="143"/>
      <c r="N25" s="143"/>
      <c r="O25" s="66"/>
      <c r="P25" s="66"/>
      <c r="Q25" s="66"/>
      <c r="R25" s="66"/>
      <c r="S25" s="140"/>
      <c r="T25" s="140"/>
    </row>
    <row r="26" spans="1:20" ht="15" x14ac:dyDescent="0.25">
      <c r="A26" s="2"/>
      <c r="B26" s="2"/>
      <c r="C26" s="2"/>
      <c r="D26" s="2"/>
      <c r="E26" s="2"/>
      <c r="F26" s="2"/>
      <c r="G26" s="2"/>
      <c r="H26" s="2"/>
      <c r="I26" s="2"/>
      <c r="L26" s="66"/>
      <c r="M26" s="143"/>
      <c r="N26" s="143"/>
      <c r="O26" s="66"/>
      <c r="P26" s="66"/>
      <c r="Q26" s="66"/>
      <c r="R26" s="66"/>
      <c r="S26" s="140"/>
      <c r="T26" s="140"/>
    </row>
    <row r="27" spans="1:20" ht="18.75" x14ac:dyDescent="0.3">
      <c r="A27" s="2"/>
      <c r="B27" s="2" t="s">
        <v>326</v>
      </c>
      <c r="C27" s="36">
        <f>SQRT(B8/(C23*0.7854))</f>
        <v>8.4321350572948042</v>
      </c>
      <c r="D27" s="2" t="s">
        <v>74</v>
      </c>
      <c r="E27" s="2"/>
      <c r="F27" s="2"/>
      <c r="G27" s="2"/>
      <c r="H27" s="2"/>
      <c r="I27" s="2"/>
      <c r="L27" s="149" t="s">
        <v>364</v>
      </c>
      <c r="M27" s="250" t="s">
        <v>440</v>
      </c>
      <c r="N27" s="181">
        <f>N11*SQRT(N12/(N14-N12))</f>
        <v>6.6700940828933062</v>
      </c>
      <c r="O27" s="66" t="s">
        <v>310</v>
      </c>
      <c r="P27" s="144" t="s">
        <v>505</v>
      </c>
      <c r="Q27" s="66"/>
      <c r="R27" s="66"/>
      <c r="S27" s="140"/>
      <c r="T27" s="140"/>
    </row>
    <row r="28" spans="1:20" ht="16.5" x14ac:dyDescent="0.3">
      <c r="A28" s="2"/>
      <c r="B28" s="2"/>
      <c r="C28" s="49">
        <f>C27*12</f>
        <v>101.18562068753765</v>
      </c>
      <c r="D28" s="2" t="s">
        <v>68</v>
      </c>
      <c r="E28" s="2"/>
      <c r="F28" s="2"/>
      <c r="G28" s="2"/>
      <c r="H28" s="2"/>
      <c r="I28" s="2"/>
      <c r="L28" s="149" t="s">
        <v>681</v>
      </c>
      <c r="M28" s="250" t="s">
        <v>440</v>
      </c>
      <c r="N28" s="84">
        <v>9.5</v>
      </c>
      <c r="O28" s="66" t="s">
        <v>78</v>
      </c>
      <c r="P28" s="172" t="s">
        <v>506</v>
      </c>
      <c r="Q28" s="66"/>
      <c r="R28" s="66"/>
      <c r="S28" s="66"/>
      <c r="T28" s="66"/>
    </row>
    <row r="29" spans="1:20" ht="15" x14ac:dyDescent="0.25">
      <c r="A29" s="2"/>
      <c r="B29" s="2"/>
      <c r="C29" s="2"/>
      <c r="D29" s="2"/>
      <c r="E29" s="2"/>
      <c r="F29" s="2"/>
      <c r="G29" s="2"/>
      <c r="H29" s="2"/>
      <c r="I29" s="2"/>
      <c r="L29" s="149" t="s">
        <v>682</v>
      </c>
      <c r="M29" s="250" t="s">
        <v>440</v>
      </c>
      <c r="N29" s="84">
        <v>7.5</v>
      </c>
      <c r="O29" s="66" t="s">
        <v>78</v>
      </c>
      <c r="P29" s="172" t="s">
        <v>506</v>
      </c>
      <c r="Q29" s="66"/>
      <c r="R29" s="66"/>
      <c r="S29" s="66"/>
      <c r="T29" s="66"/>
    </row>
    <row r="30" spans="1:20" ht="15" x14ac:dyDescent="0.25">
      <c r="A30" s="1" t="s">
        <v>75</v>
      </c>
      <c r="B30" s="2"/>
      <c r="C30" s="2"/>
      <c r="D30" s="2"/>
      <c r="E30" s="2"/>
      <c r="F30" s="2"/>
      <c r="G30" s="2"/>
      <c r="H30" s="2"/>
      <c r="I30" s="2"/>
      <c r="L30" s="140"/>
      <c r="M30" s="250"/>
      <c r="N30" s="143"/>
      <c r="O30" s="66"/>
      <c r="P30" s="66"/>
      <c r="Q30" s="66"/>
      <c r="R30" s="66"/>
      <c r="S30" s="66"/>
      <c r="T30" s="66"/>
    </row>
    <row r="31" spans="1:20" ht="15" x14ac:dyDescent="0.25">
      <c r="A31" s="2"/>
      <c r="B31" s="2"/>
      <c r="C31" s="2"/>
      <c r="D31" s="2"/>
      <c r="E31" s="2"/>
      <c r="F31" s="2"/>
      <c r="G31" s="2"/>
      <c r="H31" s="2"/>
      <c r="I31" s="2"/>
      <c r="L31" s="139" t="s">
        <v>80</v>
      </c>
      <c r="M31" s="250"/>
      <c r="N31" s="143"/>
      <c r="O31" s="66"/>
      <c r="P31" s="66"/>
      <c r="Q31" s="66"/>
      <c r="R31" s="66"/>
      <c r="S31" s="66"/>
      <c r="T31" s="66"/>
    </row>
    <row r="32" spans="1:20" ht="16.5" x14ac:dyDescent="0.3">
      <c r="A32" s="2" t="s">
        <v>584</v>
      </c>
      <c r="B32" s="2"/>
      <c r="C32" s="2"/>
      <c r="D32" s="2"/>
      <c r="E32" s="2"/>
      <c r="F32" s="2"/>
      <c r="G32" s="2"/>
      <c r="H32" s="2"/>
      <c r="I32" s="2"/>
      <c r="L32" s="66"/>
      <c r="M32" s="250"/>
      <c r="N32" s="143"/>
      <c r="O32" s="66"/>
      <c r="P32" s="66"/>
      <c r="Q32" s="66"/>
      <c r="R32" s="66"/>
      <c r="S32" s="66"/>
      <c r="T32" s="66"/>
    </row>
    <row r="33" spans="1:21" ht="15" x14ac:dyDescent="0.25">
      <c r="A33" s="2"/>
      <c r="B33" s="2"/>
      <c r="C33" s="2"/>
      <c r="D33" s="2"/>
      <c r="E33" s="2"/>
      <c r="F33" s="2"/>
      <c r="G33" s="2"/>
      <c r="H33" s="2"/>
      <c r="I33" s="2"/>
      <c r="L33" s="149" t="s">
        <v>82</v>
      </c>
      <c r="M33" s="250" t="s">
        <v>440</v>
      </c>
      <c r="N33" s="181">
        <f>1.21/(N12^0.32)</f>
        <v>0.85134691926818484</v>
      </c>
      <c r="O33" s="66"/>
      <c r="P33" s="66" t="s">
        <v>507</v>
      </c>
      <c r="Q33" s="66"/>
      <c r="R33" s="66"/>
      <c r="S33" s="66"/>
      <c r="T33" s="66"/>
    </row>
    <row r="34" spans="1:21" ht="18.75" x14ac:dyDescent="0.3">
      <c r="A34" s="2"/>
      <c r="B34" s="2" t="s">
        <v>365</v>
      </c>
      <c r="C34" s="36">
        <f>D8*SQRT(B9/(B11-B9))</f>
        <v>6.6700940828933062</v>
      </c>
      <c r="D34" s="2" t="s">
        <v>310</v>
      </c>
      <c r="E34" s="2"/>
      <c r="F34" s="2"/>
      <c r="G34" s="2"/>
      <c r="H34" s="2"/>
      <c r="I34" s="2"/>
      <c r="L34" s="254" t="s">
        <v>2</v>
      </c>
      <c r="M34" s="250" t="s">
        <v>440</v>
      </c>
      <c r="N34" s="143">
        <f>N14-N12</f>
        <v>25.8</v>
      </c>
      <c r="O34" s="66" t="s">
        <v>311</v>
      </c>
      <c r="P34" s="66"/>
      <c r="Q34" s="66"/>
      <c r="R34" s="66"/>
      <c r="S34" s="66"/>
      <c r="T34" s="66"/>
    </row>
    <row r="35" spans="1:21" ht="18.75" x14ac:dyDescent="0.3">
      <c r="A35" s="2"/>
      <c r="B35" s="2"/>
      <c r="C35" s="2"/>
      <c r="D35" s="2"/>
      <c r="E35" s="2"/>
      <c r="F35" s="2"/>
      <c r="G35" s="2"/>
      <c r="H35" s="2"/>
      <c r="I35" s="2"/>
      <c r="L35" s="149" t="s">
        <v>313</v>
      </c>
      <c r="M35" s="250" t="s">
        <v>440</v>
      </c>
      <c r="N35" s="71">
        <v>186</v>
      </c>
      <c r="O35" s="66" t="s">
        <v>314</v>
      </c>
      <c r="P35" s="66" t="s">
        <v>515</v>
      </c>
      <c r="Q35" s="66"/>
      <c r="R35" s="66"/>
      <c r="S35" s="66"/>
      <c r="T35" s="66"/>
    </row>
    <row r="36" spans="1:21" ht="18.75" x14ac:dyDescent="0.3">
      <c r="A36" s="2" t="s">
        <v>585</v>
      </c>
      <c r="B36" s="2"/>
      <c r="C36" s="2"/>
      <c r="D36" s="2"/>
      <c r="E36" s="2"/>
      <c r="F36" s="2"/>
      <c r="G36" s="2"/>
      <c r="H36" s="2"/>
      <c r="I36" s="2"/>
      <c r="L36" s="149" t="s">
        <v>366</v>
      </c>
      <c r="M36" s="250" t="s">
        <v>440</v>
      </c>
      <c r="N36" s="148">
        <f>N35*N33</f>
        <v>158.35052698388239</v>
      </c>
      <c r="O36" s="66" t="s">
        <v>314</v>
      </c>
      <c r="P36" s="66" t="s">
        <v>555</v>
      </c>
      <c r="Q36" s="66"/>
      <c r="R36" s="66"/>
      <c r="S36" s="66"/>
      <c r="T36" s="66"/>
    </row>
    <row r="37" spans="1:21" ht="16.5" x14ac:dyDescent="0.3">
      <c r="A37" s="2"/>
      <c r="B37" s="2"/>
      <c r="C37" s="2"/>
      <c r="D37" s="2"/>
      <c r="E37" s="2"/>
      <c r="F37" s="2"/>
      <c r="G37" s="2"/>
      <c r="H37" s="2"/>
      <c r="I37" s="2"/>
      <c r="L37" s="149" t="s">
        <v>3</v>
      </c>
      <c r="M37" s="250" t="s">
        <v>440</v>
      </c>
      <c r="N37" s="71">
        <v>0.41</v>
      </c>
      <c r="O37" s="66" t="s">
        <v>85</v>
      </c>
      <c r="P37" s="172" t="s">
        <v>508</v>
      </c>
      <c r="Q37" s="66"/>
      <c r="R37" s="66"/>
      <c r="S37" s="66"/>
      <c r="T37" s="66"/>
    </row>
    <row r="38" spans="1:21" ht="15" x14ac:dyDescent="0.25">
      <c r="A38" s="2"/>
      <c r="B38" s="2" t="s">
        <v>76</v>
      </c>
      <c r="C38" s="2">
        <v>9.5</v>
      </c>
      <c r="D38" s="2" t="s">
        <v>78</v>
      </c>
      <c r="E38" s="2"/>
      <c r="F38" s="2"/>
      <c r="G38" s="2"/>
      <c r="H38" s="2"/>
      <c r="I38" s="2"/>
      <c r="L38" s="149" t="s">
        <v>84</v>
      </c>
      <c r="M38" s="250" t="s">
        <v>440</v>
      </c>
      <c r="N38" s="199">
        <f>N37*N33</f>
        <v>0.34905223689995579</v>
      </c>
      <c r="O38" s="66" t="s">
        <v>85</v>
      </c>
      <c r="P38" s="66" t="s">
        <v>554</v>
      </c>
      <c r="Q38" s="66"/>
      <c r="R38" s="66"/>
      <c r="S38" s="66"/>
      <c r="T38" s="66"/>
    </row>
    <row r="39" spans="1:21" ht="15" x14ac:dyDescent="0.25">
      <c r="A39" s="2"/>
      <c r="B39" s="2"/>
      <c r="C39" s="2">
        <f>C38*12</f>
        <v>114</v>
      </c>
      <c r="D39" s="2" t="s">
        <v>79</v>
      </c>
      <c r="E39" s="2"/>
      <c r="F39" s="2"/>
      <c r="G39" s="2"/>
      <c r="H39" s="2"/>
      <c r="I39" s="2"/>
      <c r="L39" s="149" t="s">
        <v>511</v>
      </c>
      <c r="M39" s="250" t="s">
        <v>440</v>
      </c>
      <c r="N39" s="143">
        <f>9*N28</f>
        <v>85.5</v>
      </c>
      <c r="O39" s="66" t="s">
        <v>78</v>
      </c>
      <c r="P39" s="66" t="s">
        <v>509</v>
      </c>
      <c r="Q39" s="66"/>
      <c r="R39" s="66"/>
      <c r="S39" s="66"/>
      <c r="T39" s="66"/>
    </row>
    <row r="40" spans="1:21" ht="15" x14ac:dyDescent="0.25">
      <c r="A40" s="2"/>
      <c r="B40" s="2" t="s">
        <v>77</v>
      </c>
      <c r="C40" s="2">
        <v>7.5</v>
      </c>
      <c r="D40" s="2" t="s">
        <v>78</v>
      </c>
      <c r="E40" s="2"/>
      <c r="F40" s="2"/>
      <c r="G40" s="2"/>
      <c r="H40" s="2"/>
      <c r="I40" s="2"/>
      <c r="L40" s="149" t="s">
        <v>512</v>
      </c>
      <c r="M40" s="250" t="s">
        <v>440</v>
      </c>
      <c r="N40" s="143">
        <f>9*N29/2</f>
        <v>33.75</v>
      </c>
      <c r="O40" s="66" t="s">
        <v>78</v>
      </c>
      <c r="P40" s="140"/>
      <c r="Q40" s="66"/>
      <c r="R40" s="66"/>
      <c r="S40" s="66"/>
      <c r="T40" s="66"/>
    </row>
    <row r="41" spans="1:21" ht="15" x14ac:dyDescent="0.25">
      <c r="A41" s="2"/>
      <c r="B41" s="2"/>
      <c r="C41" s="2">
        <f>C40*12</f>
        <v>90</v>
      </c>
      <c r="D41" s="2" t="s">
        <v>79</v>
      </c>
      <c r="E41" s="2"/>
      <c r="F41" s="2"/>
      <c r="G41" s="2"/>
      <c r="H41" s="2"/>
      <c r="I41" s="2"/>
      <c r="L41" s="149" t="s">
        <v>120</v>
      </c>
      <c r="M41" s="250" t="s">
        <v>440</v>
      </c>
      <c r="N41" s="84">
        <v>0.82</v>
      </c>
      <c r="O41" s="66"/>
      <c r="P41" s="66" t="s">
        <v>510</v>
      </c>
      <c r="Q41" s="66"/>
      <c r="R41" s="66"/>
      <c r="S41" s="66"/>
      <c r="T41" s="66"/>
    </row>
    <row r="42" spans="1:21" ht="18" x14ac:dyDescent="0.25">
      <c r="A42" s="2"/>
      <c r="B42" s="2"/>
      <c r="C42" s="2"/>
      <c r="D42" s="2"/>
      <c r="E42" s="2"/>
      <c r="F42" s="2"/>
      <c r="G42" s="2"/>
      <c r="H42" s="2"/>
      <c r="I42" s="2"/>
      <c r="L42" s="149" t="s">
        <v>513</v>
      </c>
      <c r="M42" s="250" t="s">
        <v>440</v>
      </c>
      <c r="N42" s="181">
        <f>(N27+N13*(N39/13000))/(N38*N41)</f>
        <v>50.648064407630045</v>
      </c>
      <c r="O42" s="66" t="s">
        <v>317</v>
      </c>
      <c r="P42" s="66" t="s">
        <v>510</v>
      </c>
      <c r="Q42" s="66"/>
      <c r="R42" s="66"/>
      <c r="S42" s="66"/>
      <c r="T42" s="66"/>
    </row>
    <row r="43" spans="1:21" ht="18" x14ac:dyDescent="0.25">
      <c r="A43" s="1" t="s">
        <v>80</v>
      </c>
      <c r="B43" s="2"/>
      <c r="C43" s="2"/>
      <c r="D43" s="2"/>
      <c r="E43" s="2"/>
      <c r="F43" s="2"/>
      <c r="G43" s="2"/>
      <c r="H43" s="2"/>
      <c r="I43" s="2"/>
      <c r="L43" s="149" t="s">
        <v>512</v>
      </c>
      <c r="M43" s="250" t="s">
        <v>440</v>
      </c>
      <c r="N43" s="181">
        <f>(N27+N13*(N40/13000))/(N38*N41)</f>
        <v>34.097619028607738</v>
      </c>
      <c r="O43" s="66" t="s">
        <v>317</v>
      </c>
      <c r="P43" s="66"/>
      <c r="Q43" s="66"/>
      <c r="R43" s="66"/>
      <c r="S43" s="66"/>
      <c r="T43" s="66"/>
    </row>
    <row r="44" spans="1:21" ht="30" customHeight="1" x14ac:dyDescent="0.25">
      <c r="A44" s="2"/>
      <c r="B44" s="2"/>
      <c r="C44" s="2"/>
      <c r="D44" s="2"/>
      <c r="E44" s="2"/>
      <c r="F44" s="2"/>
      <c r="G44" s="2"/>
      <c r="H44" s="2"/>
      <c r="I44" s="2"/>
      <c r="L44" s="174" t="s">
        <v>91</v>
      </c>
      <c r="M44" s="174"/>
      <c r="N44" s="174"/>
      <c r="O44" s="174"/>
      <c r="P44" s="174"/>
      <c r="Q44" s="174"/>
      <c r="R44" s="174"/>
      <c r="S44" s="66"/>
      <c r="T44" s="66"/>
      <c r="U44" s="255"/>
    </row>
    <row r="45" spans="1:21" ht="15" x14ac:dyDescent="0.25">
      <c r="A45" s="2" t="s">
        <v>586</v>
      </c>
      <c r="B45" s="2"/>
      <c r="C45" s="2"/>
      <c r="D45" s="2"/>
      <c r="E45" s="2"/>
      <c r="F45" s="2"/>
      <c r="G45" s="2"/>
      <c r="H45" s="2"/>
      <c r="I45" s="2"/>
      <c r="L45" s="192"/>
      <c r="M45" s="146"/>
      <c r="N45" s="192"/>
      <c r="O45" s="192"/>
      <c r="P45" s="192"/>
      <c r="Q45" s="192"/>
      <c r="R45" s="192"/>
      <c r="S45" s="66"/>
      <c r="T45" s="66"/>
    </row>
    <row r="46" spans="1:21" ht="18" x14ac:dyDescent="0.25">
      <c r="A46" s="2"/>
      <c r="B46" s="2"/>
      <c r="C46" s="2"/>
      <c r="D46" s="2"/>
      <c r="E46" s="2"/>
      <c r="F46" s="2"/>
      <c r="G46" s="2"/>
      <c r="H46" s="2"/>
      <c r="I46" s="2"/>
      <c r="L46" s="149" t="s">
        <v>92</v>
      </c>
      <c r="M46" s="250" t="s">
        <v>440</v>
      </c>
      <c r="N46" s="181">
        <f>N13/(N36*N41)</f>
        <v>9.1646017214886406</v>
      </c>
      <c r="O46" s="66" t="s">
        <v>317</v>
      </c>
      <c r="P46" s="66" t="s">
        <v>469</v>
      </c>
      <c r="Q46" s="66"/>
      <c r="R46" s="66"/>
      <c r="S46" s="66"/>
      <c r="T46" s="66"/>
    </row>
    <row r="47" spans="1:21" ht="15" x14ac:dyDescent="0.25">
      <c r="A47" s="2"/>
      <c r="B47" s="2" t="s">
        <v>82</v>
      </c>
      <c r="C47" s="36">
        <f>1.21/(B9^0.32)</f>
        <v>0.85134691926818484</v>
      </c>
      <c r="D47" s="2"/>
      <c r="E47" s="2"/>
      <c r="F47" s="2"/>
      <c r="G47" s="2"/>
      <c r="H47" s="2"/>
      <c r="I47" s="2"/>
      <c r="L47" s="149" t="s">
        <v>556</v>
      </c>
      <c r="M47" s="250" t="s">
        <v>440</v>
      </c>
      <c r="N47" s="181">
        <f>N46/N42</f>
        <v>0.18094673169993855</v>
      </c>
      <c r="O47" s="66"/>
      <c r="P47" s="66"/>
      <c r="Q47" s="66"/>
      <c r="R47" s="66"/>
      <c r="S47" s="66"/>
      <c r="T47" s="66"/>
    </row>
    <row r="48" spans="1:21" ht="15" x14ac:dyDescent="0.25">
      <c r="A48" s="2"/>
      <c r="B48" s="2"/>
      <c r="C48" s="2"/>
      <c r="D48" s="2"/>
      <c r="E48" s="2"/>
      <c r="F48" s="2"/>
      <c r="G48" s="2"/>
      <c r="H48" s="2"/>
      <c r="I48" s="2"/>
      <c r="L48" s="149" t="s">
        <v>512</v>
      </c>
      <c r="M48" s="250" t="s">
        <v>440</v>
      </c>
      <c r="N48" s="181">
        <f>N46/N43</f>
        <v>0.26877541548574357</v>
      </c>
      <c r="O48" s="66"/>
      <c r="P48" s="66"/>
      <c r="Q48" s="66"/>
      <c r="R48" s="66"/>
      <c r="S48" s="66"/>
      <c r="T48" s="66"/>
    </row>
    <row r="49" spans="1:20" ht="18" x14ac:dyDescent="0.25">
      <c r="A49" s="2"/>
      <c r="B49" s="2"/>
      <c r="C49" s="2"/>
      <c r="D49" s="2"/>
      <c r="E49" s="2"/>
      <c r="F49" s="2"/>
      <c r="G49" s="2"/>
      <c r="H49" s="2"/>
      <c r="I49" s="2"/>
      <c r="L49" s="149" t="s">
        <v>514</v>
      </c>
      <c r="M49" s="250" t="s">
        <v>440</v>
      </c>
      <c r="N49" s="181">
        <f>N42+2*N46</f>
        <v>68.977267850607319</v>
      </c>
      <c r="O49" s="66" t="s">
        <v>317</v>
      </c>
      <c r="P49" s="66" t="s">
        <v>517</v>
      </c>
      <c r="Q49" s="66"/>
      <c r="R49" s="66"/>
      <c r="S49" s="66"/>
      <c r="T49" s="66"/>
    </row>
    <row r="50" spans="1:20" ht="18" x14ac:dyDescent="0.25">
      <c r="A50" s="2" t="s">
        <v>587</v>
      </c>
      <c r="B50" s="2"/>
      <c r="C50" s="2"/>
      <c r="D50" s="2"/>
      <c r="E50" s="2"/>
      <c r="F50" s="2"/>
      <c r="G50" s="2"/>
      <c r="H50" s="2"/>
      <c r="I50" s="2"/>
      <c r="L50" s="149" t="s">
        <v>512</v>
      </c>
      <c r="M50" s="250" t="s">
        <v>440</v>
      </c>
      <c r="N50" s="181">
        <f>N43+2*N46</f>
        <v>52.42682247158502</v>
      </c>
      <c r="O50" s="66" t="s">
        <v>317</v>
      </c>
      <c r="P50" s="66"/>
      <c r="Q50" s="66"/>
      <c r="R50" s="66"/>
      <c r="S50" s="66"/>
      <c r="T50" s="66"/>
    </row>
    <row r="51" spans="1:20" ht="18" x14ac:dyDescent="0.25">
      <c r="A51" s="2"/>
      <c r="B51" s="2"/>
      <c r="C51" s="2"/>
      <c r="D51" s="2"/>
      <c r="E51" s="2"/>
      <c r="F51" s="2"/>
      <c r="G51" s="2"/>
      <c r="H51" s="2"/>
      <c r="I51" s="2"/>
      <c r="L51" s="149" t="s">
        <v>97</v>
      </c>
      <c r="M51" s="250" t="s">
        <v>440</v>
      </c>
      <c r="N51" s="181">
        <f>N27/(0.78*N38*N41)</f>
        <v>29.876731157895389</v>
      </c>
      <c r="O51" s="66" t="s">
        <v>317</v>
      </c>
      <c r="P51" s="66" t="s">
        <v>516</v>
      </c>
      <c r="Q51" s="66"/>
      <c r="R51" s="66"/>
      <c r="S51" s="66"/>
      <c r="T51" s="66"/>
    </row>
    <row r="52" spans="1:20" ht="18.75" x14ac:dyDescent="0.3">
      <c r="A52" s="2"/>
      <c r="B52" s="2" t="s">
        <v>313</v>
      </c>
      <c r="C52" s="2">
        <v>186</v>
      </c>
      <c r="D52" s="2" t="s">
        <v>314</v>
      </c>
      <c r="E52" s="2"/>
      <c r="F52" s="2"/>
      <c r="G52" s="2"/>
      <c r="H52" s="2"/>
      <c r="I52" s="2"/>
      <c r="L52" s="140"/>
      <c r="M52" s="140"/>
      <c r="N52" s="140"/>
      <c r="O52" s="140"/>
      <c r="P52" s="140"/>
      <c r="Q52" s="140"/>
      <c r="R52" s="66"/>
      <c r="S52" s="66"/>
      <c r="T52" s="66"/>
    </row>
    <row r="53" spans="1:20" ht="15" x14ac:dyDescent="0.25">
      <c r="A53" s="2"/>
      <c r="B53" s="2"/>
      <c r="C53" s="2"/>
      <c r="D53" s="2"/>
      <c r="E53" s="2"/>
      <c r="F53" s="2"/>
      <c r="G53" s="2"/>
      <c r="H53" s="2"/>
      <c r="I53" s="2"/>
      <c r="L53" s="66" t="str">
        <f>IF(N49&gt;N51,"The larger of the two ATM values is used. In this case, it will be the ones calculated from Equation 19-19.","The larger of the two ATM values is used. In this case, it will be the ones calculated from Equation 19-20.")</f>
        <v>The larger of the two ATM values is used. In this case, it will be the ones calculated from Equation 19-19.</v>
      </c>
      <c r="M53" s="66"/>
      <c r="N53" s="66"/>
      <c r="O53" s="66"/>
      <c r="P53" s="66"/>
      <c r="Q53" s="66"/>
      <c r="R53" s="66"/>
      <c r="S53" s="66"/>
      <c r="T53" s="66"/>
    </row>
    <row r="54" spans="1:20" ht="12" customHeight="1" x14ac:dyDescent="0.25">
      <c r="A54" s="2" t="s">
        <v>83</v>
      </c>
      <c r="B54" s="2"/>
      <c r="C54" s="2"/>
      <c r="D54" s="2"/>
      <c r="E54" s="2"/>
      <c r="F54" s="2"/>
      <c r="G54" s="2"/>
      <c r="H54" s="2"/>
      <c r="I54" s="2"/>
      <c r="L54" s="66"/>
      <c r="M54" s="140"/>
      <c r="N54" s="140"/>
      <c r="O54" s="66"/>
      <c r="P54" s="66"/>
      <c r="Q54" s="66"/>
      <c r="R54" s="66"/>
      <c r="S54" s="66"/>
      <c r="T54" s="66"/>
    </row>
    <row r="55" spans="1:20" ht="16.5" x14ac:dyDescent="0.3">
      <c r="A55" s="2"/>
      <c r="B55" s="2"/>
      <c r="C55" s="2"/>
      <c r="D55" s="2"/>
      <c r="E55" s="2"/>
      <c r="F55" s="2"/>
      <c r="G55" s="2"/>
      <c r="H55" s="2"/>
      <c r="I55" s="2"/>
      <c r="L55" s="149" t="s">
        <v>683</v>
      </c>
      <c r="M55" s="179" t="s">
        <v>440</v>
      </c>
      <c r="N55" s="181">
        <f>IF(N49&gt;N51,SQRT(N49/0.7854),SQRT(N51/0.7854))</f>
        <v>9.3714662536648703</v>
      </c>
      <c r="O55" s="66" t="s">
        <v>78</v>
      </c>
      <c r="P55" s="66" t="s">
        <v>518</v>
      </c>
      <c r="Q55" s="66"/>
      <c r="R55" s="66"/>
      <c r="S55" s="192"/>
      <c r="T55" s="192"/>
    </row>
    <row r="56" spans="1:20" ht="18.75" x14ac:dyDescent="0.3">
      <c r="A56" s="2"/>
      <c r="B56" s="2" t="s">
        <v>366</v>
      </c>
      <c r="C56" s="10">
        <f>C52*C47</f>
        <v>158.35052698388239</v>
      </c>
      <c r="D56" s="2" t="s">
        <v>314</v>
      </c>
      <c r="E56" s="2"/>
      <c r="F56" s="2"/>
      <c r="G56" s="2"/>
      <c r="H56" s="2"/>
      <c r="I56" s="2"/>
      <c r="L56" s="149" t="s">
        <v>512</v>
      </c>
      <c r="M56" s="179" t="s">
        <v>440</v>
      </c>
      <c r="N56" s="181">
        <f>IF(N50&gt;N51,SQRT(N50/0.7854),SQRT(N51/0.7854))</f>
        <v>8.1701742625852045</v>
      </c>
      <c r="O56" s="66" t="s">
        <v>78</v>
      </c>
      <c r="P56" s="66" t="s">
        <v>518</v>
      </c>
      <c r="Q56" s="66"/>
      <c r="R56" s="66"/>
      <c r="S56" s="192"/>
      <c r="T56" s="192"/>
    </row>
    <row r="57" spans="1:20" ht="15" customHeight="1" x14ac:dyDescent="0.25">
      <c r="A57" s="2"/>
      <c r="B57" s="2"/>
      <c r="C57" s="2"/>
      <c r="D57" s="2"/>
      <c r="E57" s="2"/>
      <c r="F57" s="2"/>
      <c r="G57" s="2"/>
      <c r="H57" s="2"/>
      <c r="I57" s="2"/>
      <c r="L57" s="66"/>
      <c r="M57" s="66"/>
      <c r="N57" s="143"/>
      <c r="O57" s="66"/>
      <c r="P57" s="66"/>
      <c r="Q57" s="66"/>
      <c r="R57" s="66"/>
      <c r="S57" s="66"/>
      <c r="T57" s="66"/>
    </row>
    <row r="58" spans="1:20" ht="16.5" x14ac:dyDescent="0.3">
      <c r="A58" s="2" t="s">
        <v>588</v>
      </c>
      <c r="B58" s="2"/>
      <c r="C58" s="2"/>
      <c r="D58" s="2"/>
      <c r="E58" s="2"/>
      <c r="F58" s="2"/>
      <c r="G58" s="2"/>
      <c r="H58" s="2"/>
      <c r="I58" s="2"/>
      <c r="L58" s="66"/>
      <c r="M58" s="66"/>
      <c r="N58" s="66"/>
      <c r="O58" s="66"/>
      <c r="P58" s="66"/>
      <c r="Q58" s="140"/>
      <c r="R58" s="66"/>
      <c r="S58" s="66"/>
      <c r="T58" s="66"/>
    </row>
    <row r="59" spans="1:20" ht="42.75" x14ac:dyDescent="0.25">
      <c r="A59" s="2"/>
      <c r="B59" s="2"/>
      <c r="C59" s="2"/>
      <c r="D59" s="2"/>
      <c r="E59" s="2"/>
      <c r="F59" s="2"/>
      <c r="G59" s="2"/>
      <c r="H59" s="2"/>
      <c r="I59" s="2"/>
      <c r="L59" s="256" t="s">
        <v>103</v>
      </c>
      <c r="M59" s="257" t="s">
        <v>106</v>
      </c>
      <c r="N59" s="257" t="s">
        <v>104</v>
      </c>
      <c r="O59" s="140"/>
      <c r="P59" s="140"/>
      <c r="Q59" s="66"/>
      <c r="R59" s="66"/>
      <c r="S59" s="66"/>
      <c r="T59" s="66"/>
    </row>
    <row r="60" spans="1:20" ht="15" x14ac:dyDescent="0.25">
      <c r="A60" s="2"/>
      <c r="B60" s="2"/>
      <c r="C60" s="2"/>
      <c r="D60" s="2"/>
      <c r="E60" s="2"/>
      <c r="F60" s="2"/>
      <c r="G60" s="2"/>
      <c r="H60" s="2"/>
      <c r="I60" s="2"/>
      <c r="L60" s="66" t="s">
        <v>105</v>
      </c>
      <c r="M60" s="149" t="s">
        <v>107</v>
      </c>
      <c r="N60" s="258">
        <f>N22*12</f>
        <v>101.18562068753765</v>
      </c>
      <c r="O60" s="140"/>
      <c r="P60" s="140"/>
      <c r="Q60" s="66"/>
      <c r="R60" s="66"/>
      <c r="S60" s="66"/>
      <c r="T60" s="66"/>
    </row>
    <row r="61" spans="1:20" ht="16.5" x14ac:dyDescent="0.3">
      <c r="A61" s="2" t="s">
        <v>315</v>
      </c>
      <c r="B61" s="2"/>
      <c r="C61" s="2"/>
      <c r="D61" s="2"/>
      <c r="E61" s="2"/>
      <c r="F61" s="2"/>
      <c r="G61" s="2"/>
      <c r="H61" s="2"/>
      <c r="I61" s="2"/>
      <c r="L61" s="66" t="s">
        <v>108</v>
      </c>
      <c r="M61" s="66">
        <v>1</v>
      </c>
      <c r="N61" s="66">
        <f>N28*12</f>
        <v>114</v>
      </c>
      <c r="O61" s="140"/>
      <c r="P61" s="66"/>
      <c r="Q61" s="66"/>
      <c r="R61" s="66"/>
      <c r="S61" s="66"/>
      <c r="T61" s="66"/>
    </row>
    <row r="62" spans="1:20" ht="15" x14ac:dyDescent="0.25">
      <c r="A62" s="2"/>
      <c r="B62" s="2"/>
      <c r="C62" s="2"/>
      <c r="D62" s="2"/>
      <c r="E62" s="2"/>
      <c r="F62" s="2"/>
      <c r="G62" s="2"/>
      <c r="H62" s="2"/>
      <c r="I62" s="2"/>
      <c r="L62" s="66" t="s">
        <v>108</v>
      </c>
      <c r="M62" s="66">
        <v>2</v>
      </c>
      <c r="N62" s="258">
        <f>N29*12</f>
        <v>90</v>
      </c>
      <c r="O62" s="140"/>
      <c r="P62" s="140"/>
      <c r="Q62" s="66"/>
      <c r="R62" s="66"/>
      <c r="S62" s="66"/>
      <c r="T62" s="66"/>
    </row>
    <row r="63" spans="1:20" ht="15" x14ac:dyDescent="0.25">
      <c r="A63" s="2"/>
      <c r="B63" s="2" t="s">
        <v>84</v>
      </c>
      <c r="C63" s="35">
        <f>0.41*C47</f>
        <v>0.34905223689995579</v>
      </c>
      <c r="D63" s="2" t="s">
        <v>85</v>
      </c>
      <c r="E63" s="2"/>
      <c r="F63" s="2"/>
      <c r="G63" s="2"/>
      <c r="H63" s="2"/>
      <c r="I63" s="2"/>
      <c r="L63" s="66" t="s">
        <v>109</v>
      </c>
      <c r="M63" s="66">
        <v>1</v>
      </c>
      <c r="N63" s="258">
        <f>12*N55</f>
        <v>112.45759504397844</v>
      </c>
      <c r="O63" s="140"/>
      <c r="P63" s="140"/>
      <c r="Q63" s="140"/>
      <c r="R63" s="66"/>
      <c r="S63" s="66"/>
      <c r="T63" s="66"/>
    </row>
    <row r="64" spans="1:20" ht="15" x14ac:dyDescent="0.25">
      <c r="A64" s="2"/>
      <c r="B64" s="2"/>
      <c r="C64" s="2"/>
      <c r="D64" s="2"/>
      <c r="E64" s="2"/>
      <c r="F64" s="2"/>
      <c r="G64" s="2"/>
      <c r="H64" s="2"/>
      <c r="I64" s="2"/>
      <c r="L64" s="66" t="s">
        <v>110</v>
      </c>
      <c r="M64" s="66">
        <v>2</v>
      </c>
      <c r="N64" s="258">
        <f>12*N56</f>
        <v>98.042091151022447</v>
      </c>
      <c r="O64" s="140"/>
      <c r="P64" s="66"/>
      <c r="Q64" s="140"/>
      <c r="R64" s="66"/>
      <c r="S64" s="66"/>
      <c r="T64" s="66"/>
    </row>
    <row r="65" spans="1:20" ht="16.5" x14ac:dyDescent="0.3">
      <c r="A65" s="2" t="s">
        <v>363</v>
      </c>
      <c r="B65" s="2"/>
      <c r="C65" s="2"/>
      <c r="D65" s="2"/>
      <c r="E65" s="2"/>
      <c r="F65" s="2"/>
      <c r="G65" s="2"/>
      <c r="H65" s="2"/>
      <c r="I65" s="2"/>
      <c r="L65" s="140"/>
      <c r="M65" s="140"/>
      <c r="N65" s="140"/>
      <c r="O65" s="140"/>
      <c r="P65" s="140"/>
      <c r="Q65" s="66"/>
      <c r="R65" s="140"/>
      <c r="S65" s="66"/>
      <c r="T65" s="66"/>
    </row>
    <row r="66" spans="1:20" ht="15" x14ac:dyDescent="0.25">
      <c r="A66" s="2"/>
      <c r="B66" s="2"/>
      <c r="C66" s="2"/>
      <c r="D66" s="2"/>
      <c r="E66" s="2"/>
      <c r="F66" s="2"/>
      <c r="G66" s="2"/>
      <c r="H66" s="2"/>
      <c r="I66" s="2"/>
      <c r="L66" s="230"/>
      <c r="M66" s="230"/>
      <c r="N66" s="230"/>
      <c r="O66" s="230"/>
      <c r="P66" s="230"/>
      <c r="Q66" s="230"/>
      <c r="R66" s="230"/>
      <c r="S66" s="231"/>
      <c r="T66" s="231"/>
    </row>
    <row r="67" spans="1:20" ht="16.5" x14ac:dyDescent="0.3">
      <c r="A67" s="2"/>
      <c r="B67" s="2" t="s">
        <v>316</v>
      </c>
      <c r="C67" s="2"/>
      <c r="D67" s="2"/>
      <c r="E67" s="2"/>
      <c r="F67" s="2"/>
      <c r="G67" s="2"/>
      <c r="H67" s="2"/>
      <c r="I67" s="2"/>
      <c r="L67" s="230"/>
      <c r="M67" s="230"/>
      <c r="N67" s="230"/>
      <c r="O67" s="230"/>
      <c r="P67" s="230"/>
      <c r="Q67" s="230"/>
      <c r="R67" s="231"/>
      <c r="S67" s="231"/>
      <c r="T67" s="231"/>
    </row>
    <row r="68" spans="1:20" ht="15" x14ac:dyDescent="0.25">
      <c r="A68" s="2"/>
      <c r="B68" s="2"/>
      <c r="C68" s="2"/>
      <c r="D68" s="2"/>
      <c r="E68" s="2"/>
      <c r="F68" s="2"/>
      <c r="G68" s="2"/>
      <c r="H68" s="2"/>
      <c r="I68" s="2"/>
      <c r="L68" s="230"/>
      <c r="M68" s="230"/>
      <c r="N68" s="230"/>
      <c r="O68" s="230"/>
      <c r="P68" s="230"/>
      <c r="Q68" s="230"/>
      <c r="R68" s="230"/>
      <c r="S68" s="231"/>
      <c r="T68" s="231"/>
    </row>
    <row r="69" spans="1:20" ht="15" x14ac:dyDescent="0.25">
      <c r="A69" s="2"/>
      <c r="B69" s="2"/>
      <c r="C69" s="2"/>
      <c r="D69" s="2"/>
      <c r="E69" s="2"/>
      <c r="F69" s="2"/>
      <c r="G69" s="2"/>
      <c r="H69" s="2"/>
      <c r="I69" s="2"/>
      <c r="L69" s="230"/>
      <c r="M69" s="230"/>
      <c r="N69" s="230"/>
      <c r="O69" s="230"/>
      <c r="P69" s="230"/>
      <c r="Q69" s="230"/>
      <c r="R69" s="230"/>
      <c r="S69" s="231"/>
      <c r="T69" s="231"/>
    </row>
    <row r="70" spans="1:20" ht="15" x14ac:dyDescent="0.25">
      <c r="A70" s="2"/>
      <c r="B70" s="2" t="s">
        <v>86</v>
      </c>
      <c r="C70" s="2">
        <f>9*9.5</f>
        <v>85.5</v>
      </c>
      <c r="D70" s="2" t="s">
        <v>78</v>
      </c>
      <c r="E70" s="2" t="s">
        <v>87</v>
      </c>
      <c r="F70" s="2"/>
      <c r="G70" s="2"/>
      <c r="H70" s="2"/>
      <c r="I70" s="2"/>
      <c r="L70" s="230"/>
      <c r="M70" s="230"/>
      <c r="N70" s="230"/>
      <c r="O70" s="230"/>
      <c r="P70" s="230"/>
      <c r="Q70" s="230"/>
      <c r="R70" s="230"/>
      <c r="S70" s="231"/>
      <c r="T70" s="231"/>
    </row>
    <row r="71" spans="1:20" ht="15" x14ac:dyDescent="0.25">
      <c r="A71" s="2"/>
      <c r="B71" s="2"/>
      <c r="C71" s="2">
        <f>9*7.5/2</f>
        <v>33.75</v>
      </c>
      <c r="D71" s="2" t="s">
        <v>78</v>
      </c>
      <c r="E71" s="2" t="s">
        <v>88</v>
      </c>
      <c r="F71" s="2"/>
      <c r="G71" s="2"/>
      <c r="H71" s="2"/>
      <c r="I71" s="2"/>
      <c r="L71" s="230"/>
      <c r="M71" s="230"/>
      <c r="N71" s="230"/>
      <c r="O71" s="230"/>
      <c r="P71" s="230"/>
      <c r="Q71" s="230"/>
      <c r="R71" s="230"/>
      <c r="S71" s="231"/>
      <c r="T71" s="231"/>
    </row>
    <row r="72" spans="1:20" ht="15" x14ac:dyDescent="0.25">
      <c r="A72" s="2"/>
      <c r="B72" s="2"/>
      <c r="C72" s="2"/>
      <c r="D72" s="2"/>
      <c r="E72" s="2"/>
      <c r="F72" s="2"/>
      <c r="G72" s="2"/>
      <c r="H72" s="2"/>
      <c r="I72" s="2"/>
      <c r="L72" s="230"/>
      <c r="M72" s="230"/>
      <c r="N72" s="230"/>
      <c r="O72" s="230"/>
      <c r="P72" s="230"/>
      <c r="Q72" s="230"/>
      <c r="R72" s="230"/>
      <c r="S72" s="231"/>
      <c r="T72" s="231"/>
    </row>
    <row r="73" spans="1:20" ht="15" x14ac:dyDescent="0.25">
      <c r="A73" s="2" t="s">
        <v>89</v>
      </c>
      <c r="B73" s="2"/>
      <c r="C73" s="2"/>
      <c r="D73" s="2"/>
      <c r="E73" s="2"/>
      <c r="F73" s="2"/>
      <c r="G73" s="2"/>
      <c r="H73" s="2"/>
      <c r="I73" s="2"/>
      <c r="L73" s="230"/>
      <c r="M73" s="230"/>
      <c r="N73" s="230"/>
      <c r="O73" s="230"/>
      <c r="P73" s="230"/>
      <c r="Q73" s="230"/>
      <c r="R73" s="230"/>
      <c r="S73" s="231"/>
      <c r="T73" s="231"/>
    </row>
    <row r="74" spans="1:20" ht="15" x14ac:dyDescent="0.25">
      <c r="A74" s="2"/>
      <c r="B74" s="2"/>
      <c r="C74" s="2"/>
      <c r="D74" s="2"/>
      <c r="E74" s="2"/>
      <c r="F74" s="2"/>
      <c r="G74" s="2"/>
      <c r="H74" s="2"/>
      <c r="I74" s="2"/>
      <c r="L74" s="230"/>
      <c r="M74" s="230"/>
      <c r="N74" s="230"/>
      <c r="O74" s="230"/>
      <c r="P74" s="230"/>
      <c r="Q74" s="230"/>
      <c r="R74" s="230"/>
      <c r="S74" s="231"/>
      <c r="T74" s="231"/>
    </row>
    <row r="75" spans="1:20" ht="18" x14ac:dyDescent="0.25">
      <c r="A75" s="2"/>
      <c r="B75" s="2" t="s">
        <v>90</v>
      </c>
      <c r="C75" s="36">
        <f>(C34+B10*(C70/13000))/(C63*0.82)</f>
        <v>50.648064407630045</v>
      </c>
      <c r="D75" s="2" t="s">
        <v>317</v>
      </c>
      <c r="E75" s="2" t="s">
        <v>87</v>
      </c>
      <c r="F75" s="2"/>
      <c r="G75" s="2"/>
      <c r="H75" s="2"/>
      <c r="I75" s="2"/>
      <c r="L75" s="230"/>
      <c r="M75" s="230"/>
      <c r="N75" s="230"/>
      <c r="O75" s="230"/>
      <c r="P75" s="230"/>
      <c r="Q75" s="230"/>
      <c r="R75" s="230"/>
      <c r="S75" s="231"/>
      <c r="T75" s="231"/>
    </row>
    <row r="76" spans="1:20" ht="18" x14ac:dyDescent="0.25">
      <c r="A76" s="2"/>
      <c r="B76" s="2"/>
      <c r="C76" s="36">
        <f>(C34+B10*(C71/13000))/(C63*0.82)</f>
        <v>34.097619028607738</v>
      </c>
      <c r="D76" s="2" t="s">
        <v>317</v>
      </c>
      <c r="E76" s="2" t="s">
        <v>88</v>
      </c>
      <c r="F76" s="2"/>
      <c r="G76" s="2"/>
      <c r="H76" s="2"/>
      <c r="I76" s="2"/>
      <c r="L76" s="230"/>
      <c r="M76" s="230"/>
      <c r="N76" s="230"/>
      <c r="O76" s="230"/>
      <c r="P76" s="230"/>
      <c r="Q76" s="230"/>
      <c r="R76" s="230"/>
      <c r="S76" s="230"/>
      <c r="T76" s="230"/>
    </row>
    <row r="77" spans="1:20" ht="15" x14ac:dyDescent="0.25">
      <c r="A77" s="2"/>
      <c r="B77" s="2"/>
      <c r="C77" s="2"/>
      <c r="D77" s="2"/>
      <c r="E77" s="2"/>
      <c r="F77" s="2"/>
      <c r="G77" s="2"/>
      <c r="H77" s="2"/>
      <c r="I77" s="2"/>
      <c r="L77" s="230"/>
      <c r="M77" s="230"/>
      <c r="N77" s="230"/>
      <c r="O77" s="230"/>
      <c r="P77" s="230"/>
      <c r="Q77" s="230"/>
      <c r="R77" s="230"/>
      <c r="S77" s="230"/>
      <c r="T77" s="230"/>
    </row>
    <row r="78" spans="1:20" ht="18" customHeight="1" x14ac:dyDescent="0.25">
      <c r="A78" s="107" t="s">
        <v>91</v>
      </c>
      <c r="B78" s="107"/>
      <c r="C78" s="107"/>
      <c r="D78" s="107"/>
      <c r="E78" s="107"/>
      <c r="F78" s="107"/>
      <c r="G78" s="107"/>
      <c r="H78" s="107"/>
      <c r="I78" s="107"/>
      <c r="L78" s="230"/>
      <c r="M78" s="230"/>
      <c r="N78" s="230"/>
      <c r="O78" s="230"/>
      <c r="P78" s="230"/>
      <c r="Q78" s="230"/>
      <c r="R78" s="230"/>
      <c r="S78" s="231"/>
      <c r="T78" s="231"/>
    </row>
    <row r="79" spans="1:20" x14ac:dyDescent="0.2">
      <c r="A79" s="107"/>
      <c r="B79" s="107"/>
      <c r="C79" s="107"/>
      <c r="D79" s="107"/>
      <c r="E79" s="107"/>
      <c r="F79" s="107"/>
      <c r="G79" s="107"/>
      <c r="H79" s="107"/>
      <c r="I79" s="107"/>
      <c r="L79" s="230"/>
      <c r="M79" s="230"/>
      <c r="N79" s="230"/>
      <c r="O79" s="230"/>
      <c r="P79" s="230"/>
      <c r="Q79" s="230"/>
      <c r="R79" s="230"/>
      <c r="S79" s="230"/>
      <c r="T79" s="230"/>
    </row>
    <row r="80" spans="1:20" ht="15" x14ac:dyDescent="0.25">
      <c r="A80" s="2"/>
      <c r="B80" s="2"/>
      <c r="C80" s="2"/>
      <c r="D80" s="2"/>
      <c r="E80" s="2"/>
      <c r="F80" s="2"/>
      <c r="G80" s="2"/>
      <c r="H80" s="2"/>
      <c r="I80" s="2"/>
      <c r="L80" s="230"/>
      <c r="M80" s="230"/>
      <c r="N80" s="230"/>
      <c r="O80" s="230"/>
      <c r="P80" s="230"/>
      <c r="Q80" s="230"/>
      <c r="R80" s="230"/>
      <c r="S80" s="230"/>
      <c r="T80" s="230"/>
    </row>
    <row r="81" spans="1:20" ht="18" x14ac:dyDescent="0.25">
      <c r="A81" s="2"/>
      <c r="B81" s="2" t="s">
        <v>92</v>
      </c>
      <c r="C81" s="36">
        <f>B10/(C56*0.82)</f>
        <v>9.1646017214886406</v>
      </c>
      <c r="D81" s="2" t="s">
        <v>317</v>
      </c>
      <c r="E81" s="2"/>
      <c r="F81" s="2"/>
      <c r="G81" s="2"/>
      <c r="H81" s="2"/>
      <c r="I81" s="2"/>
      <c r="L81" s="230"/>
      <c r="M81" s="230"/>
      <c r="N81" s="230"/>
      <c r="O81" s="230"/>
      <c r="P81" s="230"/>
      <c r="Q81" s="230"/>
      <c r="R81" s="230"/>
      <c r="S81" s="230"/>
      <c r="T81" s="230"/>
    </row>
    <row r="82" spans="1:20" ht="15" x14ac:dyDescent="0.25">
      <c r="A82" s="2"/>
      <c r="B82" s="2"/>
      <c r="C82" s="2"/>
      <c r="D82" s="2"/>
      <c r="E82" s="2"/>
      <c r="F82" s="2"/>
      <c r="G82" s="2"/>
      <c r="H82" s="2"/>
      <c r="I82" s="2"/>
      <c r="L82" s="231"/>
      <c r="M82" s="230"/>
      <c r="N82" s="230"/>
      <c r="O82" s="230"/>
      <c r="P82" s="230"/>
      <c r="Q82" s="231"/>
      <c r="R82" s="231"/>
      <c r="S82" s="231"/>
      <c r="T82" s="231"/>
    </row>
    <row r="83" spans="1:20" ht="15" x14ac:dyDescent="0.25">
      <c r="A83" s="2"/>
      <c r="B83" s="2" t="s">
        <v>93</v>
      </c>
      <c r="C83" s="36">
        <f>C81/C75</f>
        <v>0.18094673169993855</v>
      </c>
      <c r="D83" s="2" t="s">
        <v>94</v>
      </c>
      <c r="E83" s="2"/>
      <c r="F83" s="2"/>
      <c r="G83" s="2"/>
      <c r="H83" s="2"/>
      <c r="I83" s="2"/>
      <c r="L83" s="231"/>
      <c r="M83" s="230"/>
      <c r="N83" s="230"/>
      <c r="O83" s="230"/>
      <c r="P83" s="230"/>
      <c r="Q83" s="231"/>
      <c r="R83" s="231"/>
      <c r="S83" s="231"/>
      <c r="T83" s="231"/>
    </row>
    <row r="84" spans="1:20" ht="15" x14ac:dyDescent="0.25">
      <c r="A84" s="2"/>
      <c r="B84" s="2"/>
      <c r="C84" s="36">
        <f>C81/C76</f>
        <v>0.26877541548574357</v>
      </c>
      <c r="D84" s="2" t="s">
        <v>95</v>
      </c>
      <c r="E84" s="2"/>
      <c r="F84" s="2"/>
      <c r="G84" s="2"/>
      <c r="H84" s="2"/>
      <c r="I84" s="2"/>
      <c r="L84" s="231"/>
      <c r="M84" s="230"/>
      <c r="N84" s="230"/>
      <c r="O84" s="230"/>
      <c r="P84" s="230"/>
      <c r="Q84" s="231"/>
      <c r="R84" s="231"/>
      <c r="S84" s="231"/>
      <c r="T84" s="231"/>
    </row>
    <row r="85" spans="1:20" ht="15" x14ac:dyDescent="0.25">
      <c r="A85" s="2"/>
      <c r="B85" s="2"/>
      <c r="C85" s="2"/>
      <c r="D85" s="2"/>
      <c r="E85" s="2"/>
      <c r="F85" s="2"/>
      <c r="G85" s="2"/>
      <c r="H85" s="2"/>
      <c r="I85" s="2"/>
      <c r="L85" s="231"/>
      <c r="M85" s="230"/>
      <c r="N85" s="230"/>
      <c r="O85" s="230"/>
      <c r="P85" s="230"/>
      <c r="Q85" s="231"/>
      <c r="R85" s="231"/>
      <c r="S85" s="231"/>
      <c r="T85" s="231"/>
    </row>
    <row r="86" spans="1:20" ht="15" x14ac:dyDescent="0.25">
      <c r="A86" s="2" t="s">
        <v>96</v>
      </c>
      <c r="B86" s="2"/>
      <c r="C86" s="2"/>
      <c r="D86" s="2"/>
      <c r="E86" s="2"/>
      <c r="F86" s="2"/>
      <c r="G86" s="2"/>
      <c r="H86" s="2"/>
      <c r="I86" s="2"/>
      <c r="L86" s="231"/>
      <c r="M86" s="231"/>
      <c r="N86" s="231"/>
      <c r="O86" s="231"/>
      <c r="P86" s="231"/>
      <c r="Q86" s="231"/>
      <c r="R86" s="231"/>
      <c r="S86" s="231"/>
      <c r="T86" s="231"/>
    </row>
    <row r="87" spans="1:20" ht="15" x14ac:dyDescent="0.25">
      <c r="A87" s="2"/>
      <c r="B87" s="2"/>
      <c r="C87" s="2"/>
      <c r="D87" s="2"/>
      <c r="E87" s="2"/>
      <c r="F87" s="2"/>
      <c r="G87" s="2"/>
      <c r="H87" s="2"/>
      <c r="I87" s="2"/>
      <c r="L87" s="230"/>
      <c r="M87" s="230"/>
      <c r="N87" s="230"/>
      <c r="O87" s="230"/>
      <c r="P87" s="231"/>
      <c r="Q87" s="231"/>
      <c r="R87" s="231"/>
      <c r="S87" s="231"/>
      <c r="T87" s="231"/>
    </row>
    <row r="88" spans="1:20" ht="15" x14ac:dyDescent="0.25">
      <c r="A88" s="2" t="s">
        <v>100</v>
      </c>
      <c r="B88" s="2"/>
      <c r="C88" s="2"/>
      <c r="D88" s="2"/>
      <c r="E88" s="2"/>
      <c r="F88" s="2"/>
      <c r="G88" s="2"/>
      <c r="H88" s="2"/>
      <c r="I88" s="2"/>
      <c r="L88" s="231"/>
      <c r="M88" s="231"/>
      <c r="N88" s="231"/>
      <c r="O88" s="231"/>
      <c r="P88" s="231"/>
      <c r="Q88" s="231"/>
      <c r="R88" s="231"/>
      <c r="S88" s="231"/>
      <c r="T88" s="231"/>
    </row>
    <row r="89" spans="1:20" ht="15" x14ac:dyDescent="0.25">
      <c r="A89" s="2"/>
      <c r="B89" s="2"/>
      <c r="C89" s="2"/>
      <c r="D89" s="2"/>
      <c r="E89" s="2"/>
      <c r="F89" s="2"/>
      <c r="G89" s="2"/>
      <c r="H89" s="2"/>
      <c r="I89" s="2"/>
      <c r="L89" s="231"/>
      <c r="M89" s="231"/>
      <c r="N89" s="231"/>
      <c r="O89" s="231"/>
      <c r="P89" s="231"/>
      <c r="Q89" s="231"/>
      <c r="R89" s="231"/>
      <c r="S89" s="231"/>
      <c r="T89" s="231"/>
    </row>
    <row r="90" spans="1:20" ht="18" x14ac:dyDescent="0.25">
      <c r="A90" s="2"/>
      <c r="B90" s="2" t="s">
        <v>97</v>
      </c>
      <c r="C90" s="36">
        <f>C75+2*C81</f>
        <v>68.977267850607319</v>
      </c>
      <c r="D90" s="2" t="s">
        <v>317</v>
      </c>
      <c r="E90" s="2" t="s">
        <v>87</v>
      </c>
      <c r="F90" s="2"/>
      <c r="G90" s="2"/>
      <c r="H90" s="2"/>
      <c r="I90" s="2"/>
      <c r="L90" s="231"/>
      <c r="M90" s="231"/>
      <c r="N90" s="231"/>
      <c r="O90" s="231"/>
      <c r="P90" s="231"/>
      <c r="Q90" s="231"/>
      <c r="R90" s="231"/>
      <c r="S90" s="231"/>
      <c r="T90" s="231"/>
    </row>
    <row r="91" spans="1:20" ht="18" x14ac:dyDescent="0.25">
      <c r="A91" s="2"/>
      <c r="B91" s="2"/>
      <c r="C91" s="36">
        <f>C76+2*C81</f>
        <v>52.42682247158502</v>
      </c>
      <c r="D91" s="2" t="s">
        <v>317</v>
      </c>
      <c r="E91" s="2" t="s">
        <v>88</v>
      </c>
      <c r="F91" s="2"/>
      <c r="G91" s="2"/>
      <c r="H91" s="2"/>
      <c r="I91" s="2"/>
      <c r="L91" s="230"/>
      <c r="M91" s="230"/>
      <c r="N91" s="230"/>
      <c r="O91" s="230"/>
      <c r="P91" s="230"/>
      <c r="Q91" s="231"/>
      <c r="R91" s="231"/>
      <c r="S91" s="231"/>
      <c r="T91" s="231"/>
    </row>
    <row r="92" spans="1:20" ht="15" x14ac:dyDescent="0.25">
      <c r="A92" s="2"/>
      <c r="B92" s="2"/>
      <c r="C92" s="2"/>
      <c r="D92" s="2"/>
      <c r="E92" s="2"/>
      <c r="F92" s="2"/>
      <c r="G92" s="2"/>
      <c r="H92" s="2"/>
      <c r="I92" s="2"/>
      <c r="L92" s="230"/>
      <c r="M92" s="230"/>
      <c r="N92" s="230"/>
      <c r="O92" s="230"/>
      <c r="P92" s="230"/>
      <c r="Q92" s="231"/>
      <c r="R92" s="231"/>
      <c r="S92" s="231"/>
      <c r="T92" s="231"/>
    </row>
    <row r="93" spans="1:20" ht="15" x14ac:dyDescent="0.25">
      <c r="A93" s="2" t="s">
        <v>98</v>
      </c>
      <c r="B93" s="2"/>
      <c r="C93" s="2"/>
      <c r="D93" s="2"/>
      <c r="E93" s="2"/>
      <c r="F93" s="2"/>
      <c r="G93" s="2"/>
      <c r="H93" s="2"/>
      <c r="I93" s="2"/>
      <c r="L93" s="231"/>
      <c r="M93" s="231"/>
      <c r="N93" s="231"/>
      <c r="O93" s="231"/>
      <c r="P93" s="231"/>
      <c r="Q93" s="231"/>
      <c r="R93" s="231"/>
      <c r="S93" s="231"/>
      <c r="T93" s="231"/>
    </row>
    <row r="94" spans="1:20" ht="15" x14ac:dyDescent="0.25">
      <c r="A94" s="2"/>
      <c r="B94" s="2"/>
      <c r="C94" s="2"/>
      <c r="D94" s="2"/>
      <c r="E94" s="2"/>
      <c r="F94" s="2"/>
      <c r="G94" s="2"/>
      <c r="H94" s="2"/>
      <c r="I94" s="2"/>
      <c r="L94" s="231"/>
      <c r="M94" s="231"/>
      <c r="N94" s="231"/>
      <c r="O94" s="231"/>
      <c r="P94" s="231"/>
      <c r="Q94" s="231"/>
      <c r="R94" s="231"/>
      <c r="S94" s="231"/>
      <c r="T94" s="231"/>
    </row>
    <row r="95" spans="1:20" ht="18" x14ac:dyDescent="0.25">
      <c r="A95" s="2"/>
      <c r="B95" s="2" t="s">
        <v>97</v>
      </c>
      <c r="C95" s="36">
        <f>C34/(0.78*C63*0.82)</f>
        <v>29.876731157895389</v>
      </c>
      <c r="D95" s="2" t="s">
        <v>317</v>
      </c>
      <c r="E95" s="2"/>
      <c r="F95" s="2"/>
      <c r="G95" s="2"/>
      <c r="H95" s="2"/>
      <c r="I95" s="2"/>
      <c r="L95" s="231"/>
      <c r="M95" s="231"/>
      <c r="N95" s="231"/>
      <c r="O95" s="231"/>
      <c r="P95" s="231"/>
      <c r="Q95" s="231"/>
      <c r="R95" s="231"/>
      <c r="S95" s="231"/>
      <c r="T95" s="231"/>
    </row>
    <row r="96" spans="1:20" ht="15" x14ac:dyDescent="0.25">
      <c r="A96" s="2"/>
      <c r="B96" s="2"/>
      <c r="C96" s="2"/>
      <c r="D96" s="2"/>
      <c r="E96" s="2"/>
      <c r="F96" s="2"/>
      <c r="G96" s="2"/>
      <c r="H96" s="2"/>
      <c r="I96" s="2"/>
      <c r="L96" s="231"/>
      <c r="M96" s="230"/>
      <c r="N96" s="230"/>
      <c r="O96" s="230"/>
      <c r="P96" s="230"/>
      <c r="Q96" s="231"/>
      <c r="R96" s="231"/>
      <c r="S96" s="231"/>
      <c r="T96" s="231"/>
    </row>
    <row r="97" spans="1:20" ht="15" x14ac:dyDescent="0.25">
      <c r="A97" s="2" t="s">
        <v>99</v>
      </c>
      <c r="B97" s="2"/>
      <c r="C97" s="2"/>
      <c r="D97" s="2"/>
      <c r="E97" s="2"/>
      <c r="F97" s="2"/>
      <c r="G97" s="2"/>
      <c r="H97" s="2"/>
      <c r="I97" s="2"/>
      <c r="L97" s="231"/>
      <c r="M97" s="231"/>
      <c r="N97" s="231"/>
      <c r="O97" s="231"/>
      <c r="P97" s="231"/>
      <c r="Q97" s="231"/>
      <c r="R97" s="231"/>
      <c r="S97" s="231"/>
      <c r="T97" s="231"/>
    </row>
    <row r="98" spans="1:20" ht="15" x14ac:dyDescent="0.25">
      <c r="A98" s="2" t="s">
        <v>101</v>
      </c>
      <c r="B98" s="2"/>
      <c r="C98" s="2"/>
      <c r="D98" s="2"/>
      <c r="E98" s="2"/>
      <c r="F98" s="2"/>
      <c r="G98" s="2"/>
      <c r="H98" s="2"/>
      <c r="I98" s="2"/>
      <c r="L98" s="230"/>
      <c r="M98" s="230"/>
      <c r="N98" s="230"/>
      <c r="O98" s="230"/>
      <c r="P98" s="230"/>
      <c r="Q98" s="231"/>
      <c r="R98" s="231"/>
      <c r="S98" s="231"/>
      <c r="T98" s="231"/>
    </row>
    <row r="99" spans="1:20" ht="15" x14ac:dyDescent="0.25">
      <c r="A99" s="2"/>
      <c r="B99" s="2"/>
      <c r="C99" s="2"/>
      <c r="D99" s="2"/>
      <c r="E99" s="2"/>
      <c r="F99" s="2"/>
      <c r="G99" s="2"/>
      <c r="H99" s="2"/>
      <c r="I99" s="2"/>
      <c r="L99" s="230"/>
      <c r="M99" s="230"/>
      <c r="N99" s="230"/>
      <c r="O99" s="230"/>
      <c r="P99" s="230"/>
      <c r="Q99" s="231"/>
      <c r="R99" s="231"/>
      <c r="S99" s="231"/>
      <c r="T99" s="231"/>
    </row>
    <row r="100" spans="1:20" ht="16.5" x14ac:dyDescent="0.3">
      <c r="A100" s="2"/>
      <c r="B100" s="2" t="s">
        <v>326</v>
      </c>
      <c r="C100" s="36">
        <f>SQRT(C90/0.7854)</f>
        <v>9.3714662536648703</v>
      </c>
      <c r="D100" s="2" t="s">
        <v>78</v>
      </c>
      <c r="E100" s="2" t="s">
        <v>87</v>
      </c>
      <c r="F100" s="2"/>
      <c r="G100" s="2"/>
      <c r="H100" s="2"/>
      <c r="I100" s="2"/>
      <c r="L100" s="231"/>
      <c r="M100" s="231"/>
      <c r="N100" s="231"/>
      <c r="O100" s="231"/>
      <c r="P100" s="231"/>
      <c r="Q100" s="231"/>
      <c r="R100" s="231"/>
      <c r="S100" s="231"/>
      <c r="T100" s="231"/>
    </row>
    <row r="101" spans="1:20" ht="15" x14ac:dyDescent="0.25">
      <c r="A101" s="2"/>
      <c r="B101" s="2"/>
      <c r="C101" s="36">
        <f>SQRT(C91/0.7854)</f>
        <v>8.1701742625852045</v>
      </c>
      <c r="D101" s="2" t="s">
        <v>78</v>
      </c>
      <c r="E101" s="2" t="s">
        <v>88</v>
      </c>
      <c r="F101" s="2"/>
      <c r="G101" s="2"/>
      <c r="H101" s="2"/>
      <c r="I101" s="2"/>
      <c r="L101" s="231"/>
      <c r="M101" s="230"/>
      <c r="N101" s="230"/>
      <c r="O101" s="230"/>
      <c r="P101" s="230"/>
      <c r="Q101" s="231"/>
      <c r="R101" s="231"/>
      <c r="S101" s="231"/>
      <c r="T101" s="231"/>
    </row>
    <row r="102" spans="1:20" ht="15" x14ac:dyDescent="0.25">
      <c r="A102" s="2"/>
      <c r="B102" s="2"/>
      <c r="C102" s="2"/>
      <c r="D102" s="2"/>
      <c r="E102" s="2"/>
      <c r="F102" s="2"/>
      <c r="G102" s="2"/>
      <c r="H102" s="2"/>
      <c r="I102" s="2"/>
      <c r="L102" s="231"/>
      <c r="M102" s="230"/>
      <c r="N102" s="230"/>
      <c r="O102" s="230"/>
      <c r="P102" s="230"/>
      <c r="Q102" s="231"/>
      <c r="R102" s="231"/>
      <c r="S102" s="231"/>
      <c r="T102" s="231"/>
    </row>
    <row r="103" spans="1:20" ht="15" x14ac:dyDescent="0.25">
      <c r="A103" s="2" t="s">
        <v>102</v>
      </c>
      <c r="B103" s="2"/>
      <c r="C103" s="2"/>
      <c r="D103" s="2"/>
      <c r="E103" s="2"/>
      <c r="F103" s="2"/>
      <c r="G103" s="2"/>
      <c r="H103" s="2"/>
      <c r="I103" s="2"/>
      <c r="L103" s="231"/>
      <c r="M103" s="231"/>
      <c r="N103" s="231"/>
      <c r="O103" s="231"/>
      <c r="P103" s="231"/>
      <c r="Q103" s="231"/>
      <c r="R103" s="231"/>
      <c r="S103" s="231"/>
      <c r="T103" s="231"/>
    </row>
    <row r="104" spans="1:20" ht="15" x14ac:dyDescent="0.25">
      <c r="A104" s="2"/>
      <c r="B104" s="2"/>
      <c r="C104" s="2"/>
      <c r="D104" s="2"/>
      <c r="E104" s="2"/>
      <c r="F104" s="2"/>
      <c r="G104" s="2"/>
      <c r="H104" s="2"/>
      <c r="I104" s="2"/>
      <c r="L104" s="231"/>
      <c r="M104" s="231"/>
      <c r="N104" s="231"/>
      <c r="O104" s="231"/>
      <c r="P104" s="231"/>
      <c r="Q104" s="231"/>
      <c r="R104" s="231"/>
      <c r="S104" s="231"/>
      <c r="T104" s="231"/>
    </row>
    <row r="105" spans="1:20" s="259" customFormat="1" ht="57" x14ac:dyDescent="0.25">
      <c r="A105" s="50"/>
      <c r="B105" s="50"/>
      <c r="C105" s="51" t="s">
        <v>103</v>
      </c>
      <c r="D105" s="52" t="s">
        <v>106</v>
      </c>
      <c r="E105" s="51" t="s">
        <v>104</v>
      </c>
      <c r="F105" s="50"/>
      <c r="G105" s="50"/>
      <c r="H105" s="50"/>
      <c r="I105" s="50"/>
      <c r="L105" s="231"/>
      <c r="M105" s="231"/>
      <c r="N105" s="231"/>
      <c r="O105" s="231"/>
      <c r="P105" s="231"/>
      <c r="Q105" s="231"/>
      <c r="R105" s="231"/>
      <c r="S105" s="231"/>
      <c r="T105" s="231"/>
    </row>
    <row r="106" spans="1:20" ht="15" x14ac:dyDescent="0.25">
      <c r="A106" s="2"/>
      <c r="B106" s="2"/>
      <c r="C106" s="2" t="s">
        <v>105</v>
      </c>
      <c r="D106" s="2" t="s">
        <v>107</v>
      </c>
      <c r="E106" s="49">
        <f>C28</f>
        <v>101.18562068753765</v>
      </c>
      <c r="F106" s="2"/>
      <c r="G106" s="2"/>
      <c r="H106" s="2"/>
      <c r="I106" s="2"/>
      <c r="L106" s="260"/>
      <c r="M106" s="260"/>
      <c r="N106" s="261"/>
      <c r="O106" s="261"/>
      <c r="P106" s="261"/>
      <c r="Q106" s="260"/>
      <c r="R106" s="260"/>
      <c r="S106" s="260"/>
      <c r="T106" s="260"/>
    </row>
    <row r="107" spans="1:20" ht="15" x14ac:dyDescent="0.25">
      <c r="A107" s="2"/>
      <c r="B107" s="2"/>
      <c r="C107" s="2" t="s">
        <v>108</v>
      </c>
      <c r="D107" s="2">
        <v>1</v>
      </c>
      <c r="E107" s="2">
        <f>C39</f>
        <v>114</v>
      </c>
      <c r="F107" s="2"/>
      <c r="G107" s="2"/>
      <c r="H107" s="2"/>
      <c r="I107" s="2"/>
      <c r="L107" s="231"/>
      <c r="M107" s="231"/>
      <c r="N107" s="230"/>
      <c r="O107" s="230"/>
      <c r="P107" s="230"/>
      <c r="Q107" s="231"/>
      <c r="R107" s="231"/>
      <c r="S107" s="231"/>
      <c r="T107" s="231"/>
    </row>
    <row r="108" spans="1:20" ht="15" x14ac:dyDescent="0.25">
      <c r="A108" s="2"/>
      <c r="B108" s="2"/>
      <c r="C108" s="2" t="s">
        <v>108</v>
      </c>
      <c r="D108" s="2">
        <v>2</v>
      </c>
      <c r="E108" s="49">
        <f>C41</f>
        <v>90</v>
      </c>
      <c r="F108" s="2"/>
      <c r="G108" s="2"/>
      <c r="H108" s="2"/>
      <c r="I108" s="2"/>
      <c r="L108" s="231"/>
      <c r="M108" s="231"/>
      <c r="N108" s="230"/>
      <c r="O108" s="230"/>
      <c r="P108" s="230"/>
      <c r="Q108" s="231"/>
      <c r="R108" s="231"/>
      <c r="S108" s="231"/>
      <c r="T108" s="231"/>
    </row>
    <row r="109" spans="1:20" ht="15" x14ac:dyDescent="0.25">
      <c r="A109" s="2"/>
      <c r="B109" s="2"/>
      <c r="C109" s="2" t="s">
        <v>109</v>
      </c>
      <c r="D109" s="2">
        <v>1</v>
      </c>
      <c r="E109" s="49">
        <f>12*C100</f>
        <v>112.45759504397844</v>
      </c>
      <c r="F109" s="2"/>
      <c r="G109" s="2"/>
      <c r="H109" s="2"/>
      <c r="I109" s="2"/>
      <c r="L109" s="231"/>
      <c r="M109" s="231"/>
      <c r="N109" s="230"/>
      <c r="O109" s="230"/>
      <c r="P109" s="230"/>
      <c r="Q109" s="231"/>
      <c r="R109" s="231"/>
      <c r="S109" s="231"/>
      <c r="T109" s="231"/>
    </row>
    <row r="110" spans="1:20" ht="15" x14ac:dyDescent="0.25">
      <c r="A110" s="2"/>
      <c r="B110" s="2"/>
      <c r="C110" s="2" t="s">
        <v>110</v>
      </c>
      <c r="D110" s="2">
        <v>2</v>
      </c>
      <c r="E110" s="49">
        <f>12*C101</f>
        <v>98.042091151022447</v>
      </c>
      <c r="F110" s="2"/>
      <c r="G110" s="2"/>
      <c r="H110" s="2"/>
      <c r="I110" s="2"/>
      <c r="L110" s="231"/>
      <c r="M110" s="231"/>
      <c r="N110" s="230"/>
      <c r="O110" s="230"/>
      <c r="P110" s="230"/>
      <c r="Q110" s="231"/>
      <c r="R110" s="231"/>
      <c r="S110" s="231"/>
      <c r="T110" s="231"/>
    </row>
    <row r="111" spans="1:20" ht="15" x14ac:dyDescent="0.25">
      <c r="L111" s="231"/>
      <c r="M111" s="231"/>
      <c r="N111" s="230"/>
      <c r="O111" s="230"/>
      <c r="P111" s="230"/>
      <c r="Q111" s="231"/>
      <c r="R111" s="231"/>
      <c r="S111" s="231"/>
      <c r="T111" s="231"/>
    </row>
    <row r="113" spans="1:1" ht="15" x14ac:dyDescent="0.25">
      <c r="A113" s="129" t="s">
        <v>723</v>
      </c>
    </row>
    <row r="114" spans="1:1" ht="15" x14ac:dyDescent="0.25">
      <c r="A114" s="129" t="s">
        <v>724</v>
      </c>
    </row>
    <row r="115" spans="1:1" ht="15" x14ac:dyDescent="0.25">
      <c r="A115" s="129" t="s">
        <v>725</v>
      </c>
    </row>
    <row r="116" spans="1:1" ht="15" x14ac:dyDescent="0.25">
      <c r="A116" s="129" t="s">
        <v>684</v>
      </c>
    </row>
    <row r="117" spans="1:1" ht="15" x14ac:dyDescent="0.25">
      <c r="A117" s="130" t="s">
        <v>726</v>
      </c>
    </row>
  </sheetData>
  <sheetProtection password="E156" sheet="1" objects="1" scenarios="1"/>
  <mergeCells count="2">
    <mergeCell ref="A78:I79"/>
    <mergeCell ref="L44:R44"/>
  </mergeCells>
  <phoneticPr fontId="3" type="noConversion"/>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4"/>
  <sheetViews>
    <sheetView zoomScale="80" zoomScaleNormal="80" workbookViewId="0">
      <selection activeCell="N35" sqref="N35"/>
    </sheetView>
  </sheetViews>
  <sheetFormatPr defaultColWidth="9.140625" defaultRowHeight="12.75" x14ac:dyDescent="0.2"/>
  <cols>
    <col min="1" max="16384" width="9.140625" style="68"/>
  </cols>
  <sheetData>
    <row r="1" spans="1:24" ht="15" x14ac:dyDescent="0.25">
      <c r="A1" s="128" t="s">
        <v>717</v>
      </c>
    </row>
    <row r="5" spans="1:24" ht="15" x14ac:dyDescent="0.25">
      <c r="A5" s="1" t="s">
        <v>385</v>
      </c>
      <c r="B5" s="54"/>
      <c r="C5" s="54"/>
      <c r="D5" s="54"/>
      <c r="E5" s="54"/>
      <c r="F5" s="54"/>
      <c r="G5" s="54"/>
      <c r="H5" s="54"/>
      <c r="I5" s="54"/>
      <c r="J5" s="54"/>
      <c r="M5" s="139" t="s">
        <v>455</v>
      </c>
      <c r="N5" s="66"/>
      <c r="O5" s="66"/>
      <c r="P5" s="66"/>
      <c r="Q5" s="66"/>
      <c r="R5" s="66"/>
      <c r="S5" s="66"/>
      <c r="T5" s="231"/>
      <c r="U5" s="231"/>
      <c r="V5" s="231"/>
      <c r="W5" s="230"/>
      <c r="X5" s="230"/>
    </row>
    <row r="6" spans="1:24" ht="15" x14ac:dyDescent="0.25">
      <c r="A6" s="2" t="s">
        <v>204</v>
      </c>
      <c r="B6" s="2"/>
      <c r="C6" s="2"/>
      <c r="D6" s="2"/>
      <c r="E6" s="2"/>
      <c r="F6" s="2"/>
      <c r="G6" s="2"/>
      <c r="H6" s="2"/>
      <c r="I6" s="2"/>
      <c r="J6" s="2"/>
      <c r="M6" s="66" t="s">
        <v>377</v>
      </c>
      <c r="N6" s="66"/>
      <c r="O6" s="66"/>
      <c r="P6" s="66"/>
      <c r="Q6" s="66"/>
      <c r="R6" s="66"/>
      <c r="S6" s="66"/>
      <c r="T6" s="231"/>
      <c r="U6" s="231"/>
      <c r="V6" s="231"/>
      <c r="W6" s="230"/>
      <c r="X6" s="230"/>
    </row>
    <row r="7" spans="1:24" ht="15" x14ac:dyDescent="0.25">
      <c r="A7" s="2"/>
      <c r="B7" s="2"/>
      <c r="C7" s="2"/>
      <c r="D7" s="2"/>
      <c r="E7" s="2"/>
      <c r="F7" s="2"/>
      <c r="G7" s="2"/>
      <c r="H7" s="2"/>
      <c r="I7" s="2"/>
      <c r="J7" s="2"/>
      <c r="M7" s="67" t="s">
        <v>378</v>
      </c>
      <c r="N7" s="66"/>
      <c r="O7" s="66"/>
      <c r="P7" s="66"/>
      <c r="Q7" s="66"/>
      <c r="R7" s="66"/>
      <c r="S7" s="66"/>
      <c r="T7" s="231"/>
      <c r="U7" s="231"/>
      <c r="V7" s="231"/>
      <c r="W7" s="230"/>
      <c r="X7" s="230"/>
    </row>
    <row r="8" spans="1:24" ht="15" customHeight="1" x14ac:dyDescent="0.25">
      <c r="A8" s="107" t="s">
        <v>205</v>
      </c>
      <c r="B8" s="107"/>
      <c r="C8" s="107"/>
      <c r="D8" s="107"/>
      <c r="E8" s="107"/>
      <c r="F8" s="107"/>
      <c r="G8" s="107"/>
      <c r="H8" s="107"/>
      <c r="I8" s="2"/>
      <c r="J8" s="2"/>
      <c r="M8" s="174"/>
      <c r="N8" s="174"/>
      <c r="O8" s="174"/>
      <c r="P8" s="174"/>
      <c r="Q8" s="174"/>
      <c r="R8" s="174"/>
      <c r="S8" s="141"/>
      <c r="T8" s="262"/>
      <c r="U8" s="231"/>
      <c r="V8" s="231"/>
      <c r="W8" s="230"/>
      <c r="X8" s="230"/>
    </row>
    <row r="9" spans="1:24" ht="15" x14ac:dyDescent="0.25">
      <c r="A9" s="107"/>
      <c r="B9" s="107"/>
      <c r="C9" s="107"/>
      <c r="D9" s="107"/>
      <c r="E9" s="107"/>
      <c r="F9" s="107"/>
      <c r="G9" s="107"/>
      <c r="H9" s="107"/>
      <c r="I9" s="2"/>
      <c r="J9" s="2"/>
      <c r="M9" s="142" t="s">
        <v>535</v>
      </c>
      <c r="N9" s="66"/>
      <c r="O9" s="66"/>
      <c r="P9" s="66"/>
      <c r="Q9" s="66"/>
      <c r="R9" s="66"/>
      <c r="S9" s="66"/>
      <c r="T9" s="231"/>
      <c r="U9" s="231"/>
      <c r="V9" s="231"/>
      <c r="W9" s="230"/>
      <c r="X9" s="230"/>
    </row>
    <row r="10" spans="1:24" ht="16.5" x14ac:dyDescent="0.3">
      <c r="A10" s="2"/>
      <c r="B10" s="2"/>
      <c r="C10" s="2"/>
      <c r="D10" s="2"/>
      <c r="E10" s="2"/>
      <c r="F10" s="2"/>
      <c r="G10" s="2"/>
      <c r="H10" s="2"/>
      <c r="I10" s="2"/>
      <c r="J10" s="2"/>
      <c r="M10" s="141"/>
      <c r="N10" s="263" t="s">
        <v>379</v>
      </c>
      <c r="O10" s="179" t="s">
        <v>440</v>
      </c>
      <c r="P10" s="91">
        <v>120</v>
      </c>
      <c r="Q10" s="141" t="s">
        <v>318</v>
      </c>
      <c r="R10" s="141"/>
      <c r="S10" s="141"/>
      <c r="T10" s="262"/>
      <c r="U10" s="231"/>
      <c r="V10" s="231"/>
      <c r="W10" s="230"/>
      <c r="X10" s="230"/>
    </row>
    <row r="11" spans="1:24" ht="16.5" x14ac:dyDescent="0.3">
      <c r="A11" s="2"/>
      <c r="B11" s="2" t="s">
        <v>206</v>
      </c>
      <c r="C11" s="2"/>
      <c r="D11" s="2"/>
      <c r="E11" s="2"/>
      <c r="F11" s="2"/>
      <c r="G11" s="2"/>
      <c r="H11" s="2"/>
      <c r="I11" s="2"/>
      <c r="J11" s="2"/>
      <c r="M11" s="66"/>
      <c r="N11" s="149" t="s">
        <v>380</v>
      </c>
      <c r="O11" s="179" t="s">
        <v>440</v>
      </c>
      <c r="P11" s="84">
        <v>250</v>
      </c>
      <c r="Q11" s="66" t="s">
        <v>318</v>
      </c>
      <c r="R11" s="66"/>
      <c r="S11" s="66"/>
      <c r="T11" s="231"/>
      <c r="U11" s="231"/>
      <c r="V11" s="231"/>
      <c r="W11" s="230"/>
      <c r="X11" s="230"/>
    </row>
    <row r="12" spans="1:24" ht="16.5" x14ac:dyDescent="0.3">
      <c r="A12" s="2"/>
      <c r="B12" s="2"/>
      <c r="C12" s="2"/>
      <c r="D12" s="2"/>
      <c r="E12" s="2"/>
      <c r="F12" s="2"/>
      <c r="G12" s="2"/>
      <c r="H12" s="2"/>
      <c r="I12" s="2"/>
      <c r="J12" s="2"/>
      <c r="M12" s="66"/>
      <c r="N12" s="149" t="s">
        <v>381</v>
      </c>
      <c r="O12" s="179" t="s">
        <v>440</v>
      </c>
      <c r="P12" s="143">
        <f>AVERAGE(P10:P11)</f>
        <v>185</v>
      </c>
      <c r="Q12" s="66" t="s">
        <v>318</v>
      </c>
      <c r="R12" s="66"/>
      <c r="S12" s="66"/>
      <c r="T12" s="231"/>
      <c r="U12" s="231"/>
      <c r="V12" s="231"/>
      <c r="W12" s="230"/>
      <c r="X12" s="230"/>
    </row>
    <row r="13" spans="1:24" ht="15" x14ac:dyDescent="0.25">
      <c r="A13" s="2"/>
      <c r="B13" s="2" t="s">
        <v>207</v>
      </c>
      <c r="C13" s="2">
        <f>AVERAGE(120,250)</f>
        <v>185</v>
      </c>
      <c r="D13" s="2" t="s">
        <v>318</v>
      </c>
      <c r="E13" s="2"/>
      <c r="F13" s="2"/>
      <c r="G13" s="2"/>
      <c r="H13" s="2"/>
      <c r="I13" s="2"/>
      <c r="J13" s="2"/>
      <c r="M13" s="66"/>
      <c r="N13" s="66"/>
      <c r="O13" s="66"/>
      <c r="P13" s="66"/>
      <c r="Q13" s="66"/>
      <c r="R13" s="66"/>
      <c r="S13" s="66"/>
      <c r="T13" s="231"/>
      <c r="U13" s="231"/>
      <c r="V13" s="231"/>
      <c r="W13" s="230"/>
      <c r="X13" s="230"/>
    </row>
    <row r="14" spans="1:24" ht="15" x14ac:dyDescent="0.25">
      <c r="A14" s="2"/>
      <c r="B14" s="2"/>
      <c r="C14" s="2"/>
      <c r="D14" s="2"/>
      <c r="E14" s="2"/>
      <c r="F14" s="2"/>
      <c r="G14" s="2"/>
      <c r="H14" s="2"/>
      <c r="I14" s="2"/>
      <c r="J14" s="2"/>
      <c r="M14" s="142" t="s">
        <v>557</v>
      </c>
      <c r="N14" s="66"/>
      <c r="O14" s="66"/>
      <c r="P14" s="66"/>
      <c r="Q14" s="66"/>
      <c r="R14" s="66"/>
      <c r="S14" s="66"/>
      <c r="T14" s="231"/>
      <c r="U14" s="231"/>
      <c r="V14" s="231"/>
      <c r="W14" s="230"/>
      <c r="X14" s="230"/>
    </row>
    <row r="15" spans="1:24" ht="15" x14ac:dyDescent="0.25">
      <c r="A15" s="2" t="s">
        <v>319</v>
      </c>
      <c r="B15" s="2"/>
      <c r="C15" s="2"/>
      <c r="D15" s="2"/>
      <c r="E15" s="2"/>
      <c r="F15" s="2"/>
      <c r="G15" s="2"/>
      <c r="H15" s="2"/>
      <c r="I15" s="2"/>
      <c r="J15" s="2"/>
      <c r="M15" s="66"/>
      <c r="N15" s="66"/>
      <c r="O15" s="66"/>
      <c r="P15" s="143"/>
      <c r="Q15" s="66"/>
      <c r="R15" s="66"/>
      <c r="S15" s="66"/>
      <c r="T15" s="231"/>
      <c r="U15" s="231"/>
      <c r="V15" s="231"/>
      <c r="W15" s="230"/>
      <c r="X15" s="230"/>
    </row>
    <row r="16" spans="1:24" ht="15" x14ac:dyDescent="0.25">
      <c r="A16" s="2"/>
      <c r="B16" s="2"/>
      <c r="C16" s="2"/>
      <c r="D16" s="2"/>
      <c r="E16" s="2"/>
      <c r="F16" s="2"/>
      <c r="G16" s="2"/>
      <c r="H16" s="2"/>
      <c r="I16" s="2"/>
      <c r="J16" s="2"/>
      <c r="M16" s="66"/>
      <c r="N16" s="149" t="s">
        <v>172</v>
      </c>
      <c r="O16" s="179" t="s">
        <v>440</v>
      </c>
      <c r="P16" s="84">
        <v>7.5999999999999998E-2</v>
      </c>
      <c r="Q16" s="66" t="s">
        <v>208</v>
      </c>
      <c r="R16" s="66"/>
      <c r="S16" s="66"/>
      <c r="T16" s="231"/>
      <c r="U16" s="231"/>
      <c r="V16" s="231"/>
      <c r="W16" s="230"/>
      <c r="X16" s="230"/>
    </row>
    <row r="17" spans="1:24" ht="15" x14ac:dyDescent="0.25">
      <c r="A17" s="2"/>
      <c r="B17" s="2" t="s">
        <v>172</v>
      </c>
      <c r="C17" s="2">
        <v>7.5999999999999998E-2</v>
      </c>
      <c r="D17" s="2" t="s">
        <v>208</v>
      </c>
      <c r="E17" s="2"/>
      <c r="F17" s="2"/>
      <c r="G17" s="2"/>
      <c r="H17" s="2"/>
      <c r="I17" s="2"/>
      <c r="J17" s="2"/>
      <c r="M17" s="66"/>
      <c r="N17" s="149" t="s">
        <v>167</v>
      </c>
      <c r="O17" s="179" t="s">
        <v>440</v>
      </c>
      <c r="P17" s="84">
        <v>1.8540000000000001</v>
      </c>
      <c r="Q17" s="66"/>
      <c r="R17" s="66"/>
      <c r="S17" s="66"/>
      <c r="T17" s="231"/>
      <c r="U17" s="231"/>
      <c r="V17" s="231"/>
      <c r="W17" s="230"/>
      <c r="X17" s="230"/>
    </row>
    <row r="18" spans="1:24" ht="15" x14ac:dyDescent="0.25">
      <c r="A18" s="2"/>
      <c r="B18" s="2" t="s">
        <v>167</v>
      </c>
      <c r="C18" s="2">
        <v>1.8540000000000001</v>
      </c>
      <c r="D18" s="2"/>
      <c r="E18" s="2"/>
      <c r="F18" s="2"/>
      <c r="G18" s="2"/>
      <c r="H18" s="2"/>
      <c r="I18" s="2"/>
      <c r="J18" s="2"/>
      <c r="M18" s="66"/>
      <c r="N18" s="149" t="s">
        <v>519</v>
      </c>
      <c r="O18" s="179" t="s">
        <v>440</v>
      </c>
      <c r="P18" s="199">
        <f>P17*P16</f>
        <v>0.140904</v>
      </c>
      <c r="Q18" s="66"/>
      <c r="R18" s="66"/>
      <c r="S18" s="66"/>
      <c r="T18" s="231"/>
      <c r="U18" s="231"/>
      <c r="V18" s="231"/>
      <c r="W18" s="230"/>
      <c r="X18" s="230"/>
    </row>
    <row r="19" spans="1:24" ht="15" x14ac:dyDescent="0.25">
      <c r="A19" s="2"/>
      <c r="B19" s="2"/>
      <c r="C19" s="2"/>
      <c r="D19" s="2"/>
      <c r="E19" s="2"/>
      <c r="F19" s="2"/>
      <c r="G19" s="2"/>
      <c r="H19" s="2"/>
      <c r="I19" s="2"/>
      <c r="J19" s="2"/>
      <c r="M19" s="66"/>
      <c r="N19" s="149" t="s">
        <v>171</v>
      </c>
      <c r="O19" s="179" t="s">
        <v>440</v>
      </c>
      <c r="P19" s="84">
        <v>0.8</v>
      </c>
      <c r="Q19" s="66"/>
      <c r="R19" s="66" t="s">
        <v>521</v>
      </c>
      <c r="S19" s="66"/>
      <c r="T19" s="231"/>
      <c r="U19" s="231"/>
      <c r="V19" s="231"/>
      <c r="W19" s="230"/>
      <c r="X19" s="230"/>
    </row>
    <row r="20" spans="1:24" ht="16.5" x14ac:dyDescent="0.3">
      <c r="A20" s="2" t="s">
        <v>589</v>
      </c>
      <c r="B20" s="2"/>
      <c r="C20" s="2"/>
      <c r="D20" s="2"/>
      <c r="E20" s="2"/>
      <c r="F20" s="2"/>
      <c r="G20" s="2"/>
      <c r="H20" s="2"/>
      <c r="I20" s="2"/>
      <c r="J20" s="2"/>
      <c r="M20" s="178"/>
      <c r="N20" s="149" t="s">
        <v>520</v>
      </c>
      <c r="O20" s="179" t="s">
        <v>440</v>
      </c>
      <c r="P20" s="82">
        <f>'Example 19-2'!O118</f>
        <v>21</v>
      </c>
      <c r="Q20" s="66" t="s">
        <v>49</v>
      </c>
      <c r="R20" s="66"/>
      <c r="S20" s="141"/>
      <c r="T20" s="262"/>
      <c r="U20" s="262"/>
      <c r="V20" s="231"/>
      <c r="W20" s="230"/>
      <c r="X20" s="230"/>
    </row>
    <row r="21" spans="1:24" ht="16.5" x14ac:dyDescent="0.3">
      <c r="A21" s="2"/>
      <c r="B21" s="2"/>
      <c r="C21" s="2"/>
      <c r="D21" s="2"/>
      <c r="E21" s="2"/>
      <c r="F21" s="2"/>
      <c r="G21" s="2"/>
      <c r="H21" s="2"/>
      <c r="I21" s="2"/>
      <c r="J21" s="2"/>
      <c r="M21" s="141"/>
      <c r="N21" s="149" t="s">
        <v>382</v>
      </c>
      <c r="O21" s="179" t="s">
        <v>440</v>
      </c>
      <c r="P21" s="188">
        <f>(P20-1)/P19</f>
        <v>25</v>
      </c>
      <c r="Q21" s="66" t="s">
        <v>41</v>
      </c>
      <c r="R21" s="66" t="s">
        <v>522</v>
      </c>
      <c r="S21" s="141"/>
      <c r="T21" s="262"/>
      <c r="U21" s="262"/>
      <c r="V21" s="231"/>
      <c r="W21" s="230"/>
      <c r="X21" s="230"/>
    </row>
    <row r="22" spans="1:24" ht="15" x14ac:dyDescent="0.25">
      <c r="A22" s="2"/>
      <c r="B22" s="2" t="s">
        <v>209</v>
      </c>
      <c r="C22" s="35">
        <f>C18*C17</f>
        <v>0.140904</v>
      </c>
      <c r="D22" s="2"/>
      <c r="E22" s="2"/>
      <c r="F22" s="2"/>
      <c r="G22" s="2"/>
      <c r="H22" s="2"/>
      <c r="I22" s="2"/>
      <c r="J22" s="2"/>
      <c r="M22" s="66"/>
      <c r="N22" s="140"/>
      <c r="O22" s="140"/>
      <c r="P22" s="140"/>
      <c r="Q22" s="140"/>
      <c r="R22" s="140"/>
      <c r="S22" s="66"/>
      <c r="T22" s="231"/>
      <c r="U22" s="231"/>
      <c r="V22" s="231"/>
      <c r="W22" s="230"/>
      <c r="X22" s="230"/>
    </row>
    <row r="23" spans="1:24" ht="15" x14ac:dyDescent="0.25">
      <c r="A23" s="2"/>
      <c r="B23" s="2"/>
      <c r="C23" s="2"/>
      <c r="D23" s="2"/>
      <c r="E23" s="2"/>
      <c r="F23" s="2"/>
      <c r="G23" s="2"/>
      <c r="H23" s="2"/>
      <c r="I23" s="2"/>
      <c r="J23" s="2"/>
      <c r="M23" s="231"/>
      <c r="N23" s="230"/>
      <c r="O23" s="230"/>
      <c r="P23" s="230"/>
      <c r="Q23" s="230"/>
      <c r="R23" s="230"/>
      <c r="S23" s="231"/>
      <c r="T23" s="231"/>
      <c r="U23" s="231"/>
      <c r="V23" s="231"/>
      <c r="W23" s="230"/>
      <c r="X23" s="230"/>
    </row>
    <row r="24" spans="1:24" ht="15" x14ac:dyDescent="0.25">
      <c r="A24" s="107" t="s">
        <v>210</v>
      </c>
      <c r="B24" s="107"/>
      <c r="C24" s="107"/>
      <c r="D24" s="107"/>
      <c r="E24" s="107"/>
      <c r="F24" s="107"/>
      <c r="G24" s="107"/>
      <c r="H24" s="107"/>
      <c r="I24" s="107"/>
      <c r="J24" s="107"/>
      <c r="M24" s="231"/>
      <c r="N24" s="230"/>
      <c r="O24" s="230"/>
      <c r="P24" s="230"/>
      <c r="Q24" s="230"/>
      <c r="R24" s="230"/>
      <c r="S24" s="231"/>
      <c r="T24" s="231"/>
      <c r="U24" s="231"/>
      <c r="V24" s="231"/>
      <c r="W24" s="230"/>
      <c r="X24" s="230"/>
    </row>
    <row r="25" spans="1:24" ht="15" x14ac:dyDescent="0.25">
      <c r="A25" s="107"/>
      <c r="B25" s="107"/>
      <c r="C25" s="107"/>
      <c r="D25" s="107"/>
      <c r="E25" s="107"/>
      <c r="F25" s="107"/>
      <c r="G25" s="107"/>
      <c r="H25" s="107"/>
      <c r="I25" s="107"/>
      <c r="J25" s="107"/>
      <c r="M25" s="231"/>
      <c r="N25" s="231"/>
      <c r="O25" s="231"/>
      <c r="P25" s="231"/>
      <c r="Q25" s="231"/>
      <c r="R25" s="231"/>
      <c r="S25" s="231"/>
      <c r="T25" s="231"/>
      <c r="U25" s="231"/>
      <c r="V25" s="231"/>
      <c r="W25" s="230"/>
      <c r="X25" s="230"/>
    </row>
    <row r="26" spans="1:24" ht="12.75" customHeight="1" x14ac:dyDescent="0.25">
      <c r="A26" s="2"/>
      <c r="B26" s="2"/>
      <c r="C26" s="2"/>
      <c r="D26" s="2"/>
      <c r="E26" s="2"/>
      <c r="F26" s="2"/>
      <c r="G26" s="2"/>
      <c r="H26" s="2"/>
      <c r="I26" s="2"/>
      <c r="J26" s="2"/>
      <c r="M26" s="231"/>
      <c r="N26" s="231"/>
      <c r="O26" s="231"/>
      <c r="P26" s="231"/>
      <c r="Q26" s="231"/>
      <c r="R26" s="231"/>
      <c r="S26" s="231"/>
      <c r="T26" s="231"/>
      <c r="U26" s="231"/>
      <c r="V26" s="262"/>
      <c r="W26" s="230"/>
      <c r="X26" s="230"/>
    </row>
    <row r="27" spans="1:24" ht="16.5" customHeight="1" x14ac:dyDescent="0.3">
      <c r="A27" s="2"/>
      <c r="B27" s="2" t="s">
        <v>383</v>
      </c>
      <c r="C27" s="2"/>
      <c r="D27" s="2"/>
      <c r="E27" s="2"/>
      <c r="F27" s="2"/>
      <c r="G27" s="2"/>
      <c r="H27" s="2"/>
      <c r="I27" s="2"/>
      <c r="J27" s="2"/>
      <c r="M27" s="231"/>
      <c r="N27" s="231"/>
      <c r="O27" s="231"/>
      <c r="P27" s="231"/>
      <c r="Q27" s="231"/>
      <c r="R27" s="231"/>
      <c r="S27" s="231"/>
      <c r="T27" s="231"/>
      <c r="U27" s="231"/>
      <c r="V27" s="262"/>
      <c r="W27" s="230"/>
      <c r="X27" s="230"/>
    </row>
    <row r="28" spans="1:24" ht="15" x14ac:dyDescent="0.25">
      <c r="A28" s="2"/>
      <c r="B28" s="2"/>
      <c r="C28" s="2"/>
      <c r="D28" s="2"/>
      <c r="E28" s="2"/>
      <c r="F28" s="2"/>
      <c r="G28" s="2"/>
      <c r="H28" s="2"/>
      <c r="I28" s="2"/>
      <c r="J28" s="2"/>
      <c r="M28" s="231"/>
      <c r="N28" s="231"/>
      <c r="O28" s="231"/>
      <c r="P28" s="231"/>
      <c r="Q28" s="231"/>
      <c r="R28" s="231"/>
      <c r="S28" s="231"/>
      <c r="T28" s="231"/>
      <c r="U28" s="231"/>
      <c r="V28" s="231"/>
      <c r="W28" s="230"/>
      <c r="X28" s="230"/>
    </row>
    <row r="29" spans="1:24" ht="16.5" x14ac:dyDescent="0.3">
      <c r="A29" s="2"/>
      <c r="B29" s="2" t="s">
        <v>382</v>
      </c>
      <c r="C29" s="2">
        <f>(21-1)/0.8</f>
        <v>25</v>
      </c>
      <c r="D29" s="2"/>
      <c r="E29" s="2"/>
      <c r="F29" s="2"/>
      <c r="G29" s="2"/>
      <c r="H29" s="2"/>
      <c r="I29" s="2"/>
      <c r="J29" s="2"/>
      <c r="M29" s="231"/>
      <c r="N29" s="231"/>
      <c r="O29" s="231"/>
      <c r="P29" s="231"/>
      <c r="Q29" s="231"/>
      <c r="R29" s="231"/>
      <c r="S29" s="231"/>
      <c r="T29" s="231"/>
      <c r="U29" s="231"/>
      <c r="V29" s="231"/>
      <c r="W29" s="230"/>
      <c r="X29" s="230"/>
    </row>
    <row r="30" spans="1:24" ht="15" x14ac:dyDescent="0.25">
      <c r="M30" s="69"/>
      <c r="N30" s="231"/>
      <c r="O30" s="231"/>
      <c r="P30" s="231"/>
      <c r="Q30" s="231"/>
      <c r="R30" s="231"/>
      <c r="S30" s="231"/>
      <c r="T30" s="231"/>
      <c r="U30" s="231"/>
      <c r="V30" s="231"/>
      <c r="W30" s="230"/>
      <c r="X30" s="230"/>
    </row>
    <row r="31" spans="1:24" ht="15" x14ac:dyDescent="0.25">
      <c r="M31" s="231"/>
      <c r="N31" s="231"/>
      <c r="O31" s="231"/>
      <c r="P31" s="231"/>
      <c r="Q31" s="231"/>
      <c r="R31" s="231"/>
      <c r="S31" s="231"/>
      <c r="T31" s="231"/>
      <c r="U31" s="231"/>
      <c r="V31" s="231"/>
      <c r="W31" s="230"/>
      <c r="X31" s="230"/>
    </row>
    <row r="32" spans="1:24" ht="15" x14ac:dyDescent="0.25">
      <c r="M32" s="231"/>
      <c r="N32" s="230"/>
      <c r="O32" s="230"/>
      <c r="P32" s="230"/>
      <c r="Q32" s="231"/>
      <c r="R32" s="231"/>
      <c r="S32" s="231"/>
      <c r="T32" s="231"/>
      <c r="U32" s="230"/>
      <c r="V32" s="230"/>
      <c r="W32" s="230"/>
      <c r="X32" s="230"/>
    </row>
    <row r="33" spans="1:24" ht="15" x14ac:dyDescent="0.25">
      <c r="M33" s="231"/>
      <c r="N33" s="231"/>
      <c r="O33" s="231"/>
      <c r="P33" s="231"/>
      <c r="Q33" s="231"/>
      <c r="R33" s="231"/>
      <c r="S33" s="231"/>
      <c r="T33" s="231"/>
      <c r="U33" s="230"/>
      <c r="V33" s="230"/>
      <c r="W33" s="230"/>
      <c r="X33" s="230"/>
    </row>
    <row r="34" spans="1:24" ht="15" x14ac:dyDescent="0.25">
      <c r="M34" s="231"/>
      <c r="N34" s="231"/>
      <c r="O34" s="231"/>
      <c r="P34" s="231"/>
      <c r="Q34" s="231"/>
      <c r="R34" s="231"/>
      <c r="S34" s="231"/>
      <c r="T34" s="231"/>
      <c r="U34" s="230"/>
      <c r="V34" s="230"/>
      <c r="W34" s="230"/>
      <c r="X34" s="230"/>
    </row>
    <row r="35" spans="1:24" ht="15" x14ac:dyDescent="0.25">
      <c r="M35" s="231"/>
      <c r="N35" s="231"/>
      <c r="O35" s="246"/>
      <c r="P35" s="264"/>
      <c r="Q35" s="246"/>
      <c r="R35" s="231"/>
      <c r="S35" s="231"/>
      <c r="T35" s="231"/>
      <c r="U35" s="230"/>
      <c r="V35" s="230"/>
      <c r="W35" s="230"/>
      <c r="X35" s="230"/>
    </row>
    <row r="36" spans="1:24" ht="15" x14ac:dyDescent="0.25">
      <c r="M36" s="231"/>
      <c r="N36" s="231"/>
      <c r="O36" s="231"/>
      <c r="P36" s="231"/>
      <c r="Q36" s="231"/>
      <c r="R36" s="231"/>
      <c r="S36" s="231"/>
      <c r="T36" s="231"/>
      <c r="U36" s="230"/>
      <c r="V36" s="230"/>
      <c r="W36" s="230"/>
      <c r="X36" s="230"/>
    </row>
    <row r="37" spans="1:24" ht="15" x14ac:dyDescent="0.25">
      <c r="M37" s="231"/>
      <c r="N37" s="230"/>
      <c r="O37" s="230"/>
      <c r="P37" s="231"/>
      <c r="Q37" s="231"/>
      <c r="R37" s="231"/>
      <c r="S37" s="231"/>
      <c r="T37" s="231"/>
      <c r="U37" s="230"/>
      <c r="V37" s="230"/>
      <c r="W37" s="230"/>
      <c r="X37" s="230"/>
    </row>
    <row r="38" spans="1:24" x14ac:dyDescent="0.2">
      <c r="M38" s="230"/>
      <c r="N38" s="230"/>
      <c r="O38" s="230"/>
      <c r="P38" s="230"/>
      <c r="Q38" s="230"/>
      <c r="R38" s="230"/>
      <c r="S38" s="230"/>
      <c r="T38" s="230"/>
      <c r="U38" s="230"/>
      <c r="V38" s="230"/>
      <c r="W38" s="230"/>
      <c r="X38" s="230"/>
    </row>
    <row r="40" spans="1:24" ht="15" x14ac:dyDescent="0.25">
      <c r="A40" s="129" t="s">
        <v>723</v>
      </c>
    </row>
    <row r="41" spans="1:24" ht="15" x14ac:dyDescent="0.25">
      <c r="A41" s="129" t="s">
        <v>724</v>
      </c>
    </row>
    <row r="42" spans="1:24" ht="15" x14ac:dyDescent="0.25">
      <c r="A42" s="129" t="s">
        <v>725</v>
      </c>
    </row>
    <row r="43" spans="1:24" ht="15" x14ac:dyDescent="0.25">
      <c r="A43" s="129" t="s">
        <v>684</v>
      </c>
    </row>
    <row r="44" spans="1:24" ht="15" x14ac:dyDescent="0.25">
      <c r="A44" s="130" t="s">
        <v>726</v>
      </c>
    </row>
  </sheetData>
  <sheetProtection password="E156" sheet="1" objects="1" scenarios="1"/>
  <mergeCells count="3">
    <mergeCell ref="A8:H9"/>
    <mergeCell ref="A24:J25"/>
    <mergeCell ref="M8:R8"/>
  </mergeCells>
  <phoneticPr fontId="3" type="noConversion"/>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4"/>
  <sheetViews>
    <sheetView zoomScale="80" zoomScaleNormal="80" workbookViewId="0">
      <selection activeCell="P40" sqref="P40"/>
    </sheetView>
  </sheetViews>
  <sheetFormatPr defaultColWidth="9.140625" defaultRowHeight="12.75" x14ac:dyDescent="0.2"/>
  <cols>
    <col min="1" max="1" width="18.85546875" style="68" customWidth="1"/>
    <col min="2" max="10" width="9.140625" style="68"/>
    <col min="11" max="11" width="12.42578125" style="68" customWidth="1"/>
    <col min="12" max="13" width="9.140625" style="68"/>
    <col min="14" max="14" width="29.85546875" style="68" customWidth="1"/>
    <col min="15" max="16384" width="9.140625" style="68"/>
  </cols>
  <sheetData>
    <row r="1" spans="1:25" ht="15" x14ac:dyDescent="0.25">
      <c r="A1" s="128" t="s">
        <v>717</v>
      </c>
    </row>
    <row r="5" spans="1:25" ht="15" x14ac:dyDescent="0.25">
      <c r="A5" s="1" t="s">
        <v>386</v>
      </c>
      <c r="B5" s="2"/>
      <c r="C5" s="2"/>
      <c r="D5" s="2"/>
      <c r="E5" s="2"/>
      <c r="F5" s="2"/>
      <c r="G5" s="2"/>
      <c r="H5" s="2"/>
      <c r="I5" s="2"/>
      <c r="J5" s="54"/>
      <c r="K5" s="54"/>
      <c r="N5" s="139" t="s">
        <v>456</v>
      </c>
      <c r="O5" s="66"/>
      <c r="P5" s="66"/>
      <c r="Q5" s="66"/>
      <c r="R5" s="66"/>
      <c r="S5" s="66"/>
      <c r="T5" s="66"/>
      <c r="U5" s="66"/>
      <c r="V5" s="66"/>
      <c r="W5" s="140"/>
      <c r="X5" s="140"/>
      <c r="Y5" s="140"/>
    </row>
    <row r="6" spans="1:25" ht="12.75" customHeight="1" x14ac:dyDescent="0.25">
      <c r="A6" s="107" t="s">
        <v>211</v>
      </c>
      <c r="B6" s="107"/>
      <c r="C6" s="107"/>
      <c r="D6" s="107"/>
      <c r="E6" s="107"/>
      <c r="F6" s="107"/>
      <c r="G6" s="107"/>
      <c r="H6" s="107"/>
      <c r="I6" s="107"/>
      <c r="J6" s="54"/>
      <c r="K6" s="54"/>
      <c r="N6" s="144" t="s">
        <v>387</v>
      </c>
      <c r="O6" s="141"/>
      <c r="P6" s="141"/>
      <c r="Q6" s="141"/>
      <c r="R6" s="141"/>
      <c r="S6" s="141"/>
      <c r="T6" s="141"/>
      <c r="U6" s="141"/>
      <c r="V6" s="141"/>
      <c r="W6" s="140"/>
      <c r="X6" s="140"/>
      <c r="Y6" s="140"/>
    </row>
    <row r="7" spans="1:25" ht="17.25" customHeight="1" x14ac:dyDescent="0.25">
      <c r="A7" s="107"/>
      <c r="B7" s="107"/>
      <c r="C7" s="107"/>
      <c r="D7" s="107"/>
      <c r="E7" s="107"/>
      <c r="F7" s="107"/>
      <c r="G7" s="107"/>
      <c r="H7" s="107"/>
      <c r="I7" s="107"/>
      <c r="J7" s="54"/>
      <c r="K7" s="54"/>
      <c r="N7" s="178" t="s">
        <v>376</v>
      </c>
      <c r="O7" s="141"/>
      <c r="P7" s="141"/>
      <c r="Q7" s="141"/>
      <c r="R7" s="141"/>
      <c r="S7" s="141"/>
      <c r="T7" s="141"/>
      <c r="U7" s="141"/>
      <c r="V7" s="141"/>
      <c r="W7" s="140"/>
      <c r="X7" s="140"/>
      <c r="Y7" s="140"/>
    </row>
    <row r="8" spans="1:25" ht="15" x14ac:dyDescent="0.25">
      <c r="A8" s="85"/>
      <c r="B8" s="85"/>
      <c r="C8" s="85"/>
      <c r="D8" s="85"/>
      <c r="E8" s="85"/>
      <c r="F8" s="85"/>
      <c r="G8" s="85"/>
      <c r="H8" s="85"/>
      <c r="I8" s="85"/>
      <c r="J8" s="54"/>
      <c r="K8" s="54"/>
      <c r="N8" s="192"/>
      <c r="O8" s="192"/>
      <c r="P8" s="192"/>
      <c r="Q8" s="192"/>
      <c r="R8" s="192"/>
      <c r="S8" s="192"/>
      <c r="T8" s="192"/>
      <c r="U8" s="192"/>
      <c r="V8" s="192"/>
      <c r="W8" s="140"/>
      <c r="X8" s="140"/>
      <c r="Y8" s="140"/>
    </row>
    <row r="9" spans="1:25" ht="18" x14ac:dyDescent="0.25">
      <c r="A9" s="2" t="s">
        <v>60</v>
      </c>
      <c r="B9" s="101">
        <v>70418</v>
      </c>
      <c r="C9" s="2" t="s">
        <v>309</v>
      </c>
      <c r="D9" s="35">
        <f>B9/3600</f>
        <v>19.560555555555556</v>
      </c>
      <c r="E9" s="2" t="s">
        <v>310</v>
      </c>
      <c r="F9" s="2"/>
      <c r="G9" s="2"/>
      <c r="H9" s="2"/>
      <c r="I9" s="2"/>
      <c r="J9" s="54"/>
      <c r="K9" s="54"/>
      <c r="N9" s="265"/>
      <c r="O9" s="265"/>
      <c r="P9" s="265"/>
      <c r="Q9" s="265"/>
      <c r="R9" s="265"/>
      <c r="S9" s="265"/>
      <c r="T9" s="66"/>
      <c r="U9" s="66"/>
      <c r="V9" s="66"/>
      <c r="W9" s="140"/>
      <c r="X9" s="140"/>
      <c r="Y9" s="140"/>
    </row>
    <row r="10" spans="1:25" ht="18" x14ac:dyDescent="0.25">
      <c r="A10" s="2" t="s">
        <v>61</v>
      </c>
      <c r="B10" s="2">
        <v>3</v>
      </c>
      <c r="C10" s="2" t="s">
        <v>311</v>
      </c>
      <c r="D10" s="2"/>
      <c r="E10" s="2"/>
      <c r="F10" s="2"/>
      <c r="G10" s="2"/>
      <c r="H10" s="2"/>
      <c r="I10" s="2"/>
      <c r="J10" s="54"/>
      <c r="K10" s="54"/>
      <c r="N10" s="265"/>
      <c r="O10" s="265"/>
      <c r="P10" s="265"/>
      <c r="Q10" s="265"/>
      <c r="R10" s="265"/>
      <c r="S10" s="66"/>
      <c r="T10" s="66"/>
      <c r="U10" s="66"/>
      <c r="V10" s="66"/>
      <c r="W10" s="140"/>
      <c r="X10" s="140"/>
      <c r="Y10" s="140"/>
    </row>
    <row r="11" spans="1:25" ht="15" x14ac:dyDescent="0.25">
      <c r="A11" s="2" t="s">
        <v>62</v>
      </c>
      <c r="B11" s="101">
        <v>1190</v>
      </c>
      <c r="C11" s="2" t="s">
        <v>63</v>
      </c>
      <c r="D11" s="2"/>
      <c r="E11" s="2"/>
      <c r="F11" s="2"/>
      <c r="G11" s="2"/>
      <c r="H11" s="2"/>
      <c r="I11" s="2"/>
      <c r="J11" s="54"/>
      <c r="K11" s="54"/>
      <c r="N11" s="142" t="s">
        <v>535</v>
      </c>
      <c r="O11" s="265"/>
      <c r="P11" s="265"/>
      <c r="Q11" s="265"/>
      <c r="R11" s="265"/>
      <c r="S11" s="66"/>
      <c r="T11" s="66"/>
      <c r="U11" s="66"/>
      <c r="V11" s="66"/>
      <c r="W11" s="140"/>
      <c r="X11" s="140"/>
      <c r="Y11" s="140"/>
    </row>
    <row r="12" spans="1:25" ht="18" x14ac:dyDescent="0.25">
      <c r="A12" s="2" t="s">
        <v>64</v>
      </c>
      <c r="B12" s="2">
        <v>28.8</v>
      </c>
      <c r="C12" s="2" t="s">
        <v>311</v>
      </c>
      <c r="D12" s="2"/>
      <c r="E12" s="2"/>
      <c r="F12" s="2"/>
      <c r="G12" s="2"/>
      <c r="H12" s="2"/>
      <c r="I12" s="2"/>
      <c r="J12" s="54"/>
      <c r="K12" s="54"/>
      <c r="N12" s="149" t="s">
        <v>558</v>
      </c>
      <c r="O12" s="266" t="s">
        <v>440</v>
      </c>
      <c r="P12" s="75">
        <f>'Example 19-3'!N10</f>
        <v>70418</v>
      </c>
      <c r="Q12" s="66" t="s">
        <v>309</v>
      </c>
      <c r="R12" s="265"/>
      <c r="S12" s="66"/>
      <c r="T12" s="66"/>
      <c r="U12" s="66"/>
      <c r="V12" s="66"/>
      <c r="W12" s="140"/>
      <c r="X12" s="140"/>
      <c r="Y12" s="140"/>
    </row>
    <row r="13" spans="1:25" ht="18" x14ac:dyDescent="0.25">
      <c r="A13" s="2" t="s">
        <v>65</v>
      </c>
      <c r="B13" s="2">
        <v>3.3</v>
      </c>
      <c r="C13" s="2" t="s">
        <v>66</v>
      </c>
      <c r="D13" s="2"/>
      <c r="E13" s="2"/>
      <c r="F13" s="2"/>
      <c r="G13" s="2"/>
      <c r="H13" s="2"/>
      <c r="I13" s="2"/>
      <c r="J13" s="54"/>
      <c r="K13" s="54"/>
      <c r="N13" s="267"/>
      <c r="O13" s="266" t="s">
        <v>440</v>
      </c>
      <c r="P13" s="199">
        <f>P12/3600</f>
        <v>19.560555555555556</v>
      </c>
      <c r="Q13" s="66" t="s">
        <v>310</v>
      </c>
      <c r="R13" s="66"/>
      <c r="S13" s="66"/>
      <c r="T13" s="66"/>
      <c r="U13" s="66"/>
      <c r="V13" s="66"/>
      <c r="W13" s="140"/>
      <c r="X13" s="140"/>
      <c r="Y13" s="140"/>
    </row>
    <row r="14" spans="1:25" ht="18" x14ac:dyDescent="0.25">
      <c r="A14" s="2" t="s">
        <v>67</v>
      </c>
      <c r="B14" s="2">
        <v>24</v>
      </c>
      <c r="C14" s="2" t="s">
        <v>68</v>
      </c>
      <c r="D14" s="2"/>
      <c r="E14" s="2"/>
      <c r="F14" s="2"/>
      <c r="G14" s="2"/>
      <c r="H14" s="2"/>
      <c r="I14" s="2"/>
      <c r="J14" s="54"/>
      <c r="K14" s="54"/>
      <c r="N14" s="149" t="s">
        <v>61</v>
      </c>
      <c r="O14" s="266" t="s">
        <v>440</v>
      </c>
      <c r="P14" s="71">
        <f>'Example 19-3'!N12</f>
        <v>3</v>
      </c>
      <c r="Q14" s="66" t="s">
        <v>311</v>
      </c>
      <c r="R14" s="66"/>
      <c r="S14" s="66"/>
      <c r="T14" s="66"/>
      <c r="U14" s="66"/>
      <c r="V14" s="66"/>
      <c r="W14" s="140"/>
      <c r="X14" s="140"/>
      <c r="Y14" s="140"/>
    </row>
    <row r="15" spans="1:25" ht="15" x14ac:dyDescent="0.25">
      <c r="A15" s="2"/>
      <c r="B15" s="2"/>
      <c r="C15" s="2"/>
      <c r="D15" s="2"/>
      <c r="E15" s="2"/>
      <c r="F15" s="2"/>
      <c r="G15" s="2"/>
      <c r="H15" s="2"/>
      <c r="I15" s="2"/>
      <c r="J15" s="54"/>
      <c r="K15" s="54"/>
      <c r="N15" s="149" t="s">
        <v>62</v>
      </c>
      <c r="O15" s="266" t="s">
        <v>440</v>
      </c>
      <c r="P15" s="75">
        <f>'Example 19-3'!N13</f>
        <v>1190</v>
      </c>
      <c r="Q15" s="66" t="s">
        <v>63</v>
      </c>
      <c r="R15" s="66"/>
      <c r="S15" s="66"/>
      <c r="T15" s="66"/>
      <c r="U15" s="66"/>
      <c r="V15" s="66"/>
      <c r="W15" s="140"/>
      <c r="X15" s="140"/>
      <c r="Y15" s="140"/>
    </row>
    <row r="16" spans="1:25" ht="18" x14ac:dyDescent="0.25">
      <c r="A16" s="2" t="s">
        <v>212</v>
      </c>
      <c r="B16" s="2"/>
      <c r="C16" s="2"/>
      <c r="D16" s="2"/>
      <c r="E16" s="2"/>
      <c r="F16" s="2"/>
      <c r="G16" s="2"/>
      <c r="H16" s="2"/>
      <c r="I16" s="2"/>
      <c r="J16" s="54"/>
      <c r="K16" s="54"/>
      <c r="N16" s="149" t="s">
        <v>64</v>
      </c>
      <c r="O16" s="266" t="s">
        <v>440</v>
      </c>
      <c r="P16" s="71">
        <f>'Example 19-3'!N14</f>
        <v>28.8</v>
      </c>
      <c r="Q16" s="66" t="s">
        <v>311</v>
      </c>
      <c r="R16" s="66"/>
      <c r="S16" s="66"/>
      <c r="T16" s="66"/>
      <c r="U16" s="66"/>
      <c r="V16" s="66"/>
      <c r="W16" s="140"/>
      <c r="X16" s="140"/>
      <c r="Y16" s="140"/>
    </row>
    <row r="17" spans="1:25" ht="15" x14ac:dyDescent="0.25">
      <c r="A17" s="2"/>
      <c r="B17" s="2"/>
      <c r="C17" s="2"/>
      <c r="D17" s="2"/>
      <c r="E17" s="2"/>
      <c r="F17" s="2"/>
      <c r="G17" s="2"/>
      <c r="H17" s="2"/>
      <c r="I17" s="2"/>
      <c r="J17" s="54"/>
      <c r="K17" s="54"/>
      <c r="N17" s="149" t="s">
        <v>65</v>
      </c>
      <c r="O17" s="266" t="s">
        <v>440</v>
      </c>
      <c r="P17" s="71">
        <f>'Example 19-3'!N15</f>
        <v>3.3</v>
      </c>
      <c r="Q17" s="66" t="s">
        <v>66</v>
      </c>
      <c r="R17" s="66"/>
      <c r="S17" s="66"/>
      <c r="T17" s="66"/>
      <c r="U17" s="66"/>
      <c r="V17" s="66"/>
      <c r="W17" s="140"/>
      <c r="X17" s="140"/>
      <c r="Y17" s="140"/>
    </row>
    <row r="18" spans="1:25" ht="15" x14ac:dyDescent="0.25">
      <c r="A18" s="2" t="s">
        <v>172</v>
      </c>
      <c r="B18" s="2">
        <v>7.5999999999999998E-2</v>
      </c>
      <c r="C18" s="2" t="s">
        <v>208</v>
      </c>
      <c r="D18" s="2"/>
      <c r="E18" s="2"/>
      <c r="F18" s="2"/>
      <c r="G18" s="2"/>
      <c r="H18" s="2"/>
      <c r="I18" s="2"/>
      <c r="J18" s="54"/>
      <c r="K18" s="54"/>
      <c r="N18" s="149" t="s">
        <v>67</v>
      </c>
      <c r="O18" s="266" t="s">
        <v>440</v>
      </c>
      <c r="P18" s="71">
        <f>'Example 19-3'!N16</f>
        <v>24</v>
      </c>
      <c r="Q18" s="66" t="s">
        <v>68</v>
      </c>
      <c r="R18" s="66"/>
      <c r="S18" s="66"/>
      <c r="T18" s="66"/>
      <c r="U18" s="66"/>
      <c r="V18" s="66"/>
      <c r="W18" s="140"/>
      <c r="X18" s="140"/>
      <c r="Y18" s="140"/>
    </row>
    <row r="19" spans="1:25" ht="16.5" x14ac:dyDescent="0.3">
      <c r="A19" s="2" t="s">
        <v>144</v>
      </c>
      <c r="B19" s="2">
        <v>0.5</v>
      </c>
      <c r="C19" s="2" t="s">
        <v>320</v>
      </c>
      <c r="D19" s="2"/>
      <c r="E19" s="2"/>
      <c r="F19" s="2"/>
      <c r="G19" s="2"/>
      <c r="H19" s="2"/>
      <c r="I19" s="2"/>
      <c r="J19" s="54"/>
      <c r="K19" s="54"/>
      <c r="N19" s="149" t="s">
        <v>172</v>
      </c>
      <c r="O19" s="179" t="s">
        <v>440</v>
      </c>
      <c r="P19" s="71">
        <f>'Example 19-4'!P16</f>
        <v>7.5999999999999998E-2</v>
      </c>
      <c r="Q19" s="66" t="s">
        <v>208</v>
      </c>
      <c r="R19" s="66"/>
      <c r="S19" s="66"/>
      <c r="T19" s="66"/>
      <c r="U19" s="66"/>
      <c r="V19" s="66"/>
      <c r="W19" s="140"/>
      <c r="X19" s="140"/>
      <c r="Y19" s="140"/>
    </row>
    <row r="20" spans="1:25" ht="16.5" x14ac:dyDescent="0.3">
      <c r="A20" s="2"/>
      <c r="B20" s="2"/>
      <c r="C20" s="2"/>
      <c r="D20" s="2"/>
      <c r="E20" s="2"/>
      <c r="F20" s="2"/>
      <c r="G20" s="2"/>
      <c r="H20" s="2"/>
      <c r="I20" s="2"/>
      <c r="J20" s="54"/>
      <c r="K20" s="54"/>
      <c r="N20" s="149" t="s">
        <v>144</v>
      </c>
      <c r="O20" s="179" t="s">
        <v>440</v>
      </c>
      <c r="P20" s="84">
        <v>0.5</v>
      </c>
      <c r="Q20" s="66" t="s">
        <v>320</v>
      </c>
      <c r="R20" s="66"/>
      <c r="S20" s="66"/>
      <c r="T20" s="66"/>
      <c r="U20" s="66"/>
      <c r="V20" s="66"/>
      <c r="W20" s="140"/>
      <c r="X20" s="140"/>
      <c r="Y20" s="140"/>
    </row>
    <row r="21" spans="1:25" ht="16.5" x14ac:dyDescent="0.3">
      <c r="A21" s="2" t="s">
        <v>590</v>
      </c>
      <c r="B21" s="2"/>
      <c r="C21" s="2"/>
      <c r="D21" s="2"/>
      <c r="E21" s="2"/>
      <c r="F21" s="2"/>
      <c r="G21" s="2"/>
      <c r="H21" s="2"/>
      <c r="I21" s="2"/>
      <c r="J21" s="54"/>
      <c r="K21" s="54"/>
      <c r="N21" s="149" t="s">
        <v>559</v>
      </c>
      <c r="O21" s="268" t="s">
        <v>440</v>
      </c>
      <c r="P21" s="269" t="s">
        <v>560</v>
      </c>
      <c r="Q21" s="269"/>
      <c r="R21" s="269"/>
      <c r="S21" s="66"/>
      <c r="T21" s="66"/>
      <c r="U21" s="66"/>
      <c r="V21" s="66"/>
      <c r="W21" s="140"/>
      <c r="X21" s="140"/>
      <c r="Y21" s="140"/>
    </row>
    <row r="22" spans="1:25" ht="15" x14ac:dyDescent="0.25">
      <c r="A22" s="2"/>
      <c r="B22" s="2"/>
      <c r="C22" s="2"/>
      <c r="D22" s="2"/>
      <c r="E22" s="2"/>
      <c r="F22" s="2"/>
      <c r="G22" s="2"/>
      <c r="H22" s="2"/>
      <c r="I22" s="2"/>
      <c r="J22" s="54"/>
      <c r="K22" s="54"/>
      <c r="N22" s="265"/>
      <c r="O22" s="66"/>
      <c r="P22" s="66"/>
      <c r="Q22" s="66"/>
      <c r="R22" s="66"/>
      <c r="S22" s="66"/>
      <c r="T22" s="66"/>
      <c r="U22" s="66"/>
      <c r="V22" s="66"/>
      <c r="W22" s="140"/>
      <c r="X22" s="140"/>
      <c r="Y22" s="140"/>
    </row>
    <row r="23" spans="1:25" ht="16.5" x14ac:dyDescent="0.3">
      <c r="A23" s="2"/>
      <c r="B23" s="2" t="s">
        <v>321</v>
      </c>
      <c r="C23" s="2">
        <v>26</v>
      </c>
      <c r="D23" s="2"/>
      <c r="E23" s="2"/>
      <c r="F23" s="2"/>
      <c r="G23" s="2"/>
      <c r="H23" s="2"/>
      <c r="I23" s="2"/>
      <c r="J23" s="54"/>
      <c r="K23" s="54"/>
      <c r="N23" s="66"/>
      <c r="O23" s="66"/>
      <c r="P23" s="66"/>
      <c r="Q23" s="66"/>
      <c r="R23" s="66"/>
      <c r="S23" s="66"/>
      <c r="T23" s="66"/>
      <c r="U23" s="66"/>
      <c r="V23" s="66"/>
      <c r="W23" s="140"/>
      <c r="X23" s="140"/>
      <c r="Y23" s="140"/>
    </row>
    <row r="24" spans="1:25" ht="15" x14ac:dyDescent="0.25">
      <c r="A24" s="2"/>
      <c r="B24" s="2"/>
      <c r="C24" s="2"/>
      <c r="D24" s="2"/>
      <c r="E24" s="2"/>
      <c r="F24" s="2"/>
      <c r="G24" s="2"/>
      <c r="H24" s="2"/>
      <c r="I24" s="2"/>
      <c r="J24" s="54"/>
      <c r="K24" s="54"/>
      <c r="N24" s="142" t="s">
        <v>564</v>
      </c>
      <c r="O24" s="143"/>
      <c r="P24" s="143"/>
      <c r="Q24" s="66"/>
      <c r="R24" s="66"/>
      <c r="S24" s="66"/>
      <c r="T24" s="66"/>
      <c r="U24" s="66"/>
      <c r="V24" s="66"/>
      <c r="W24" s="140"/>
      <c r="X24" s="140"/>
      <c r="Y24" s="140"/>
    </row>
    <row r="25" spans="1:25" ht="16.5" x14ac:dyDescent="0.3">
      <c r="A25" s="2" t="s">
        <v>591</v>
      </c>
      <c r="B25" s="2"/>
      <c r="C25" s="2"/>
      <c r="D25" s="2"/>
      <c r="E25" s="2"/>
      <c r="F25" s="2"/>
      <c r="G25" s="2"/>
      <c r="H25" s="2"/>
      <c r="I25" s="2"/>
      <c r="J25" s="54"/>
      <c r="K25" s="54"/>
      <c r="N25" s="149" t="s">
        <v>321</v>
      </c>
      <c r="O25" s="266" t="s">
        <v>440</v>
      </c>
      <c r="P25" s="84">
        <v>26</v>
      </c>
      <c r="Q25" s="66"/>
      <c r="R25" s="66" t="s">
        <v>523</v>
      </c>
      <c r="S25" s="66"/>
      <c r="T25" s="66"/>
      <c r="U25" s="66"/>
      <c r="V25" s="66"/>
      <c r="W25" s="140"/>
      <c r="X25" s="140"/>
      <c r="Y25" s="140"/>
    </row>
    <row r="26" spans="1:25" ht="16.5" x14ac:dyDescent="0.3">
      <c r="A26" s="2"/>
      <c r="B26" s="2"/>
      <c r="C26" s="2"/>
      <c r="D26" s="2"/>
      <c r="E26" s="2"/>
      <c r="F26" s="2"/>
      <c r="G26" s="2"/>
      <c r="H26" s="2"/>
      <c r="I26" s="2"/>
      <c r="J26" s="54"/>
      <c r="K26" s="54"/>
      <c r="N26" s="149" t="s">
        <v>561</v>
      </c>
      <c r="O26" s="266" t="s">
        <v>440</v>
      </c>
      <c r="P26" s="252">
        <f>P15*P16*60/7.48</f>
        <v>274909.09090909088</v>
      </c>
      <c r="Q26" s="66" t="s">
        <v>213</v>
      </c>
      <c r="R26" s="66"/>
      <c r="S26" s="66"/>
      <c r="T26" s="66"/>
      <c r="U26" s="66"/>
      <c r="V26" s="66"/>
      <c r="W26" s="140"/>
      <c r="X26" s="140"/>
      <c r="Y26" s="140"/>
    </row>
    <row r="27" spans="1:25" ht="18.75" x14ac:dyDescent="0.3">
      <c r="A27" s="2"/>
      <c r="B27" s="2" t="s">
        <v>322</v>
      </c>
      <c r="C27" s="2"/>
      <c r="D27" s="2"/>
      <c r="E27" s="2"/>
      <c r="F27" s="2"/>
      <c r="G27" s="2"/>
      <c r="H27" s="2"/>
      <c r="I27" s="2"/>
      <c r="J27" s="54"/>
      <c r="K27" s="54"/>
      <c r="N27" s="149" t="s">
        <v>562</v>
      </c>
      <c r="O27" s="266" t="s">
        <v>440</v>
      </c>
      <c r="P27" s="252">
        <f>P12*P14</f>
        <v>211254</v>
      </c>
      <c r="Q27" s="66" t="s">
        <v>213</v>
      </c>
      <c r="R27" s="66"/>
      <c r="S27" s="66"/>
      <c r="T27" s="66"/>
      <c r="U27" s="66"/>
      <c r="V27" s="66"/>
      <c r="W27" s="140"/>
      <c r="X27" s="140"/>
      <c r="Y27" s="140"/>
    </row>
    <row r="28" spans="1:25" ht="15" x14ac:dyDescent="0.25">
      <c r="A28" s="2"/>
      <c r="B28" s="2"/>
      <c r="C28" s="2"/>
      <c r="D28" s="2"/>
      <c r="E28" s="2"/>
      <c r="F28" s="2"/>
      <c r="G28" s="2"/>
      <c r="H28" s="2"/>
      <c r="I28" s="2"/>
      <c r="J28" s="54"/>
      <c r="K28" s="54"/>
      <c r="N28" s="149" t="s">
        <v>525</v>
      </c>
      <c r="O28" s="266" t="s">
        <v>440</v>
      </c>
      <c r="P28" s="199">
        <f>(P26/P27)*SQRT(P14/P16)</f>
        <v>0.41999927844045942</v>
      </c>
      <c r="Q28" s="66"/>
      <c r="R28" s="66"/>
      <c r="S28" s="66"/>
      <c r="T28" s="66"/>
      <c r="U28" s="66"/>
      <c r="V28" s="66"/>
      <c r="W28" s="140"/>
      <c r="X28" s="140"/>
      <c r="Y28" s="140"/>
    </row>
    <row r="29" spans="1:25" ht="16.5" x14ac:dyDescent="0.3">
      <c r="A29" s="2"/>
      <c r="B29" s="2" t="s">
        <v>323</v>
      </c>
      <c r="C29" s="101">
        <f>B11*B12*60/7.48</f>
        <v>274909.09090909088</v>
      </c>
      <c r="D29" s="2" t="s">
        <v>213</v>
      </c>
      <c r="E29" s="2"/>
      <c r="F29" s="2"/>
      <c r="G29" s="2"/>
      <c r="H29" s="2"/>
      <c r="I29" s="2"/>
      <c r="J29" s="54"/>
      <c r="K29" s="54"/>
      <c r="N29" s="149" t="s">
        <v>563</v>
      </c>
      <c r="O29" s="266" t="s">
        <v>440</v>
      </c>
      <c r="P29" s="71">
        <v>2.4E-2</v>
      </c>
      <c r="Q29" s="66"/>
      <c r="R29" s="66" t="s">
        <v>524</v>
      </c>
      <c r="S29" s="66"/>
      <c r="T29" s="66"/>
      <c r="U29" s="66"/>
      <c r="V29" s="66"/>
      <c r="W29" s="140"/>
      <c r="X29" s="140"/>
      <c r="Y29" s="140"/>
    </row>
    <row r="30" spans="1:25" ht="18.75" x14ac:dyDescent="0.3">
      <c r="A30" s="2"/>
      <c r="B30" s="2"/>
      <c r="C30" s="2"/>
      <c r="D30" s="2"/>
      <c r="E30" s="2"/>
      <c r="F30" s="2"/>
      <c r="G30" s="2"/>
      <c r="H30" s="2"/>
      <c r="I30" s="2"/>
      <c r="J30" s="54"/>
      <c r="K30" s="54"/>
      <c r="N30" s="149" t="s">
        <v>431</v>
      </c>
      <c r="O30" s="266" t="s">
        <v>440</v>
      </c>
      <c r="P30" s="199">
        <f>SQRT((32.17*P14*(P16-P14)*P29)/((P19^0.1)*P25*(62.4/P16)^0.1))</f>
        <v>1.6591462620792132</v>
      </c>
      <c r="Q30" s="66" t="s">
        <v>325</v>
      </c>
      <c r="R30" s="66" t="s">
        <v>524</v>
      </c>
      <c r="S30" s="66"/>
      <c r="T30" s="66"/>
      <c r="U30" s="66"/>
      <c r="V30" s="66"/>
      <c r="W30" s="140"/>
      <c r="X30" s="140"/>
      <c r="Y30" s="140"/>
    </row>
    <row r="31" spans="1:25" ht="18.75" x14ac:dyDescent="0.3">
      <c r="A31" s="2"/>
      <c r="B31" s="2" t="s">
        <v>703</v>
      </c>
      <c r="C31" s="2"/>
      <c r="D31" s="2"/>
      <c r="E31" s="2"/>
      <c r="F31" s="2"/>
      <c r="G31" s="2"/>
      <c r="H31" s="2"/>
      <c r="I31" s="2"/>
      <c r="J31" s="54"/>
      <c r="K31" s="54"/>
      <c r="N31" s="149" t="s">
        <v>218</v>
      </c>
      <c r="O31" s="266" t="s">
        <v>440</v>
      </c>
      <c r="P31" s="143">
        <f>P27/(P30*3600)</f>
        <v>35.368591671434572</v>
      </c>
      <c r="Q31" s="66" t="s">
        <v>317</v>
      </c>
      <c r="R31" s="66"/>
      <c r="S31" s="141"/>
      <c r="T31" s="141"/>
      <c r="U31" s="141"/>
      <c r="V31" s="66"/>
      <c r="W31" s="140"/>
      <c r="X31" s="140"/>
      <c r="Y31" s="140"/>
    </row>
    <row r="32" spans="1:25" ht="16.5" x14ac:dyDescent="0.3">
      <c r="A32" s="2"/>
      <c r="B32" s="2"/>
      <c r="C32" s="2"/>
      <c r="D32" s="2"/>
      <c r="E32" s="2"/>
      <c r="F32" s="2"/>
      <c r="G32" s="2"/>
      <c r="H32" s="2"/>
      <c r="I32" s="2"/>
      <c r="J32" s="54"/>
      <c r="K32" s="54"/>
      <c r="N32" s="149" t="s">
        <v>326</v>
      </c>
      <c r="O32" s="266" t="s">
        <v>440</v>
      </c>
      <c r="P32" s="229">
        <f>CEILING(SQRT(P31*4/PI()),1)</f>
        <v>7</v>
      </c>
      <c r="Q32" s="66" t="s">
        <v>78</v>
      </c>
      <c r="R32" s="66"/>
      <c r="S32" s="141"/>
      <c r="T32" s="141"/>
      <c r="U32" s="141"/>
      <c r="V32" s="66"/>
      <c r="W32" s="140"/>
      <c r="X32" s="140"/>
      <c r="Y32" s="140"/>
    </row>
    <row r="33" spans="1:25" ht="16.5" x14ac:dyDescent="0.3">
      <c r="A33" s="2"/>
      <c r="B33" s="2" t="s">
        <v>324</v>
      </c>
      <c r="C33" s="101">
        <f>B9*B10</f>
        <v>211254</v>
      </c>
      <c r="D33" s="2" t="s">
        <v>213</v>
      </c>
      <c r="E33" s="2"/>
      <c r="F33" s="2"/>
      <c r="G33" s="2"/>
      <c r="H33" s="2"/>
      <c r="I33" s="2"/>
      <c r="J33" s="54"/>
      <c r="K33" s="54"/>
      <c r="N33" s="265"/>
      <c r="O33" s="265"/>
      <c r="P33" s="265"/>
      <c r="Q33" s="265"/>
      <c r="R33" s="265"/>
      <c r="S33" s="66"/>
      <c r="T33" s="66"/>
      <c r="U33" s="66"/>
      <c r="V33" s="66"/>
      <c r="W33" s="140"/>
      <c r="X33" s="140"/>
      <c r="Y33" s="140"/>
    </row>
    <row r="34" spans="1:25" ht="15" x14ac:dyDescent="0.25">
      <c r="A34" s="2"/>
      <c r="B34" s="2"/>
      <c r="C34" s="2"/>
      <c r="D34" s="2"/>
      <c r="E34" s="2"/>
      <c r="F34" s="2"/>
      <c r="G34" s="2"/>
      <c r="H34" s="2"/>
      <c r="I34" s="2"/>
      <c r="J34" s="54"/>
      <c r="K34" s="54"/>
      <c r="N34" s="66"/>
      <c r="O34" s="149"/>
      <c r="P34" s="66"/>
      <c r="Q34" s="179"/>
      <c r="R34" s="270"/>
      <c r="S34" s="66"/>
      <c r="T34" s="66"/>
      <c r="U34" s="66"/>
      <c r="V34" s="66"/>
      <c r="W34" s="140"/>
      <c r="X34" s="140"/>
      <c r="Y34" s="140"/>
    </row>
    <row r="35" spans="1:25" ht="15" customHeight="1" x14ac:dyDescent="0.25">
      <c r="A35" s="2"/>
      <c r="B35" s="107" t="s">
        <v>592</v>
      </c>
      <c r="C35" s="2"/>
      <c r="D35" s="2"/>
      <c r="E35" s="2"/>
      <c r="F35" s="2"/>
      <c r="G35" s="2"/>
      <c r="H35" s="2"/>
      <c r="I35" s="2"/>
      <c r="J35" s="54"/>
      <c r="K35" s="54"/>
      <c r="N35" s="231"/>
      <c r="O35" s="231"/>
      <c r="P35" s="231"/>
      <c r="Q35" s="231"/>
      <c r="R35" s="231"/>
      <c r="S35" s="231"/>
      <c r="T35" s="231"/>
      <c r="U35" s="231"/>
      <c r="V35" s="231"/>
      <c r="W35" s="230"/>
      <c r="X35" s="230"/>
      <c r="Y35" s="230"/>
    </row>
    <row r="36" spans="1:25" ht="15" x14ac:dyDescent="0.25">
      <c r="A36" s="2"/>
      <c r="B36" s="107"/>
      <c r="C36" s="35">
        <f>(C29/C33)*SQRT(B10/B12)</f>
        <v>0.41999927844045942</v>
      </c>
      <c r="D36" s="2"/>
      <c r="E36" s="2"/>
      <c r="F36" s="2"/>
      <c r="G36" s="2"/>
      <c r="H36" s="2"/>
      <c r="I36" s="2"/>
      <c r="J36" s="54"/>
      <c r="K36" s="54"/>
      <c r="N36" s="231"/>
      <c r="O36" s="271"/>
      <c r="P36" s="271"/>
      <c r="Q36" s="271"/>
      <c r="R36" s="231"/>
      <c r="S36" s="231"/>
      <c r="T36" s="231"/>
      <c r="U36" s="231"/>
      <c r="V36" s="231"/>
      <c r="W36" s="230"/>
      <c r="X36" s="230"/>
      <c r="Y36" s="230"/>
    </row>
    <row r="37" spans="1:25" ht="15" x14ac:dyDescent="0.25">
      <c r="A37" s="2"/>
      <c r="B37" s="107"/>
      <c r="C37" s="2"/>
      <c r="D37" s="2"/>
      <c r="E37" s="2"/>
      <c r="F37" s="2"/>
      <c r="G37" s="2"/>
      <c r="H37" s="2"/>
      <c r="I37" s="2"/>
      <c r="J37" s="54"/>
      <c r="K37" s="54"/>
      <c r="N37" s="231"/>
      <c r="O37" s="231"/>
      <c r="P37" s="231"/>
      <c r="Q37" s="231"/>
      <c r="R37" s="231"/>
      <c r="S37" s="231"/>
      <c r="T37" s="231"/>
      <c r="U37" s="231"/>
      <c r="V37" s="231"/>
      <c r="W37" s="230"/>
      <c r="X37" s="230"/>
      <c r="Y37" s="230"/>
    </row>
    <row r="38" spans="1:25" ht="15" x14ac:dyDescent="0.25">
      <c r="A38" s="2"/>
      <c r="B38" s="107"/>
      <c r="C38" s="2"/>
      <c r="D38" s="2"/>
      <c r="E38" s="2"/>
      <c r="F38" s="2"/>
      <c r="G38" s="2"/>
      <c r="H38" s="2"/>
      <c r="I38" s="2"/>
      <c r="J38" s="54"/>
      <c r="K38" s="54"/>
      <c r="N38" s="231"/>
      <c r="O38" s="231"/>
      <c r="P38" s="231"/>
      <c r="Q38" s="231"/>
      <c r="R38" s="231"/>
      <c r="S38" s="231"/>
      <c r="T38" s="231"/>
      <c r="U38" s="231"/>
      <c r="V38" s="231"/>
      <c r="W38" s="230"/>
      <c r="X38" s="230"/>
      <c r="Y38" s="230"/>
    </row>
    <row r="39" spans="1:25" ht="15" x14ac:dyDescent="0.25">
      <c r="A39" s="2"/>
      <c r="B39" s="2"/>
      <c r="C39" s="2"/>
      <c r="D39" s="2"/>
      <c r="E39" s="2"/>
      <c r="F39" s="2"/>
      <c r="G39" s="2"/>
      <c r="H39" s="2"/>
      <c r="I39" s="2"/>
      <c r="J39" s="54"/>
      <c r="K39" s="54"/>
      <c r="N39" s="231"/>
      <c r="O39" s="231"/>
      <c r="P39" s="231"/>
      <c r="Q39" s="231"/>
      <c r="R39" s="231"/>
      <c r="S39" s="231"/>
      <c r="T39" s="231"/>
      <c r="U39" s="231"/>
      <c r="V39" s="231"/>
      <c r="W39" s="230"/>
      <c r="X39" s="230"/>
      <c r="Y39" s="230"/>
    </row>
    <row r="40" spans="1:25" ht="12.75" customHeight="1" x14ac:dyDescent="0.25">
      <c r="A40" s="107" t="s">
        <v>214</v>
      </c>
      <c r="B40" s="107"/>
      <c r="C40" s="107"/>
      <c r="D40" s="107"/>
      <c r="E40" s="107"/>
      <c r="F40" s="107"/>
      <c r="G40" s="107"/>
      <c r="H40" s="107"/>
      <c r="I40" s="107"/>
      <c r="J40" s="54"/>
      <c r="K40" s="54"/>
      <c r="N40" s="231"/>
      <c r="O40" s="230"/>
      <c r="P40" s="230"/>
      <c r="Q40" s="230"/>
      <c r="R40" s="231"/>
      <c r="S40" s="231"/>
      <c r="T40" s="231"/>
      <c r="U40" s="231"/>
      <c r="V40" s="262"/>
      <c r="W40" s="230"/>
      <c r="X40" s="230"/>
      <c r="Y40" s="230"/>
    </row>
    <row r="41" spans="1:25" ht="18" customHeight="1" x14ac:dyDescent="0.25">
      <c r="A41" s="107"/>
      <c r="B41" s="107"/>
      <c r="C41" s="107"/>
      <c r="D41" s="107"/>
      <c r="E41" s="107"/>
      <c r="F41" s="107"/>
      <c r="G41" s="107"/>
      <c r="H41" s="107"/>
      <c r="I41" s="107"/>
      <c r="J41" s="54"/>
      <c r="K41" s="54"/>
      <c r="N41" s="262"/>
      <c r="O41" s="262"/>
      <c r="P41" s="262"/>
      <c r="Q41" s="262"/>
      <c r="R41" s="262"/>
      <c r="S41" s="262"/>
      <c r="T41" s="262"/>
      <c r="U41" s="262"/>
      <c r="V41" s="262"/>
      <c r="W41" s="230"/>
      <c r="X41" s="230"/>
      <c r="Y41" s="230"/>
    </row>
    <row r="42" spans="1:25" ht="15" x14ac:dyDescent="0.25">
      <c r="A42" s="2"/>
      <c r="B42" s="2"/>
      <c r="C42" s="2"/>
      <c r="D42" s="2"/>
      <c r="E42" s="2"/>
      <c r="F42" s="2"/>
      <c r="G42" s="2"/>
      <c r="H42" s="2"/>
      <c r="I42" s="2"/>
      <c r="J42" s="54"/>
      <c r="K42" s="54"/>
      <c r="N42" s="231"/>
      <c r="O42" s="231"/>
      <c r="P42" s="231"/>
      <c r="Q42" s="231"/>
      <c r="R42" s="231"/>
      <c r="S42" s="231"/>
      <c r="T42" s="231"/>
      <c r="U42" s="231"/>
      <c r="V42" s="231"/>
      <c r="W42" s="230"/>
      <c r="X42" s="230"/>
      <c r="Y42" s="230"/>
    </row>
    <row r="43" spans="1:25" ht="15" x14ac:dyDescent="0.25">
      <c r="A43" s="2"/>
      <c r="B43" s="2" t="s">
        <v>215</v>
      </c>
      <c r="C43" s="2">
        <v>2.4E-2</v>
      </c>
      <c r="D43" s="2"/>
      <c r="E43" s="2"/>
      <c r="F43" s="2"/>
      <c r="G43" s="2"/>
      <c r="H43" s="2"/>
      <c r="I43" s="2"/>
      <c r="J43" s="54"/>
      <c r="K43" s="54"/>
      <c r="N43" s="230"/>
      <c r="O43" s="230"/>
      <c r="P43" s="230"/>
      <c r="Q43" s="230"/>
      <c r="R43" s="230"/>
      <c r="S43" s="230"/>
      <c r="T43" s="230"/>
      <c r="U43" s="230"/>
      <c r="V43" s="231"/>
      <c r="W43" s="230"/>
      <c r="X43" s="230"/>
      <c r="Y43" s="230"/>
    </row>
    <row r="44" spans="1:25" ht="15" x14ac:dyDescent="0.25">
      <c r="A44" s="2"/>
      <c r="B44" s="2"/>
      <c r="C44" s="2"/>
      <c r="D44" s="2"/>
      <c r="E44" s="2"/>
      <c r="F44" s="2"/>
      <c r="G44" s="2"/>
      <c r="H44" s="2"/>
      <c r="I44" s="2"/>
      <c r="J44" s="54"/>
      <c r="K44" s="54"/>
      <c r="N44" s="230"/>
      <c r="O44" s="230"/>
      <c r="P44" s="230"/>
      <c r="Q44" s="230"/>
      <c r="R44" s="230"/>
      <c r="S44" s="230"/>
      <c r="T44" s="230"/>
      <c r="U44" s="230"/>
      <c r="V44" s="231"/>
      <c r="W44" s="230"/>
      <c r="X44" s="230"/>
      <c r="Y44" s="230"/>
    </row>
    <row r="45" spans="1:25" ht="18" x14ac:dyDescent="0.25">
      <c r="A45" s="2"/>
      <c r="B45" s="2" t="s">
        <v>216</v>
      </c>
      <c r="C45" s="35">
        <f>SQRT((32.17*B10*(B12-B10)*C43)/((B18^0.1)*C23*(62.4/B12)^0.1))</f>
        <v>1.6591462620792132</v>
      </c>
      <c r="D45" s="2" t="s">
        <v>325</v>
      </c>
      <c r="E45" s="2"/>
      <c r="F45" s="2"/>
      <c r="G45" s="2"/>
      <c r="H45" s="2"/>
      <c r="I45" s="2"/>
      <c r="J45" s="54"/>
      <c r="K45" s="54"/>
      <c r="N45" s="230"/>
      <c r="O45" s="230"/>
      <c r="P45" s="230"/>
      <c r="Q45" s="230"/>
      <c r="R45" s="230"/>
      <c r="S45" s="230"/>
      <c r="T45" s="230"/>
      <c r="U45" s="230"/>
      <c r="V45" s="231"/>
      <c r="W45" s="230"/>
      <c r="X45" s="230"/>
      <c r="Y45" s="230"/>
    </row>
    <row r="46" spans="1:25" ht="15" x14ac:dyDescent="0.25">
      <c r="A46" s="2"/>
      <c r="B46" s="2"/>
      <c r="C46" s="2"/>
      <c r="D46" s="2"/>
      <c r="E46" s="2"/>
      <c r="F46" s="2"/>
      <c r="G46" s="2"/>
      <c r="H46" s="2"/>
      <c r="I46" s="2"/>
      <c r="J46" s="54"/>
      <c r="K46" s="54"/>
      <c r="N46" s="230"/>
      <c r="O46" s="230"/>
      <c r="P46" s="230"/>
      <c r="Q46" s="230"/>
      <c r="R46" s="230"/>
      <c r="S46" s="230"/>
      <c r="T46" s="230"/>
      <c r="U46" s="230"/>
      <c r="V46" s="231"/>
      <c r="W46" s="230"/>
      <c r="X46" s="230"/>
      <c r="Y46" s="230"/>
    </row>
    <row r="47" spans="1:25" ht="15" x14ac:dyDescent="0.25">
      <c r="A47" s="107" t="s">
        <v>217</v>
      </c>
      <c r="B47" s="107"/>
      <c r="C47" s="107"/>
      <c r="D47" s="107"/>
      <c r="E47" s="107"/>
      <c r="F47" s="107"/>
      <c r="G47" s="107"/>
      <c r="H47" s="107"/>
      <c r="I47" s="2"/>
      <c r="J47" s="54"/>
      <c r="K47" s="54"/>
      <c r="N47" s="230"/>
      <c r="O47" s="230"/>
      <c r="P47" s="230"/>
      <c r="Q47" s="230"/>
      <c r="R47" s="230"/>
      <c r="S47" s="230"/>
      <c r="T47" s="230"/>
      <c r="U47" s="230"/>
      <c r="V47" s="231"/>
      <c r="W47" s="230"/>
      <c r="X47" s="230"/>
      <c r="Y47" s="230"/>
    </row>
    <row r="48" spans="1:25" ht="15" x14ac:dyDescent="0.25">
      <c r="A48" s="107"/>
      <c r="B48" s="107"/>
      <c r="C48" s="107"/>
      <c r="D48" s="107"/>
      <c r="E48" s="107"/>
      <c r="F48" s="107"/>
      <c r="G48" s="107"/>
      <c r="H48" s="107"/>
      <c r="I48" s="2"/>
      <c r="J48" s="54"/>
      <c r="K48" s="54"/>
      <c r="N48" s="230"/>
      <c r="O48" s="230"/>
      <c r="P48" s="230"/>
      <c r="Q48" s="230"/>
      <c r="R48" s="230"/>
      <c r="S48" s="230"/>
      <c r="T48" s="230"/>
      <c r="U48" s="230"/>
      <c r="V48" s="231"/>
      <c r="W48" s="230"/>
      <c r="X48" s="230"/>
      <c r="Y48" s="230"/>
    </row>
    <row r="49" spans="1:25" ht="15" x14ac:dyDescent="0.25">
      <c r="A49" s="2"/>
      <c r="B49" s="2"/>
      <c r="C49" s="2"/>
      <c r="D49" s="2"/>
      <c r="E49" s="2"/>
      <c r="F49" s="2"/>
      <c r="G49" s="2"/>
      <c r="H49" s="2"/>
      <c r="I49" s="2"/>
      <c r="J49" s="54"/>
      <c r="K49" s="54"/>
      <c r="N49" s="230"/>
      <c r="O49" s="230"/>
      <c r="P49" s="230"/>
      <c r="Q49" s="230"/>
      <c r="R49" s="230"/>
      <c r="S49" s="230"/>
      <c r="T49" s="230"/>
      <c r="U49" s="230"/>
      <c r="V49" s="231"/>
      <c r="W49" s="230"/>
      <c r="X49" s="230"/>
      <c r="Y49" s="230"/>
    </row>
    <row r="50" spans="1:25" ht="18" x14ac:dyDescent="0.25">
      <c r="A50" s="2"/>
      <c r="B50" s="2" t="s">
        <v>218</v>
      </c>
      <c r="C50" s="36">
        <f>C33/(C45*3600)</f>
        <v>35.368591671434572</v>
      </c>
      <c r="D50" s="2" t="s">
        <v>317</v>
      </c>
      <c r="E50" s="2"/>
      <c r="F50" s="2"/>
      <c r="G50" s="2"/>
      <c r="H50" s="2"/>
      <c r="I50" s="2"/>
      <c r="J50" s="54"/>
      <c r="K50" s="54"/>
      <c r="N50" s="230"/>
      <c r="O50" s="230"/>
      <c r="P50" s="230"/>
      <c r="Q50" s="230"/>
      <c r="R50" s="230"/>
      <c r="S50" s="230"/>
      <c r="T50" s="230"/>
      <c r="U50" s="230"/>
      <c r="V50" s="231"/>
      <c r="W50" s="230"/>
      <c r="X50" s="230"/>
      <c r="Y50" s="230"/>
    </row>
    <row r="51" spans="1:25" ht="15" x14ac:dyDescent="0.25">
      <c r="A51" s="2"/>
      <c r="B51" s="2"/>
      <c r="C51" s="2"/>
      <c r="D51" s="2"/>
      <c r="E51" s="2"/>
      <c r="F51" s="2"/>
      <c r="G51" s="2"/>
      <c r="H51" s="2"/>
      <c r="I51" s="2"/>
      <c r="J51" s="54"/>
      <c r="K51" s="54"/>
      <c r="N51" s="230"/>
      <c r="O51" s="230"/>
      <c r="P51" s="230"/>
      <c r="Q51" s="230"/>
      <c r="R51" s="230"/>
      <c r="S51" s="230"/>
      <c r="T51" s="230"/>
      <c r="U51" s="230"/>
      <c r="V51" s="231"/>
      <c r="W51" s="230"/>
      <c r="X51" s="230"/>
      <c r="Y51" s="230"/>
    </row>
    <row r="52" spans="1:25" ht="15" x14ac:dyDescent="0.25">
      <c r="A52" s="2" t="s">
        <v>219</v>
      </c>
      <c r="B52" s="2"/>
      <c r="C52" s="2"/>
      <c r="D52" s="2"/>
      <c r="E52" s="2"/>
      <c r="F52" s="2"/>
      <c r="G52" s="2"/>
      <c r="H52" s="2"/>
      <c r="I52" s="2"/>
      <c r="J52" s="54"/>
      <c r="K52" s="54"/>
      <c r="N52" s="230"/>
      <c r="O52" s="230"/>
      <c r="P52" s="230"/>
      <c r="Q52" s="230"/>
      <c r="R52" s="230"/>
      <c r="S52" s="230"/>
      <c r="T52" s="230"/>
      <c r="U52" s="230"/>
      <c r="V52" s="231"/>
      <c r="W52" s="230"/>
      <c r="X52" s="230"/>
      <c r="Y52" s="230"/>
    </row>
    <row r="53" spans="1:25" ht="15" x14ac:dyDescent="0.25">
      <c r="A53" s="2"/>
      <c r="B53" s="2"/>
      <c r="C53" s="2"/>
      <c r="D53" s="2"/>
      <c r="E53" s="2"/>
      <c r="F53" s="2"/>
      <c r="G53" s="2"/>
      <c r="H53" s="2"/>
      <c r="I53" s="2"/>
      <c r="J53" s="54"/>
      <c r="K53" s="54"/>
      <c r="N53" s="230"/>
      <c r="O53" s="230"/>
      <c r="P53" s="230"/>
      <c r="Q53" s="230"/>
      <c r="R53" s="230"/>
      <c r="S53" s="230"/>
      <c r="T53" s="230"/>
      <c r="U53" s="230"/>
      <c r="V53" s="231"/>
      <c r="W53" s="230"/>
      <c r="X53" s="230"/>
      <c r="Y53" s="230"/>
    </row>
    <row r="54" spans="1:25" ht="16.5" x14ac:dyDescent="0.3">
      <c r="A54" s="2"/>
      <c r="B54" s="2" t="s">
        <v>326</v>
      </c>
      <c r="C54" s="36">
        <f>SQRT(C50*4/PI())</f>
        <v>6.7106400259335341</v>
      </c>
      <c r="D54" s="2" t="s">
        <v>78</v>
      </c>
      <c r="E54" s="2"/>
      <c r="F54" s="2"/>
      <c r="G54" s="2"/>
      <c r="H54" s="2"/>
      <c r="I54" s="2"/>
      <c r="J54" s="54"/>
      <c r="K54" s="54"/>
      <c r="N54" s="230"/>
      <c r="O54" s="230"/>
      <c r="P54" s="230"/>
      <c r="Q54" s="230"/>
      <c r="R54" s="230"/>
      <c r="S54" s="230"/>
      <c r="T54" s="230"/>
      <c r="U54" s="230"/>
      <c r="V54" s="231"/>
      <c r="W54" s="230"/>
      <c r="X54" s="230"/>
      <c r="Y54" s="230"/>
    </row>
    <row r="55" spans="1:25" ht="15" x14ac:dyDescent="0.25">
      <c r="A55" s="2"/>
      <c r="B55" s="2"/>
      <c r="C55" s="2"/>
      <c r="D55" s="2"/>
      <c r="E55" s="2"/>
      <c r="F55" s="2"/>
      <c r="G55" s="2"/>
      <c r="H55" s="2"/>
      <c r="I55" s="2"/>
      <c r="J55" s="54"/>
      <c r="K55" s="54"/>
      <c r="N55" s="230"/>
      <c r="O55" s="230"/>
      <c r="P55" s="230"/>
      <c r="Q55" s="230"/>
      <c r="R55" s="230"/>
      <c r="S55" s="230"/>
      <c r="T55" s="230"/>
      <c r="U55" s="230"/>
      <c r="V55" s="231"/>
      <c r="W55" s="230"/>
      <c r="X55" s="230"/>
      <c r="Y55" s="230"/>
    </row>
    <row r="56" spans="1:25" ht="15" x14ac:dyDescent="0.25">
      <c r="A56" s="2" t="s">
        <v>220</v>
      </c>
      <c r="B56" s="2"/>
      <c r="C56" s="2"/>
      <c r="D56" s="2"/>
      <c r="E56" s="2"/>
      <c r="F56" s="2"/>
      <c r="G56" s="2"/>
      <c r="H56" s="2"/>
      <c r="I56" s="2"/>
      <c r="J56" s="54"/>
      <c r="K56" s="54"/>
      <c r="N56" s="230"/>
      <c r="O56" s="230"/>
      <c r="P56" s="230"/>
      <c r="Q56" s="230"/>
      <c r="R56" s="230"/>
      <c r="S56" s="230"/>
      <c r="T56" s="230"/>
      <c r="U56" s="230"/>
      <c r="V56" s="231"/>
      <c r="W56" s="230"/>
      <c r="X56" s="230"/>
      <c r="Y56" s="230"/>
    </row>
    <row r="57" spans="1:25" ht="15" x14ac:dyDescent="0.25">
      <c r="N57" s="231"/>
      <c r="O57" s="231"/>
      <c r="P57" s="231"/>
      <c r="Q57" s="231"/>
      <c r="R57" s="231"/>
      <c r="S57" s="231"/>
      <c r="T57" s="231"/>
      <c r="U57" s="231"/>
      <c r="V57" s="231"/>
      <c r="W57" s="230"/>
      <c r="X57" s="230"/>
      <c r="Y57" s="230"/>
    </row>
    <row r="58" spans="1:25" ht="15" x14ac:dyDescent="0.25">
      <c r="N58" s="231"/>
      <c r="O58" s="231"/>
      <c r="P58" s="231"/>
      <c r="Q58" s="231"/>
      <c r="R58" s="231"/>
      <c r="S58" s="231"/>
      <c r="T58" s="231"/>
      <c r="U58" s="231"/>
      <c r="V58" s="231"/>
      <c r="W58" s="230"/>
      <c r="X58" s="230"/>
      <c r="Y58" s="230"/>
    </row>
    <row r="60" spans="1:25" ht="15" x14ac:dyDescent="0.25">
      <c r="A60" s="129" t="s">
        <v>723</v>
      </c>
    </row>
    <row r="61" spans="1:25" ht="15" x14ac:dyDescent="0.25">
      <c r="A61" s="129" t="s">
        <v>724</v>
      </c>
    </row>
    <row r="62" spans="1:25" ht="15" x14ac:dyDescent="0.25">
      <c r="A62" s="129" t="s">
        <v>725</v>
      </c>
    </row>
    <row r="63" spans="1:25" ht="15" x14ac:dyDescent="0.25">
      <c r="A63" s="129" t="s">
        <v>684</v>
      </c>
    </row>
    <row r="64" spans="1:25" ht="15" x14ac:dyDescent="0.25">
      <c r="A64" s="130" t="s">
        <v>726</v>
      </c>
    </row>
  </sheetData>
  <sheetProtection password="E156" sheet="1" objects="1" scenarios="1"/>
  <mergeCells count="5">
    <mergeCell ref="A6:I7"/>
    <mergeCell ref="B35:B38"/>
    <mergeCell ref="A40:I41"/>
    <mergeCell ref="A47:H48"/>
    <mergeCell ref="P21:R21"/>
  </mergeCells>
  <phoneticPr fontId="3"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3"/>
  <sheetViews>
    <sheetView zoomScale="80" zoomScaleNormal="80" workbookViewId="0">
      <selection activeCell="M20" sqref="M20"/>
    </sheetView>
  </sheetViews>
  <sheetFormatPr defaultColWidth="9.140625" defaultRowHeight="12.75" x14ac:dyDescent="0.2"/>
  <cols>
    <col min="1" max="1" width="9.140625" style="68"/>
    <col min="2" max="2" width="24.28515625" style="68" customWidth="1"/>
    <col min="3" max="3" width="9.85546875" style="68" bestFit="1" customWidth="1"/>
    <col min="4" max="13" width="9.140625" style="68"/>
    <col min="14" max="14" width="25.85546875" style="68" customWidth="1"/>
    <col min="15" max="15" width="10.28515625" style="68" bestFit="1" customWidth="1"/>
    <col min="16" max="16" width="10.140625" style="68" bestFit="1" customWidth="1"/>
    <col min="17" max="17" width="12.85546875" style="68" customWidth="1"/>
    <col min="18" max="18" width="22.28515625" style="68" customWidth="1"/>
    <col min="19" max="19" width="9.5703125" style="68" bestFit="1" customWidth="1"/>
    <col min="20" max="20" width="12" style="68" bestFit="1" customWidth="1"/>
    <col min="21" max="16384" width="9.140625" style="68"/>
  </cols>
  <sheetData>
    <row r="1" spans="1:25" ht="15" x14ac:dyDescent="0.25">
      <c r="A1" s="128" t="s">
        <v>717</v>
      </c>
    </row>
    <row r="5" spans="1:25" ht="15" x14ac:dyDescent="0.25">
      <c r="A5" s="1" t="s">
        <v>410</v>
      </c>
      <c r="B5" s="2"/>
      <c r="C5" s="2"/>
      <c r="D5" s="2"/>
      <c r="E5" s="2"/>
      <c r="F5" s="2"/>
      <c r="G5" s="2"/>
      <c r="H5" s="2"/>
      <c r="I5" s="2"/>
      <c r="J5" s="2"/>
      <c r="K5" s="2"/>
      <c r="N5" s="139" t="s">
        <v>457</v>
      </c>
      <c r="O5" s="66"/>
      <c r="P5" s="66"/>
      <c r="Q5" s="66"/>
      <c r="R5" s="66"/>
      <c r="S5" s="66"/>
      <c r="T5" s="66"/>
      <c r="U5" s="66"/>
      <c r="V5" s="66"/>
      <c r="W5" s="66"/>
      <c r="X5" s="66"/>
      <c r="Y5" s="66"/>
    </row>
    <row r="6" spans="1:25" ht="12.75" customHeight="1" x14ac:dyDescent="0.25">
      <c r="A6" s="107" t="s">
        <v>243</v>
      </c>
      <c r="B6" s="107"/>
      <c r="C6" s="107"/>
      <c r="D6" s="107"/>
      <c r="E6" s="107"/>
      <c r="F6" s="107"/>
      <c r="G6" s="107"/>
      <c r="H6" s="107"/>
      <c r="I6" s="107"/>
      <c r="J6" s="107"/>
      <c r="K6" s="107"/>
      <c r="N6" s="174" t="s">
        <v>685</v>
      </c>
      <c r="O6" s="174"/>
      <c r="P6" s="174"/>
      <c r="Q6" s="174"/>
      <c r="R6" s="174"/>
      <c r="S6" s="174"/>
      <c r="T6" s="174"/>
      <c r="U6" s="174"/>
      <c r="V6" s="174"/>
      <c r="W6" s="174"/>
      <c r="X6" s="174"/>
      <c r="Y6" s="66"/>
    </row>
    <row r="7" spans="1:25" ht="12.75" customHeight="1" x14ac:dyDescent="0.25">
      <c r="A7" s="107"/>
      <c r="B7" s="107"/>
      <c r="C7" s="107"/>
      <c r="D7" s="107"/>
      <c r="E7" s="107"/>
      <c r="F7" s="107"/>
      <c r="G7" s="107"/>
      <c r="H7" s="107"/>
      <c r="I7" s="107"/>
      <c r="J7" s="107"/>
      <c r="K7" s="107"/>
      <c r="N7" s="111" t="s">
        <v>376</v>
      </c>
      <c r="O7" s="111"/>
      <c r="P7" s="111"/>
      <c r="Q7" s="111"/>
      <c r="R7" s="111"/>
      <c r="S7" s="111"/>
      <c r="T7" s="111"/>
      <c r="U7" s="111"/>
      <c r="V7" s="111"/>
      <c r="W7" s="111"/>
      <c r="X7" s="141"/>
      <c r="Y7" s="66"/>
    </row>
    <row r="8" spans="1:25" ht="12.75" customHeight="1" x14ac:dyDescent="0.25">
      <c r="A8" s="107"/>
      <c r="B8" s="107"/>
      <c r="C8" s="107"/>
      <c r="D8" s="107"/>
      <c r="E8" s="107"/>
      <c r="F8" s="107"/>
      <c r="G8" s="107"/>
      <c r="H8" s="107"/>
      <c r="I8" s="107"/>
      <c r="J8" s="107"/>
      <c r="K8" s="107"/>
      <c r="N8" s="272"/>
      <c r="O8" s="272"/>
      <c r="P8" s="272"/>
      <c r="Q8" s="272"/>
      <c r="R8" s="272"/>
      <c r="S8" s="272"/>
      <c r="T8" s="272"/>
      <c r="U8" s="272"/>
      <c r="V8" s="272"/>
      <c r="W8" s="272"/>
      <c r="X8" s="141"/>
      <c r="Y8" s="66"/>
    </row>
    <row r="9" spans="1:25" ht="19.5" customHeight="1" x14ac:dyDescent="0.25">
      <c r="A9" s="107"/>
      <c r="B9" s="107"/>
      <c r="C9" s="107"/>
      <c r="D9" s="107"/>
      <c r="E9" s="107"/>
      <c r="F9" s="107"/>
      <c r="G9" s="107"/>
      <c r="H9" s="107"/>
      <c r="I9" s="107"/>
      <c r="J9" s="107"/>
      <c r="K9" s="107"/>
      <c r="N9" s="140"/>
      <c r="O9" s="140"/>
      <c r="P9" s="140"/>
      <c r="Q9" s="140"/>
      <c r="R9" s="140"/>
      <c r="S9" s="140"/>
      <c r="T9" s="140"/>
      <c r="U9" s="140"/>
      <c r="V9" s="140"/>
      <c r="W9" s="140"/>
      <c r="X9" s="141"/>
      <c r="Y9" s="66"/>
    </row>
    <row r="10" spans="1:25" ht="15" x14ac:dyDescent="0.25">
      <c r="A10" s="2"/>
      <c r="B10" s="2"/>
      <c r="C10" s="2"/>
      <c r="D10" s="2"/>
      <c r="E10" s="2"/>
      <c r="F10" s="2"/>
      <c r="G10" s="2"/>
      <c r="H10" s="2"/>
      <c r="I10" s="2"/>
      <c r="J10" s="2"/>
      <c r="K10" s="2"/>
      <c r="N10" s="140"/>
      <c r="O10" s="140"/>
      <c r="P10" s="140"/>
      <c r="Q10" s="140"/>
      <c r="R10" s="140"/>
      <c r="S10" s="140"/>
      <c r="T10" s="140"/>
      <c r="U10" s="140"/>
      <c r="V10" s="140"/>
      <c r="W10" s="140"/>
      <c r="X10" s="66"/>
      <c r="Y10" s="66"/>
    </row>
    <row r="11" spans="1:25" ht="15" x14ac:dyDescent="0.25">
      <c r="A11" s="2" t="s">
        <v>221</v>
      </c>
      <c r="B11" s="2"/>
      <c r="C11" s="2"/>
      <c r="D11" s="2"/>
      <c r="E11" s="2"/>
      <c r="F11" s="2"/>
      <c r="G11" s="2"/>
      <c r="H11" s="2"/>
      <c r="I11" s="2"/>
      <c r="J11" s="2"/>
      <c r="K11" s="2"/>
      <c r="N11" s="142" t="s">
        <v>535</v>
      </c>
      <c r="O11" s="140"/>
      <c r="P11" s="140"/>
      <c r="Q11" s="140"/>
      <c r="R11" s="140"/>
      <c r="S11" s="140"/>
      <c r="T11" s="140"/>
      <c r="U11" s="140"/>
      <c r="V11" s="140"/>
      <c r="W11" s="140"/>
      <c r="X11" s="66"/>
      <c r="Y11" s="66"/>
    </row>
    <row r="12" spans="1:25" ht="19.5" customHeight="1" x14ac:dyDescent="0.25">
      <c r="A12" s="2"/>
      <c r="B12" s="2" t="s">
        <v>227</v>
      </c>
      <c r="C12" s="2">
        <v>0.62</v>
      </c>
      <c r="D12" s="2" t="s">
        <v>79</v>
      </c>
      <c r="E12" s="2"/>
      <c r="F12" s="2"/>
      <c r="G12" s="2"/>
      <c r="H12" s="2"/>
      <c r="I12" s="2"/>
      <c r="J12" s="2"/>
      <c r="K12" s="2"/>
      <c r="N12" s="140"/>
      <c r="O12" s="140"/>
      <c r="P12" s="100">
        <v>40800</v>
      </c>
      <c r="Q12" s="144" t="s">
        <v>388</v>
      </c>
      <c r="R12" s="141"/>
      <c r="S12" s="140"/>
      <c r="T12" s="140"/>
      <c r="U12" s="140"/>
      <c r="V12" s="140"/>
      <c r="W12" s="140"/>
      <c r="X12" s="66"/>
      <c r="Y12" s="66"/>
    </row>
    <row r="13" spans="1:25" ht="18" x14ac:dyDescent="0.25">
      <c r="A13" s="2"/>
      <c r="B13" s="2" t="s">
        <v>222</v>
      </c>
      <c r="C13" s="2">
        <v>0.1963</v>
      </c>
      <c r="D13" s="2" t="s">
        <v>327</v>
      </c>
      <c r="E13" s="2"/>
      <c r="F13" s="2"/>
      <c r="G13" s="2"/>
      <c r="H13" s="2"/>
      <c r="I13" s="2"/>
      <c r="J13" s="2"/>
      <c r="K13" s="2"/>
      <c r="N13" s="140"/>
      <c r="O13" s="140"/>
      <c r="P13" s="83">
        <v>4</v>
      </c>
      <c r="Q13" s="172" t="s">
        <v>389</v>
      </c>
      <c r="R13" s="66"/>
      <c r="S13" s="144" t="s">
        <v>565</v>
      </c>
      <c r="T13" s="144"/>
      <c r="U13" s="144"/>
      <c r="V13" s="66"/>
      <c r="W13" s="66"/>
      <c r="X13" s="66"/>
      <c r="Y13" s="66"/>
    </row>
    <row r="14" spans="1:25" ht="18" x14ac:dyDescent="0.25">
      <c r="A14" s="2"/>
      <c r="B14" s="2" t="s">
        <v>223</v>
      </c>
      <c r="C14" s="2">
        <v>0.30199999999999999</v>
      </c>
      <c r="D14" s="2" t="s">
        <v>328</v>
      </c>
      <c r="E14" s="2"/>
      <c r="F14" s="2"/>
      <c r="G14" s="2"/>
      <c r="H14" s="2"/>
      <c r="I14" s="2"/>
      <c r="J14" s="2"/>
      <c r="K14" s="2"/>
      <c r="N14" s="66" t="s">
        <v>693</v>
      </c>
      <c r="O14" s="253" t="s">
        <v>440</v>
      </c>
      <c r="P14" s="83">
        <v>125</v>
      </c>
      <c r="Q14" s="172" t="s">
        <v>686</v>
      </c>
      <c r="R14" s="84">
        <v>353</v>
      </c>
      <c r="S14" s="66" t="s">
        <v>318</v>
      </c>
      <c r="T14" s="144"/>
      <c r="U14" s="144"/>
      <c r="V14" s="66"/>
      <c r="W14" s="66"/>
      <c r="X14" s="66"/>
      <c r="Y14" s="66"/>
    </row>
    <row r="15" spans="1:25" ht="18" x14ac:dyDescent="0.25">
      <c r="A15" s="2"/>
      <c r="B15" s="2" t="s">
        <v>224</v>
      </c>
      <c r="C15" s="2">
        <v>2.27</v>
      </c>
      <c r="D15" s="2" t="s">
        <v>311</v>
      </c>
      <c r="E15" s="2"/>
      <c r="F15" s="2"/>
      <c r="G15" s="2"/>
      <c r="H15" s="2"/>
      <c r="I15" s="2"/>
      <c r="J15" s="2"/>
      <c r="K15" s="2"/>
      <c r="N15" s="66" t="s">
        <v>221</v>
      </c>
      <c r="O15" s="253"/>
      <c r="P15" s="66"/>
      <c r="Q15" s="66"/>
      <c r="R15" s="66"/>
      <c r="S15" s="66"/>
      <c r="T15" s="66"/>
      <c r="U15" s="66"/>
      <c r="V15" s="66"/>
      <c r="W15" s="66"/>
      <c r="X15" s="66"/>
      <c r="Y15" s="66"/>
    </row>
    <row r="16" spans="1:25" ht="15" x14ac:dyDescent="0.25">
      <c r="A16" s="2"/>
      <c r="B16" s="2" t="s">
        <v>225</v>
      </c>
      <c r="C16" s="2">
        <v>0.1</v>
      </c>
      <c r="D16" s="2" t="s">
        <v>208</v>
      </c>
      <c r="E16" s="2"/>
      <c r="F16" s="2"/>
      <c r="G16" s="2"/>
      <c r="H16" s="2"/>
      <c r="I16" s="2"/>
      <c r="J16" s="2"/>
      <c r="K16" s="2"/>
      <c r="N16" s="149" t="s">
        <v>227</v>
      </c>
      <c r="O16" s="179" t="s">
        <v>440</v>
      </c>
      <c r="P16" s="84">
        <v>0.62</v>
      </c>
      <c r="Q16" s="66" t="s">
        <v>79</v>
      </c>
      <c r="R16" s="66"/>
      <c r="S16" s="66"/>
      <c r="T16" s="66"/>
      <c r="U16" s="66"/>
      <c r="V16" s="66"/>
      <c r="W16" s="66"/>
      <c r="X16" s="66"/>
      <c r="Y16" s="66"/>
    </row>
    <row r="17" spans="1:25" ht="18" x14ac:dyDescent="0.25">
      <c r="A17" s="2"/>
      <c r="B17" s="2" t="s">
        <v>226</v>
      </c>
      <c r="C17" s="2">
        <v>0.43</v>
      </c>
      <c r="D17" s="2"/>
      <c r="E17" s="2"/>
      <c r="F17" s="2"/>
      <c r="G17" s="2"/>
      <c r="H17" s="2"/>
      <c r="I17" s="2"/>
      <c r="J17" s="2"/>
      <c r="K17" s="2"/>
      <c r="N17" s="149" t="s">
        <v>222</v>
      </c>
      <c r="O17" s="179" t="s">
        <v>440</v>
      </c>
      <c r="P17" s="84">
        <v>0.1963</v>
      </c>
      <c r="Q17" s="66" t="s">
        <v>327</v>
      </c>
      <c r="R17" s="66"/>
      <c r="S17" s="66"/>
      <c r="T17" s="66"/>
      <c r="U17" s="66"/>
      <c r="V17" s="66"/>
      <c r="W17" s="66"/>
      <c r="X17" s="66"/>
      <c r="Y17" s="66"/>
    </row>
    <row r="18" spans="1:25" ht="18" x14ac:dyDescent="0.25">
      <c r="A18" s="2"/>
      <c r="B18" s="2"/>
      <c r="C18" s="2"/>
      <c r="D18" s="2"/>
      <c r="E18" s="2"/>
      <c r="F18" s="2"/>
      <c r="G18" s="2"/>
      <c r="H18" s="2"/>
      <c r="I18" s="2"/>
      <c r="J18" s="2"/>
      <c r="K18" s="2"/>
      <c r="N18" s="149" t="s">
        <v>223</v>
      </c>
      <c r="O18" s="179" t="s">
        <v>440</v>
      </c>
      <c r="P18" s="84">
        <v>0.30199999999999999</v>
      </c>
      <c r="Q18" s="66" t="s">
        <v>328</v>
      </c>
      <c r="R18" s="66"/>
      <c r="S18" s="66"/>
      <c r="T18" s="66"/>
      <c r="U18" s="66"/>
      <c r="V18" s="66"/>
      <c r="W18" s="66"/>
      <c r="X18" s="66"/>
      <c r="Y18" s="66"/>
    </row>
    <row r="19" spans="1:25" ht="18" x14ac:dyDescent="0.25">
      <c r="A19" s="2" t="s">
        <v>228</v>
      </c>
      <c r="B19" s="2"/>
      <c r="C19" s="2"/>
      <c r="D19" s="2"/>
      <c r="E19" s="2"/>
      <c r="F19" s="2"/>
      <c r="G19" s="2"/>
      <c r="H19" s="2"/>
      <c r="I19" s="2"/>
      <c r="J19" s="2"/>
      <c r="K19" s="2"/>
      <c r="N19" s="149" t="s">
        <v>224</v>
      </c>
      <c r="O19" s="179" t="s">
        <v>440</v>
      </c>
      <c r="P19" s="84">
        <v>2.27</v>
      </c>
      <c r="Q19" s="66" t="s">
        <v>311</v>
      </c>
      <c r="R19" s="66"/>
      <c r="S19" s="66"/>
      <c r="T19" s="66"/>
      <c r="U19" s="66"/>
      <c r="V19" s="66"/>
      <c r="W19" s="66"/>
      <c r="X19" s="66"/>
      <c r="Y19" s="66"/>
    </row>
    <row r="20" spans="1:25" ht="15" x14ac:dyDescent="0.25">
      <c r="A20" s="2"/>
      <c r="B20" s="2" t="s">
        <v>593</v>
      </c>
      <c r="C20" s="2"/>
      <c r="D20" s="2"/>
      <c r="E20" s="2"/>
      <c r="F20" s="2"/>
      <c r="G20" s="2"/>
      <c r="H20" s="2"/>
      <c r="I20" s="2"/>
      <c r="J20" s="2"/>
      <c r="K20" s="2"/>
      <c r="N20" s="149" t="s">
        <v>225</v>
      </c>
      <c r="O20" s="179" t="s">
        <v>440</v>
      </c>
      <c r="P20" s="84">
        <v>0.1</v>
      </c>
      <c r="Q20" s="66" t="s">
        <v>208</v>
      </c>
      <c r="R20" s="66"/>
      <c r="S20" s="66"/>
      <c r="T20" s="66"/>
      <c r="U20" s="66"/>
      <c r="V20" s="66"/>
      <c r="W20" s="66"/>
      <c r="X20" s="66"/>
      <c r="Y20" s="66"/>
    </row>
    <row r="21" spans="1:25" ht="18.75" customHeight="1" x14ac:dyDescent="0.25">
      <c r="A21" s="2"/>
      <c r="B21" s="4" t="s">
        <v>594</v>
      </c>
      <c r="C21" s="2">
        <v>241</v>
      </c>
      <c r="D21" s="2" t="s">
        <v>229</v>
      </c>
      <c r="E21" s="2"/>
      <c r="F21" s="2"/>
      <c r="G21" s="2"/>
      <c r="H21" s="2"/>
      <c r="I21" s="2"/>
      <c r="J21" s="2"/>
      <c r="K21" s="2"/>
      <c r="N21" s="149" t="s">
        <v>226</v>
      </c>
      <c r="O21" s="179" t="s">
        <v>440</v>
      </c>
      <c r="P21" s="84">
        <v>0.43</v>
      </c>
      <c r="Q21" s="66"/>
      <c r="R21" s="66"/>
      <c r="S21" s="66"/>
      <c r="T21" s="66"/>
      <c r="U21" s="66"/>
      <c r="V21" s="66"/>
      <c r="W21" s="66"/>
      <c r="X21" s="66"/>
      <c r="Y21" s="66"/>
    </row>
    <row r="22" spans="1:25" ht="18.75" customHeight="1" x14ac:dyDescent="0.25">
      <c r="A22" s="2"/>
      <c r="B22" s="4" t="s">
        <v>595</v>
      </c>
      <c r="C22" s="2">
        <v>338</v>
      </c>
      <c r="D22" s="2" t="s">
        <v>229</v>
      </c>
      <c r="E22" s="2"/>
      <c r="F22" s="2"/>
      <c r="G22" s="2"/>
      <c r="H22" s="2"/>
      <c r="I22" s="2"/>
      <c r="J22" s="2"/>
      <c r="K22" s="2"/>
      <c r="N22" s="66"/>
      <c r="O22" s="149"/>
      <c r="P22" s="66"/>
      <c r="Q22" s="66"/>
      <c r="R22" s="66"/>
      <c r="S22" s="66"/>
      <c r="T22" s="66"/>
      <c r="U22" s="66"/>
      <c r="V22" s="66"/>
      <c r="W22" s="66"/>
      <c r="X22" s="66"/>
      <c r="Y22" s="66"/>
    </row>
    <row r="23" spans="1:25" ht="15" x14ac:dyDescent="0.25">
      <c r="A23" s="2"/>
      <c r="B23" s="2"/>
      <c r="C23" s="2"/>
      <c r="D23" s="2"/>
      <c r="E23" s="2"/>
      <c r="F23" s="2"/>
      <c r="G23" s="2"/>
      <c r="H23" s="2"/>
      <c r="I23" s="2"/>
      <c r="J23" s="2"/>
      <c r="K23" s="2"/>
      <c r="N23" s="142" t="s">
        <v>568</v>
      </c>
      <c r="O23" s="66"/>
      <c r="P23" s="66"/>
      <c r="Q23" s="66"/>
      <c r="R23" s="66"/>
      <c r="S23" s="66"/>
      <c r="T23" s="66"/>
      <c r="U23" s="66"/>
      <c r="V23" s="66"/>
      <c r="W23" s="66"/>
      <c r="X23" s="66"/>
      <c r="Y23" s="66"/>
    </row>
    <row r="24" spans="1:25" ht="15" x14ac:dyDescent="0.25">
      <c r="A24" s="2" t="s">
        <v>230</v>
      </c>
      <c r="B24" s="2"/>
      <c r="C24" s="2"/>
      <c r="D24" s="2"/>
      <c r="E24" s="2"/>
      <c r="F24" s="2"/>
      <c r="G24" s="2"/>
      <c r="H24" s="2"/>
      <c r="I24" s="2"/>
      <c r="J24" s="2"/>
      <c r="K24" s="2"/>
      <c r="N24" s="66"/>
      <c r="O24" s="66"/>
      <c r="P24" s="66"/>
      <c r="Q24" s="66"/>
      <c r="R24" s="66"/>
      <c r="S24" s="66"/>
      <c r="T24" s="66"/>
      <c r="U24" s="66"/>
      <c r="V24" s="66"/>
      <c r="W24" s="66"/>
      <c r="X24" s="66"/>
      <c r="Y24" s="66"/>
    </row>
    <row r="25" spans="1:25" ht="15" x14ac:dyDescent="0.25">
      <c r="A25" s="2"/>
      <c r="B25" s="2"/>
      <c r="C25" s="2"/>
      <c r="D25" s="2"/>
      <c r="E25" s="2"/>
      <c r="F25" s="2"/>
      <c r="G25" s="2"/>
      <c r="H25" s="2"/>
      <c r="I25" s="2"/>
      <c r="J25" s="2"/>
      <c r="K25" s="2"/>
      <c r="N25" s="149" t="s">
        <v>391</v>
      </c>
      <c r="O25" s="179" t="s">
        <v>440</v>
      </c>
      <c r="P25" s="84">
        <v>228</v>
      </c>
      <c r="Q25" s="66" t="s">
        <v>318</v>
      </c>
      <c r="R25" s="66" t="s">
        <v>687</v>
      </c>
      <c r="S25" s="66"/>
      <c r="T25" s="66"/>
      <c r="U25" s="66"/>
      <c r="V25" s="66"/>
      <c r="W25" s="66"/>
      <c r="X25" s="66"/>
      <c r="Y25" s="66"/>
    </row>
    <row r="26" spans="1:25" ht="15" x14ac:dyDescent="0.25">
      <c r="A26" s="2"/>
      <c r="B26" s="2" t="s">
        <v>231</v>
      </c>
      <c r="C26" s="2"/>
      <c r="D26" s="2"/>
      <c r="E26" s="2"/>
      <c r="F26" s="2"/>
      <c r="G26" s="2"/>
      <c r="H26" s="2"/>
      <c r="I26" s="2"/>
      <c r="J26" s="2"/>
      <c r="K26" s="2"/>
      <c r="N26" s="149" t="s">
        <v>392</v>
      </c>
      <c r="O26" s="179" t="s">
        <v>440</v>
      </c>
      <c r="P26" s="84">
        <v>290</v>
      </c>
      <c r="Q26" s="66" t="s">
        <v>405</v>
      </c>
      <c r="R26" s="66"/>
      <c r="S26" s="66"/>
      <c r="T26" s="66"/>
      <c r="U26" s="66"/>
      <c r="V26" s="66"/>
      <c r="W26" s="66"/>
      <c r="X26" s="66"/>
      <c r="Y26" s="66"/>
    </row>
    <row r="27" spans="1:25" ht="30" x14ac:dyDescent="0.25">
      <c r="A27" s="2"/>
      <c r="B27" s="2" t="s">
        <v>140</v>
      </c>
      <c r="C27" s="101">
        <f>40800*(C22-C21)</f>
        <v>3957600</v>
      </c>
      <c r="D27" s="2" t="s">
        <v>236</v>
      </c>
      <c r="E27" s="2"/>
      <c r="F27" s="2"/>
      <c r="G27" s="2"/>
      <c r="H27" s="2"/>
      <c r="I27" s="2"/>
      <c r="J27" s="2"/>
      <c r="K27" s="2"/>
      <c r="N27" s="263" t="s">
        <v>448</v>
      </c>
      <c r="O27" s="179" t="s">
        <v>440</v>
      </c>
      <c r="P27" s="84">
        <v>241</v>
      </c>
      <c r="Q27" s="66" t="s">
        <v>229</v>
      </c>
      <c r="R27" s="66"/>
      <c r="S27" s="66"/>
      <c r="T27" s="66"/>
      <c r="U27" s="66"/>
      <c r="V27" s="66"/>
      <c r="W27" s="66"/>
      <c r="X27" s="66"/>
      <c r="Y27" s="66"/>
    </row>
    <row r="28" spans="1:25" ht="30" x14ac:dyDescent="0.25">
      <c r="A28" s="2"/>
      <c r="B28" s="2"/>
      <c r="C28" s="2"/>
      <c r="D28" s="2"/>
      <c r="E28" s="2"/>
      <c r="F28" s="2"/>
      <c r="G28" s="2"/>
      <c r="H28" s="2"/>
      <c r="I28" s="2"/>
      <c r="J28" s="2"/>
      <c r="K28" s="2"/>
      <c r="N28" s="263" t="s">
        <v>390</v>
      </c>
      <c r="O28" s="179" t="s">
        <v>440</v>
      </c>
      <c r="P28" s="84">
        <v>338</v>
      </c>
      <c r="Q28" s="66" t="s">
        <v>229</v>
      </c>
      <c r="R28" s="66"/>
      <c r="S28" s="66"/>
      <c r="T28" s="66"/>
      <c r="U28" s="66"/>
      <c r="V28" s="66"/>
      <c r="W28" s="66"/>
      <c r="X28" s="66"/>
      <c r="Y28" s="66"/>
    </row>
    <row r="29" spans="1:25" ht="30" x14ac:dyDescent="0.25">
      <c r="A29" s="2" t="s">
        <v>232</v>
      </c>
      <c r="B29" s="2"/>
      <c r="C29" s="2"/>
      <c r="D29" s="2"/>
      <c r="E29" s="2"/>
      <c r="F29" s="2"/>
      <c r="G29" s="2"/>
      <c r="H29" s="2"/>
      <c r="I29" s="2"/>
      <c r="J29" s="2"/>
      <c r="K29" s="2"/>
      <c r="N29" s="263" t="s">
        <v>233</v>
      </c>
      <c r="O29" s="179" t="s">
        <v>440</v>
      </c>
      <c r="P29" s="84">
        <v>868</v>
      </c>
      <c r="Q29" s="66" t="s">
        <v>229</v>
      </c>
      <c r="R29" s="66"/>
      <c r="S29" s="66"/>
      <c r="T29" s="66"/>
      <c r="U29" s="66"/>
      <c r="V29" s="66"/>
      <c r="W29" s="66"/>
      <c r="X29" s="66"/>
      <c r="Y29" s="66"/>
    </row>
    <row r="30" spans="1:25" ht="18" x14ac:dyDescent="0.25">
      <c r="A30" s="2"/>
      <c r="B30" s="2"/>
      <c r="C30" s="2"/>
      <c r="D30" s="2"/>
      <c r="E30" s="2"/>
      <c r="F30" s="2"/>
      <c r="G30" s="2"/>
      <c r="H30" s="2"/>
      <c r="I30" s="2"/>
      <c r="J30" s="2"/>
      <c r="K30" s="2"/>
      <c r="N30" s="149" t="s">
        <v>566</v>
      </c>
      <c r="O30" s="179" t="s">
        <v>440</v>
      </c>
      <c r="P30" s="273">
        <v>12000</v>
      </c>
      <c r="Q30" s="172" t="s">
        <v>567</v>
      </c>
      <c r="R30" s="172"/>
      <c r="S30" s="66"/>
      <c r="T30" s="66"/>
      <c r="U30" s="66"/>
      <c r="V30" s="66"/>
      <c r="W30" s="66"/>
      <c r="X30" s="66"/>
      <c r="Y30" s="66"/>
    </row>
    <row r="31" spans="1:25" ht="28.5" customHeight="1" x14ac:dyDescent="0.25">
      <c r="A31" s="2"/>
      <c r="B31" s="4" t="s">
        <v>233</v>
      </c>
      <c r="C31" s="2">
        <v>868</v>
      </c>
      <c r="D31" s="2" t="s">
        <v>229</v>
      </c>
      <c r="E31" s="2"/>
      <c r="F31" s="2"/>
      <c r="G31" s="2"/>
      <c r="H31" s="2"/>
      <c r="I31" s="2"/>
      <c r="J31" s="2"/>
      <c r="K31" s="2"/>
      <c r="N31" s="140"/>
      <c r="O31" s="179"/>
      <c r="P31" s="140"/>
      <c r="Q31" s="140"/>
      <c r="R31" s="66"/>
      <c r="S31" s="66"/>
      <c r="T31" s="66"/>
      <c r="U31" s="66"/>
      <c r="V31" s="66"/>
      <c r="W31" s="66"/>
      <c r="X31" s="66"/>
      <c r="Y31" s="66"/>
    </row>
    <row r="32" spans="1:25" ht="15" x14ac:dyDescent="0.25">
      <c r="A32" s="2"/>
      <c r="B32" s="2"/>
      <c r="C32" s="2"/>
      <c r="D32" s="2"/>
      <c r="E32" s="2"/>
      <c r="F32" s="2"/>
      <c r="G32" s="2"/>
      <c r="H32" s="2"/>
      <c r="I32" s="2"/>
      <c r="J32" s="2"/>
      <c r="K32" s="2"/>
      <c r="N32" s="149" t="s">
        <v>140</v>
      </c>
      <c r="O32" s="179" t="s">
        <v>440</v>
      </c>
      <c r="P32" s="252">
        <f>P12*(P28-P27)</f>
        <v>3957600</v>
      </c>
      <c r="Q32" s="66" t="s">
        <v>236</v>
      </c>
      <c r="R32" s="66"/>
      <c r="S32" s="66"/>
      <c r="T32" s="66"/>
      <c r="U32" s="66"/>
      <c r="V32" s="66"/>
      <c r="W32" s="66"/>
      <c r="X32" s="66"/>
      <c r="Y32" s="66"/>
    </row>
    <row r="33" spans="1:26" ht="15" x14ac:dyDescent="0.25">
      <c r="A33" s="2"/>
      <c r="B33" s="2" t="s">
        <v>234</v>
      </c>
      <c r="C33" s="2"/>
      <c r="D33" s="2"/>
      <c r="E33" s="2"/>
      <c r="F33" s="2"/>
      <c r="G33" s="2"/>
      <c r="H33" s="2"/>
      <c r="I33" s="2"/>
      <c r="J33" s="2"/>
      <c r="K33" s="2"/>
      <c r="N33" s="149" t="s">
        <v>132</v>
      </c>
      <c r="O33" s="179" t="s">
        <v>440</v>
      </c>
      <c r="P33" s="229">
        <f>P32/P29</f>
        <v>4559.4470046082952</v>
      </c>
      <c r="Q33" s="66" t="s">
        <v>235</v>
      </c>
      <c r="R33" s="66"/>
      <c r="S33" s="66"/>
      <c r="T33" s="66"/>
      <c r="U33" s="66"/>
      <c r="V33" s="66"/>
      <c r="W33" s="66"/>
      <c r="X33" s="66"/>
      <c r="Y33" s="66"/>
    </row>
    <row r="34" spans="1:26" ht="15" x14ac:dyDescent="0.25">
      <c r="A34" s="2"/>
      <c r="B34" s="2" t="s">
        <v>132</v>
      </c>
      <c r="C34" s="101">
        <f>C27/C31</f>
        <v>4559.4470046082952</v>
      </c>
      <c r="D34" s="2" t="s">
        <v>235</v>
      </c>
      <c r="E34" s="2"/>
      <c r="F34" s="2"/>
      <c r="G34" s="2"/>
      <c r="H34" s="2"/>
      <c r="I34" s="2"/>
      <c r="J34" s="2"/>
      <c r="K34" s="2"/>
      <c r="N34" s="149" t="s">
        <v>237</v>
      </c>
      <c r="O34" s="179" t="s">
        <v>440</v>
      </c>
      <c r="P34" s="143">
        <f>R14-P25</f>
        <v>125</v>
      </c>
      <c r="Q34" s="66" t="s">
        <v>318</v>
      </c>
      <c r="R34" s="66" t="s">
        <v>688</v>
      </c>
      <c r="S34" s="66"/>
      <c r="T34" s="66"/>
      <c r="U34" s="66"/>
      <c r="V34" s="66"/>
      <c r="W34" s="66"/>
      <c r="X34" s="66"/>
      <c r="Y34" s="66"/>
    </row>
    <row r="35" spans="1:26" ht="18" x14ac:dyDescent="0.25">
      <c r="A35" s="2"/>
      <c r="B35" s="2"/>
      <c r="C35" s="2"/>
      <c r="D35" s="2"/>
      <c r="E35" s="2"/>
      <c r="F35" s="2"/>
      <c r="G35" s="2"/>
      <c r="H35" s="2"/>
      <c r="I35" s="2"/>
      <c r="J35" s="2"/>
      <c r="K35" s="2"/>
      <c r="N35" s="149" t="s">
        <v>111</v>
      </c>
      <c r="O35" s="179" t="s">
        <v>440</v>
      </c>
      <c r="P35" s="143">
        <f>P32/P30</f>
        <v>329.8</v>
      </c>
      <c r="Q35" s="66" t="s">
        <v>317</v>
      </c>
      <c r="R35" s="66"/>
      <c r="S35" s="66"/>
      <c r="T35" s="66"/>
      <c r="U35" s="66"/>
      <c r="V35" s="66"/>
      <c r="W35" s="66"/>
      <c r="X35" s="66"/>
      <c r="Y35" s="66"/>
    </row>
    <row r="36" spans="1:26" ht="15" x14ac:dyDescent="0.25">
      <c r="A36" s="2"/>
      <c r="B36" s="2" t="s">
        <v>237</v>
      </c>
      <c r="C36" s="2">
        <f>353-228</f>
        <v>125</v>
      </c>
      <c r="D36" s="2" t="s">
        <v>318</v>
      </c>
      <c r="E36" s="2"/>
      <c r="F36" s="2"/>
      <c r="G36" s="2"/>
      <c r="H36" s="2"/>
      <c r="I36" s="2"/>
      <c r="J36" s="2"/>
      <c r="K36" s="2"/>
      <c r="N36" s="66"/>
      <c r="O36" s="179"/>
      <c r="P36" s="66"/>
      <c r="Q36" s="66"/>
      <c r="R36" s="66"/>
      <c r="S36" s="66"/>
      <c r="T36" s="66"/>
      <c r="U36" s="66"/>
      <c r="V36" s="66"/>
      <c r="W36" s="66"/>
      <c r="X36" s="66"/>
      <c r="Y36" s="66"/>
      <c r="Z36" s="274"/>
    </row>
    <row r="37" spans="1:26" ht="15" x14ac:dyDescent="0.25">
      <c r="A37" s="2"/>
      <c r="B37" s="2"/>
      <c r="C37" s="2"/>
      <c r="D37" s="2"/>
      <c r="E37" s="2"/>
      <c r="F37" s="2"/>
      <c r="G37" s="2"/>
      <c r="H37" s="2"/>
      <c r="I37" s="2"/>
      <c r="J37" s="2"/>
      <c r="K37" s="2"/>
      <c r="N37" s="142" t="s">
        <v>569</v>
      </c>
      <c r="O37" s="179"/>
      <c r="P37" s="66"/>
      <c r="Q37" s="66"/>
      <c r="R37" s="66"/>
      <c r="S37" s="66"/>
      <c r="T37" s="66"/>
      <c r="U37" s="66"/>
      <c r="V37" s="66"/>
      <c r="W37" s="66"/>
      <c r="X37" s="66"/>
      <c r="Y37" s="66"/>
    </row>
    <row r="38" spans="1:26" ht="18" x14ac:dyDescent="0.25">
      <c r="A38" s="2" t="s">
        <v>704</v>
      </c>
      <c r="B38" s="2"/>
      <c r="C38" s="2"/>
      <c r="D38" s="2"/>
      <c r="E38" s="2"/>
      <c r="F38" s="2"/>
      <c r="G38" s="2"/>
      <c r="H38" s="2"/>
      <c r="I38" s="2"/>
      <c r="J38" s="2"/>
      <c r="K38" s="2"/>
      <c r="N38" s="275" t="s">
        <v>240</v>
      </c>
      <c r="O38" s="179" t="s">
        <v>440</v>
      </c>
      <c r="P38" s="88">
        <v>16</v>
      </c>
      <c r="Q38" s="219" t="s">
        <v>78</v>
      </c>
      <c r="R38" s="66" t="s">
        <v>691</v>
      </c>
      <c r="S38" s="66"/>
      <c r="T38" s="66"/>
      <c r="U38" s="66"/>
      <c r="V38" s="66"/>
      <c r="W38" s="66"/>
      <c r="X38" s="66"/>
      <c r="Y38" s="66"/>
    </row>
    <row r="39" spans="1:26" ht="15" x14ac:dyDescent="0.25">
      <c r="A39" s="2"/>
      <c r="B39" s="2"/>
      <c r="C39" s="2"/>
      <c r="D39" s="2"/>
      <c r="E39" s="2"/>
      <c r="F39" s="2"/>
      <c r="G39" s="2"/>
      <c r="H39" s="2"/>
      <c r="I39" s="2"/>
      <c r="J39" s="2"/>
      <c r="K39" s="2"/>
      <c r="N39" s="275" t="s">
        <v>139</v>
      </c>
      <c r="O39" s="179" t="s">
        <v>440</v>
      </c>
      <c r="P39" s="276">
        <f>$P35/(P38*$P$17)</f>
        <v>105.00509424350484</v>
      </c>
      <c r="Q39" s="219" t="s">
        <v>241</v>
      </c>
      <c r="R39" s="66"/>
      <c r="S39" s="66"/>
      <c r="T39" s="66"/>
      <c r="U39" s="66"/>
      <c r="V39" s="66"/>
      <c r="W39" s="66"/>
      <c r="X39" s="66"/>
      <c r="Y39" s="66"/>
    </row>
    <row r="40" spans="1:26" ht="18.75" x14ac:dyDescent="0.3">
      <c r="A40" s="2"/>
      <c r="B40" s="2" t="s">
        <v>238</v>
      </c>
      <c r="C40" s="2"/>
      <c r="D40" s="2"/>
      <c r="E40" s="2"/>
      <c r="F40" s="2"/>
      <c r="G40" s="2"/>
      <c r="H40" s="2"/>
      <c r="I40" s="2"/>
      <c r="J40" s="2"/>
      <c r="K40" s="2"/>
      <c r="N40" s="275" t="s">
        <v>692</v>
      </c>
      <c r="O40" s="179" t="s">
        <v>440</v>
      </c>
      <c r="P40" s="277">
        <f>1/$P$19</f>
        <v>0.44052863436123346</v>
      </c>
      <c r="Q40" s="219" t="s">
        <v>331</v>
      </c>
      <c r="R40" s="215"/>
      <c r="S40" s="66"/>
      <c r="T40" s="66"/>
      <c r="U40" s="66"/>
      <c r="V40" s="66"/>
      <c r="W40" s="66"/>
      <c r="X40" s="66"/>
      <c r="Y40" s="66"/>
    </row>
    <row r="41" spans="1:26" ht="18.75" x14ac:dyDescent="0.3">
      <c r="A41" s="2"/>
      <c r="B41" s="2"/>
      <c r="C41" s="2"/>
      <c r="D41" s="2"/>
      <c r="E41" s="2"/>
      <c r="F41" s="2"/>
      <c r="G41" s="2"/>
      <c r="H41" s="2"/>
      <c r="I41" s="2"/>
      <c r="J41" s="2"/>
      <c r="K41" s="2"/>
      <c r="N41" s="275" t="s">
        <v>570</v>
      </c>
      <c r="O41" s="179" t="s">
        <v>440</v>
      </c>
      <c r="P41" s="277">
        <f>1/(62.4*$P$21)</f>
        <v>3.7268932617769826E-2</v>
      </c>
      <c r="Q41" s="219" t="s">
        <v>331</v>
      </c>
      <c r="R41" s="66"/>
      <c r="S41" s="66"/>
      <c r="T41" s="66"/>
      <c r="U41" s="66"/>
      <c r="V41" s="66"/>
      <c r="W41" s="66"/>
      <c r="X41" s="66"/>
      <c r="Y41" s="66"/>
    </row>
    <row r="42" spans="1:26" ht="18.75" x14ac:dyDescent="0.3">
      <c r="A42" s="2"/>
      <c r="B42" s="2" t="s">
        <v>111</v>
      </c>
      <c r="C42" s="2">
        <f>C27/12000</f>
        <v>329.8</v>
      </c>
      <c r="D42" s="2" t="s">
        <v>317</v>
      </c>
      <c r="E42" s="2"/>
      <c r="F42" s="2"/>
      <c r="G42" s="2"/>
      <c r="H42" s="2"/>
      <c r="I42" s="2"/>
      <c r="J42" s="2"/>
      <c r="K42" s="2"/>
      <c r="N42" s="275" t="s">
        <v>323</v>
      </c>
      <c r="O42" s="179" t="s">
        <v>440</v>
      </c>
      <c r="P42" s="278">
        <f>P13*P12</f>
        <v>163200</v>
      </c>
      <c r="Q42" s="219" t="s">
        <v>245</v>
      </c>
      <c r="R42" s="66"/>
      <c r="S42" s="66"/>
      <c r="T42" s="66"/>
      <c r="U42" s="66"/>
      <c r="V42" s="66"/>
      <c r="W42" s="66"/>
      <c r="X42" s="66"/>
      <c r="Y42" s="66"/>
    </row>
    <row r="43" spans="1:26" ht="18.75" x14ac:dyDescent="0.3">
      <c r="A43" s="2"/>
      <c r="B43" s="2"/>
      <c r="C43" s="2"/>
      <c r="D43" s="2"/>
      <c r="E43" s="2"/>
      <c r="F43" s="2"/>
      <c r="G43" s="2"/>
      <c r="H43" s="2"/>
      <c r="I43" s="2"/>
      <c r="J43" s="2"/>
      <c r="K43" s="2"/>
      <c r="N43" s="275" t="s">
        <v>335</v>
      </c>
      <c r="O43" s="179" t="s">
        <v>440</v>
      </c>
      <c r="P43" s="279">
        <f>P42*P41</f>
        <v>6082.2898032200355</v>
      </c>
      <c r="Q43" s="219" t="s">
        <v>336</v>
      </c>
      <c r="R43" s="66"/>
      <c r="S43" s="66"/>
      <c r="T43" s="66"/>
      <c r="U43" s="66"/>
      <c r="V43" s="66"/>
      <c r="W43" s="66"/>
      <c r="X43" s="66"/>
      <c r="Y43" s="66"/>
    </row>
    <row r="44" spans="1:26" ht="12.75" customHeight="1" x14ac:dyDescent="0.25">
      <c r="A44" s="107" t="s">
        <v>437</v>
      </c>
      <c r="B44" s="107"/>
      <c r="C44" s="107"/>
      <c r="D44" s="107"/>
      <c r="E44" s="107"/>
      <c r="F44" s="107"/>
      <c r="G44" s="107"/>
      <c r="H44" s="107"/>
      <c r="I44" s="107"/>
      <c r="J44" s="2"/>
      <c r="K44" s="2"/>
      <c r="N44" s="275" t="s">
        <v>247</v>
      </c>
      <c r="O44" s="179" t="s">
        <v>440</v>
      </c>
      <c r="P44" s="279">
        <f>P12*P40</f>
        <v>17973.568281938326</v>
      </c>
      <c r="Q44" s="219" t="s">
        <v>336</v>
      </c>
      <c r="R44" s="66"/>
      <c r="S44" s="66"/>
      <c r="T44" s="66"/>
      <c r="U44" s="66"/>
      <c r="V44" s="66"/>
      <c r="W44" s="66"/>
      <c r="X44" s="66"/>
      <c r="Y44" s="66"/>
    </row>
    <row r="45" spans="1:26" ht="18" x14ac:dyDescent="0.25">
      <c r="A45" s="107"/>
      <c r="B45" s="107"/>
      <c r="C45" s="107"/>
      <c r="D45" s="107"/>
      <c r="E45" s="107"/>
      <c r="F45" s="107"/>
      <c r="G45" s="107"/>
      <c r="H45" s="107"/>
      <c r="I45" s="107"/>
      <c r="J45" s="2"/>
      <c r="K45" s="2"/>
      <c r="N45" s="275" t="s">
        <v>248</v>
      </c>
      <c r="O45" s="179" t="s">
        <v>440</v>
      </c>
      <c r="P45" s="279">
        <f>SUM(P43:P44)</f>
        <v>24055.858085158361</v>
      </c>
      <c r="Q45" s="219" t="s">
        <v>336</v>
      </c>
      <c r="R45" s="280"/>
      <c r="S45" s="280"/>
      <c r="T45" s="280"/>
      <c r="U45" s="280"/>
      <c r="V45" s="280"/>
      <c r="W45" s="66"/>
      <c r="X45" s="66"/>
      <c r="Y45" s="66"/>
    </row>
    <row r="46" spans="1:26" ht="18.75" x14ac:dyDescent="0.3">
      <c r="A46" s="2"/>
      <c r="B46" s="2"/>
      <c r="C46" s="2"/>
      <c r="D46" s="2"/>
      <c r="E46" s="2"/>
      <c r="F46" s="2"/>
      <c r="G46" s="2"/>
      <c r="H46" s="2"/>
      <c r="I46" s="2"/>
      <c r="J46" s="2"/>
      <c r="K46" s="2"/>
      <c r="N46" s="275" t="s">
        <v>339</v>
      </c>
      <c r="O46" s="179" t="s">
        <v>440</v>
      </c>
      <c r="P46" s="277">
        <f>P45/(P42+P12)</f>
        <v>0.11792087296646256</v>
      </c>
      <c r="Q46" s="215" t="s">
        <v>331</v>
      </c>
      <c r="R46" s="280"/>
      <c r="S46" s="280"/>
      <c r="T46" s="280"/>
      <c r="U46" s="280"/>
      <c r="V46" s="280"/>
      <c r="W46" s="66"/>
      <c r="X46" s="66"/>
      <c r="Y46" s="66"/>
    </row>
    <row r="47" spans="1:26" ht="15.75" thickBot="1" x14ac:dyDescent="0.3">
      <c r="A47" s="2"/>
      <c r="B47" s="2"/>
      <c r="C47" s="117" t="s">
        <v>240</v>
      </c>
      <c r="D47" s="117"/>
      <c r="E47" s="117"/>
      <c r="F47" s="117"/>
      <c r="G47" s="117"/>
      <c r="H47" s="117"/>
      <c r="I47" s="2"/>
      <c r="J47" s="2"/>
      <c r="K47" s="2"/>
      <c r="N47" s="275" t="s">
        <v>250</v>
      </c>
      <c r="O47" s="179" t="s">
        <v>440</v>
      </c>
      <c r="P47" s="281">
        <f>(2.3*P38*LOG(P46/P41))/(144*(P46-P41))</f>
        <v>1.5850835578355891</v>
      </c>
      <c r="Q47" s="219" t="s">
        <v>251</v>
      </c>
      <c r="R47" s="219" t="s">
        <v>526</v>
      </c>
      <c r="S47" s="219"/>
      <c r="T47" s="219"/>
      <c r="U47" s="219"/>
      <c r="V47" s="66"/>
      <c r="W47" s="66"/>
      <c r="X47" s="66"/>
      <c r="Y47" s="66"/>
    </row>
    <row r="48" spans="1:26" ht="18.75" x14ac:dyDescent="0.3">
      <c r="A48" s="2"/>
      <c r="B48" s="2"/>
      <c r="C48" s="2">
        <v>16</v>
      </c>
      <c r="D48" s="2" t="s">
        <v>78</v>
      </c>
      <c r="E48" s="55">
        <v>12</v>
      </c>
      <c r="F48" s="2" t="s">
        <v>78</v>
      </c>
      <c r="G48" s="55">
        <v>10</v>
      </c>
      <c r="H48" s="2" t="s">
        <v>78</v>
      </c>
      <c r="I48" s="2"/>
      <c r="J48" s="2"/>
      <c r="K48" s="2"/>
      <c r="N48" s="275" t="s">
        <v>342</v>
      </c>
      <c r="O48" s="179" t="s">
        <v>440</v>
      </c>
      <c r="P48" s="282">
        <f>P39*$P$18/144</f>
        <v>0.22021901709401709</v>
      </c>
      <c r="Q48" s="283" t="s">
        <v>317</v>
      </c>
      <c r="R48" s="284"/>
      <c r="S48" s="284"/>
      <c r="T48" s="284"/>
      <c r="U48" s="284"/>
      <c r="V48" s="66"/>
      <c r="W48" s="66"/>
      <c r="X48" s="66"/>
      <c r="Y48" s="66"/>
    </row>
    <row r="49" spans="1:25" ht="18.75" x14ac:dyDescent="0.3">
      <c r="A49" s="2"/>
      <c r="B49" s="2"/>
      <c r="C49" s="2"/>
      <c r="D49" s="2"/>
      <c r="E49" s="55"/>
      <c r="F49" s="2"/>
      <c r="G49" s="55"/>
      <c r="H49" s="2"/>
      <c r="I49" s="2"/>
      <c r="J49" s="2"/>
      <c r="K49" s="2"/>
      <c r="M49" s="230"/>
      <c r="N49" s="275" t="s">
        <v>343</v>
      </c>
      <c r="O49" s="179" t="s">
        <v>440</v>
      </c>
      <c r="P49" s="279">
        <f>(P42+P12)/P48</f>
        <v>926350.51546391752</v>
      </c>
      <c r="Q49" s="219" t="s">
        <v>344</v>
      </c>
      <c r="R49" s="72"/>
      <c r="S49" s="219"/>
      <c r="T49" s="72"/>
      <c r="U49" s="219"/>
      <c r="V49" s="66"/>
      <c r="W49" s="66"/>
      <c r="X49" s="66"/>
      <c r="Y49" s="66"/>
    </row>
    <row r="50" spans="1:25" ht="15" x14ac:dyDescent="0.25">
      <c r="A50" s="2"/>
      <c r="B50" s="2" t="s">
        <v>239</v>
      </c>
      <c r="C50" s="2"/>
      <c r="D50" s="2"/>
      <c r="E50" s="2"/>
      <c r="F50" s="2"/>
      <c r="G50" s="2"/>
      <c r="H50" s="2"/>
      <c r="I50" s="2"/>
      <c r="J50" s="2"/>
      <c r="K50" s="2"/>
      <c r="N50" s="275" t="s">
        <v>172</v>
      </c>
      <c r="O50" s="179" t="s">
        <v>440</v>
      </c>
      <c r="P50" s="278">
        <f>0.1*2.42</f>
        <v>0.24199999999999999</v>
      </c>
      <c r="Q50" s="219" t="s">
        <v>253</v>
      </c>
      <c r="R50" s="219"/>
      <c r="S50" s="219"/>
      <c r="T50" s="219"/>
      <c r="U50" s="219"/>
      <c r="V50" s="66"/>
      <c r="W50" s="66"/>
      <c r="X50" s="66"/>
      <c r="Y50" s="66"/>
    </row>
    <row r="51" spans="1:25" ht="15" x14ac:dyDescent="0.25">
      <c r="A51" s="2"/>
      <c r="B51" s="2" t="s">
        <v>139</v>
      </c>
      <c r="C51" s="49">
        <f>$C$42/(C48*$C$13)</f>
        <v>105.00509424350484</v>
      </c>
      <c r="D51" s="2" t="s">
        <v>241</v>
      </c>
      <c r="E51" s="56">
        <f>$C$42/(E48*$C$13)</f>
        <v>140.00679232467314</v>
      </c>
      <c r="F51" s="2" t="s">
        <v>241</v>
      </c>
      <c r="G51" s="56">
        <f>$C$42/(G48*$C$13)</f>
        <v>168.00815078960775</v>
      </c>
      <c r="H51" s="2" t="s">
        <v>241</v>
      </c>
      <c r="I51" s="2"/>
      <c r="J51" s="2"/>
      <c r="K51" s="2"/>
      <c r="N51" s="275" t="s">
        <v>114</v>
      </c>
      <c r="O51" s="179" t="s">
        <v>440</v>
      </c>
      <c r="P51" s="282">
        <f>P16/12</f>
        <v>5.1666666666666666E-2</v>
      </c>
      <c r="Q51" s="219" t="s">
        <v>78</v>
      </c>
      <c r="R51" s="219"/>
      <c r="S51" s="219"/>
      <c r="T51" s="219"/>
      <c r="U51" s="219"/>
      <c r="V51" s="66"/>
      <c r="W51" s="66"/>
      <c r="X51" s="66"/>
      <c r="Y51" s="66"/>
    </row>
    <row r="52" spans="1:25" ht="15" x14ac:dyDescent="0.25">
      <c r="A52" s="2"/>
      <c r="B52" s="2"/>
      <c r="C52" s="2"/>
      <c r="D52" s="2"/>
      <c r="E52" s="55"/>
      <c r="F52" s="2"/>
      <c r="G52" s="55"/>
      <c r="H52" s="2"/>
      <c r="I52" s="2"/>
      <c r="J52" s="2"/>
      <c r="K52" s="2"/>
      <c r="N52" s="275" t="s">
        <v>141</v>
      </c>
      <c r="O52" s="179" t="s">
        <v>440</v>
      </c>
      <c r="P52" s="279">
        <f>P51*P49/P50</f>
        <v>197774.55908664904</v>
      </c>
      <c r="Q52" s="219"/>
      <c r="R52" s="285"/>
      <c r="S52" s="219"/>
      <c r="T52" s="285"/>
      <c r="U52" s="219"/>
      <c r="V52" s="66"/>
      <c r="W52" s="66"/>
      <c r="X52" s="66"/>
      <c r="Y52" s="66"/>
    </row>
    <row r="53" spans="1:25" ht="18" x14ac:dyDescent="0.25">
      <c r="A53" s="2" t="s">
        <v>242</v>
      </c>
      <c r="B53" s="2"/>
      <c r="C53" s="2"/>
      <c r="D53" s="2"/>
      <c r="E53" s="2"/>
      <c r="F53" s="2"/>
      <c r="G53" s="2"/>
      <c r="H53" s="2"/>
      <c r="I53" s="2"/>
      <c r="J53" s="2"/>
      <c r="K53" s="2"/>
      <c r="N53" s="275" t="s">
        <v>115</v>
      </c>
      <c r="O53" s="179" t="s">
        <v>440</v>
      </c>
      <c r="P53" s="88">
        <v>1.27E-4</v>
      </c>
      <c r="Q53" s="219" t="s">
        <v>346</v>
      </c>
      <c r="R53" s="219" t="s">
        <v>694</v>
      </c>
      <c r="S53" s="219"/>
      <c r="T53" s="219"/>
      <c r="U53" s="219"/>
      <c r="V53" s="66"/>
      <c r="W53" s="66"/>
      <c r="X53" s="66"/>
      <c r="Y53" s="66"/>
    </row>
    <row r="54" spans="1:25" ht="16.5" x14ac:dyDescent="0.3">
      <c r="A54" s="2"/>
      <c r="B54" s="2"/>
      <c r="C54" s="2"/>
      <c r="D54" s="2"/>
      <c r="E54" s="55"/>
      <c r="F54" s="2"/>
      <c r="G54" s="55"/>
      <c r="H54" s="2"/>
      <c r="I54" s="2"/>
      <c r="J54" s="2"/>
      <c r="K54" s="2"/>
      <c r="N54" s="275" t="s">
        <v>347</v>
      </c>
      <c r="O54" s="179" t="s">
        <v>440</v>
      </c>
      <c r="P54" s="282">
        <f>($P$21+(1/P46)/62.4)/2</f>
        <v>0.28295082423702383</v>
      </c>
      <c r="Q54" s="283"/>
      <c r="R54" s="219"/>
      <c r="S54" s="219"/>
      <c r="T54" s="219"/>
      <c r="U54" s="219"/>
      <c r="V54" s="66"/>
      <c r="W54" s="66"/>
      <c r="X54" s="66"/>
      <c r="Y54" s="66"/>
    </row>
    <row r="55" spans="1:25" ht="16.5" x14ac:dyDescent="0.3">
      <c r="A55" s="2"/>
      <c r="B55" s="2" t="s">
        <v>329</v>
      </c>
      <c r="C55" s="2"/>
      <c r="D55" s="2"/>
      <c r="E55" s="55"/>
      <c r="F55" s="2"/>
      <c r="G55" s="55"/>
      <c r="H55" s="2"/>
      <c r="I55" s="2"/>
      <c r="J55" s="2"/>
      <c r="K55" s="2"/>
      <c r="N55" s="149" t="s">
        <v>695</v>
      </c>
      <c r="O55" s="179" t="s">
        <v>440</v>
      </c>
      <c r="P55" s="281">
        <f>(P53*(P49^2)*P38)/(5.22*(10^10)*P51*P54)</f>
        <v>2.2849804508053237</v>
      </c>
      <c r="Q55" s="219" t="s">
        <v>251</v>
      </c>
      <c r="R55" s="219"/>
      <c r="S55" s="219"/>
      <c r="T55" s="219"/>
      <c r="U55" s="219"/>
      <c r="V55" s="66"/>
      <c r="W55" s="66"/>
      <c r="X55" s="66"/>
      <c r="Y55" s="66"/>
    </row>
    <row r="56" spans="1:25" ht="15" x14ac:dyDescent="0.25">
      <c r="A56" s="2"/>
      <c r="B56" s="2"/>
      <c r="C56" s="2"/>
      <c r="D56" s="2"/>
      <c r="E56" s="55"/>
      <c r="F56" s="2"/>
      <c r="G56" s="55"/>
      <c r="H56" s="2"/>
      <c r="I56" s="2"/>
      <c r="J56" s="2"/>
      <c r="K56" s="2"/>
      <c r="N56" s="275" t="s">
        <v>258</v>
      </c>
      <c r="O56" s="179" t="s">
        <v>440</v>
      </c>
      <c r="P56" s="281">
        <f>P55+P47</f>
        <v>3.870064008640913</v>
      </c>
      <c r="Q56" s="286" t="s">
        <v>251</v>
      </c>
      <c r="R56" s="219"/>
      <c r="S56" s="219"/>
      <c r="T56" s="219"/>
      <c r="U56" s="219"/>
      <c r="V56" s="66"/>
      <c r="W56" s="66"/>
      <c r="X56" s="66"/>
      <c r="Y56" s="66"/>
    </row>
    <row r="57" spans="1:25" ht="18.75" x14ac:dyDescent="0.3">
      <c r="A57" s="2"/>
      <c r="B57" s="2" t="s">
        <v>330</v>
      </c>
      <c r="C57" s="57">
        <f>1/$C$15</f>
        <v>0.44052863436123346</v>
      </c>
      <c r="D57" s="2" t="s">
        <v>331</v>
      </c>
      <c r="E57" s="58">
        <f>1/$C$15</f>
        <v>0.44052863436123346</v>
      </c>
      <c r="F57" s="2" t="s">
        <v>331</v>
      </c>
      <c r="G57" s="58">
        <f>1/$C$15</f>
        <v>0.44052863436123346</v>
      </c>
      <c r="H57" s="2" t="s">
        <v>331</v>
      </c>
      <c r="I57" s="2"/>
      <c r="J57" s="2"/>
      <c r="K57" s="2"/>
      <c r="N57" s="275" t="s">
        <v>527</v>
      </c>
      <c r="O57" s="179" t="s">
        <v>440</v>
      </c>
      <c r="P57" s="281">
        <f>P38*$P$21*62.4/144</f>
        <v>2.9813333333333336</v>
      </c>
      <c r="Q57" s="286" t="s">
        <v>251</v>
      </c>
      <c r="R57" s="219"/>
      <c r="S57" s="219"/>
      <c r="T57" s="219"/>
      <c r="U57" s="219"/>
      <c r="V57" s="66"/>
      <c r="W57" s="66"/>
      <c r="X57" s="66"/>
      <c r="Y57" s="66"/>
    </row>
    <row r="58" spans="1:25" ht="15" x14ac:dyDescent="0.25">
      <c r="A58" s="2"/>
      <c r="B58" s="2"/>
      <c r="C58" s="2"/>
      <c r="D58" s="2"/>
      <c r="E58" s="55"/>
      <c r="F58" s="2"/>
      <c r="G58" s="55"/>
      <c r="H58" s="2"/>
      <c r="I58" s="2"/>
      <c r="J58" s="2"/>
      <c r="K58" s="2"/>
      <c r="N58" s="275" t="s">
        <v>451</v>
      </c>
      <c r="O58" s="143" t="s">
        <v>440</v>
      </c>
      <c r="P58" s="281">
        <f>P57-P56</f>
        <v>-0.88873067530757943</v>
      </c>
      <c r="Q58" s="286" t="s">
        <v>251</v>
      </c>
      <c r="R58" s="140"/>
      <c r="S58" s="219"/>
      <c r="T58" s="215"/>
      <c r="U58" s="219"/>
      <c r="V58" s="66"/>
      <c r="W58" s="66"/>
      <c r="X58" s="66"/>
      <c r="Y58" s="66"/>
    </row>
    <row r="59" spans="1:25" ht="16.5" x14ac:dyDescent="0.3">
      <c r="A59" s="2"/>
      <c r="B59" s="2" t="s">
        <v>332</v>
      </c>
      <c r="C59" s="2"/>
      <c r="D59" s="2"/>
      <c r="E59" s="55"/>
      <c r="F59" s="2"/>
      <c r="G59" s="55"/>
      <c r="H59" s="2"/>
      <c r="I59" s="2"/>
      <c r="J59" s="2"/>
      <c r="K59" s="2"/>
      <c r="N59" s="275"/>
      <c r="O59" s="143"/>
      <c r="P59" s="281"/>
      <c r="Q59" s="286"/>
      <c r="R59" s="140"/>
      <c r="S59" s="219"/>
      <c r="T59" s="215"/>
      <c r="U59" s="219"/>
      <c r="V59" s="66"/>
      <c r="W59" s="66"/>
      <c r="X59" s="66"/>
      <c r="Y59" s="66"/>
    </row>
    <row r="60" spans="1:25" ht="15" x14ac:dyDescent="0.25">
      <c r="A60" s="2"/>
      <c r="B60" s="2"/>
      <c r="C60" s="2"/>
      <c r="D60" s="2"/>
      <c r="E60" s="55"/>
      <c r="F60" s="2"/>
      <c r="G60" s="55"/>
      <c r="H60" s="2"/>
      <c r="I60" s="2"/>
      <c r="J60" s="2"/>
      <c r="K60" s="2"/>
      <c r="N60" s="287" t="s">
        <v>697</v>
      </c>
      <c r="O60" s="143"/>
      <c r="P60" s="281"/>
      <c r="Q60" s="286"/>
      <c r="R60" s="140"/>
      <c r="S60" s="219"/>
      <c r="T60" s="215"/>
      <c r="U60" s="219"/>
      <c r="V60" s="66"/>
      <c r="W60" s="66"/>
      <c r="X60" s="66"/>
      <c r="Y60" s="66"/>
    </row>
    <row r="61" spans="1:25" ht="18.75" x14ac:dyDescent="0.3">
      <c r="A61" s="2"/>
      <c r="B61" s="2" t="s">
        <v>333</v>
      </c>
      <c r="C61" s="57">
        <f>1/(62.4*$C$17)</f>
        <v>3.7268932617769826E-2</v>
      </c>
      <c r="D61" s="2" t="s">
        <v>331</v>
      </c>
      <c r="E61" s="58">
        <f>1/(62.4*$C$17)</f>
        <v>3.7268932617769826E-2</v>
      </c>
      <c r="F61" s="2" t="s">
        <v>331</v>
      </c>
      <c r="G61" s="58">
        <f>1/(62.4*$C$17)</f>
        <v>3.7268932617769826E-2</v>
      </c>
      <c r="H61" s="2" t="s">
        <v>331</v>
      </c>
      <c r="I61" s="2"/>
      <c r="J61" s="2"/>
      <c r="K61" s="2"/>
      <c r="N61" s="288" t="s">
        <v>709</v>
      </c>
      <c r="O61" s="288"/>
      <c r="P61" s="288"/>
      <c r="Q61" s="288"/>
      <c r="R61" s="288"/>
      <c r="S61" s="288"/>
      <c r="T61" s="288"/>
      <c r="U61" s="288"/>
      <c r="V61" s="288"/>
      <c r="W61" s="288"/>
      <c r="X61" s="288"/>
      <c r="Y61" s="288"/>
    </row>
    <row r="62" spans="1:25" ht="15" x14ac:dyDescent="0.25">
      <c r="A62" s="2"/>
      <c r="B62" s="2"/>
      <c r="C62" s="2"/>
      <c r="D62" s="2"/>
      <c r="E62" s="55"/>
      <c r="F62" s="2"/>
      <c r="G62" s="55"/>
      <c r="H62" s="2"/>
      <c r="I62" s="2"/>
      <c r="J62" s="2"/>
      <c r="K62" s="2"/>
      <c r="N62" s="288"/>
      <c r="O62" s="288"/>
      <c r="P62" s="288"/>
      <c r="Q62" s="288"/>
      <c r="R62" s="288"/>
      <c r="S62" s="288"/>
      <c r="T62" s="288"/>
      <c r="U62" s="288"/>
      <c r="V62" s="288"/>
      <c r="W62" s="288"/>
      <c r="X62" s="288"/>
      <c r="Y62" s="288"/>
    </row>
    <row r="63" spans="1:25" ht="15" x14ac:dyDescent="0.25">
      <c r="A63" s="2" t="s">
        <v>244</v>
      </c>
      <c r="B63" s="2"/>
      <c r="C63" s="2"/>
      <c r="D63" s="2"/>
      <c r="E63" s="2"/>
      <c r="F63" s="2"/>
      <c r="G63" s="2"/>
      <c r="H63" s="2"/>
      <c r="I63" s="2"/>
      <c r="J63" s="2"/>
      <c r="K63" s="2"/>
      <c r="N63" s="288"/>
      <c r="O63" s="288"/>
      <c r="P63" s="288"/>
      <c r="Q63" s="288"/>
      <c r="R63" s="288"/>
      <c r="S63" s="288"/>
      <c r="T63" s="288"/>
      <c r="U63" s="288"/>
      <c r="V63" s="288"/>
      <c r="W63" s="288"/>
      <c r="X63" s="288"/>
      <c r="Y63" s="288"/>
    </row>
    <row r="64" spans="1:25" ht="15" x14ac:dyDescent="0.25">
      <c r="A64" s="2"/>
      <c r="B64" s="2"/>
      <c r="C64" s="2"/>
      <c r="D64" s="2"/>
      <c r="E64" s="55"/>
      <c r="F64" s="2"/>
      <c r="G64" s="55"/>
      <c r="H64" s="2"/>
      <c r="I64" s="2"/>
      <c r="J64" s="2"/>
      <c r="K64" s="2"/>
      <c r="N64" s="288"/>
      <c r="O64" s="288"/>
      <c r="P64" s="288"/>
      <c r="Q64" s="288"/>
      <c r="R64" s="288"/>
      <c r="S64" s="288"/>
      <c r="T64" s="288"/>
      <c r="U64" s="288"/>
      <c r="V64" s="288"/>
      <c r="W64" s="288"/>
      <c r="X64" s="288"/>
      <c r="Y64" s="288"/>
    </row>
    <row r="65" spans="1:25" ht="16.5" x14ac:dyDescent="0.3">
      <c r="A65" s="2"/>
      <c r="B65" s="2" t="s">
        <v>323</v>
      </c>
      <c r="C65" s="101">
        <f>4*40800</f>
        <v>163200</v>
      </c>
      <c r="D65" s="2" t="s">
        <v>245</v>
      </c>
      <c r="E65" s="106">
        <f>4*40800</f>
        <v>163200</v>
      </c>
      <c r="F65" s="2" t="s">
        <v>245</v>
      </c>
      <c r="G65" s="106">
        <f>4*40800</f>
        <v>163200</v>
      </c>
      <c r="H65" s="2" t="s">
        <v>245</v>
      </c>
      <c r="I65" s="2"/>
      <c r="J65" s="2"/>
      <c r="K65" s="2"/>
      <c r="N65" s="289" t="s">
        <v>708</v>
      </c>
      <c r="O65" s="290" t="s">
        <v>696</v>
      </c>
      <c r="P65" s="219"/>
      <c r="Q65" s="219"/>
      <c r="R65" s="219"/>
      <c r="S65" s="219"/>
      <c r="T65" s="219"/>
      <c r="U65" s="219"/>
      <c r="V65" s="66"/>
      <c r="W65" s="66"/>
      <c r="X65" s="66"/>
      <c r="Y65" s="66"/>
    </row>
    <row r="66" spans="1:25" ht="15" x14ac:dyDescent="0.25">
      <c r="A66" s="2"/>
      <c r="B66" s="2"/>
      <c r="C66" s="2"/>
      <c r="D66" s="2"/>
      <c r="E66" s="55"/>
      <c r="F66" s="2"/>
      <c r="G66" s="55"/>
      <c r="H66" s="2"/>
      <c r="I66" s="2"/>
      <c r="J66" s="2"/>
      <c r="K66" s="2"/>
      <c r="N66" s="290"/>
      <c r="O66" s="291">
        <f>P58</f>
        <v>-0.88873067530757943</v>
      </c>
      <c r="P66" s="140"/>
      <c r="Q66" s="140"/>
      <c r="R66" s="219"/>
      <c r="S66" s="219"/>
      <c r="T66" s="219"/>
      <c r="U66" s="219"/>
      <c r="V66" s="66"/>
      <c r="W66" s="66"/>
      <c r="X66" s="66"/>
      <c r="Y66" s="66"/>
    </row>
    <row r="67" spans="1:25" ht="15" x14ac:dyDescent="0.25">
      <c r="A67" s="2" t="s">
        <v>246</v>
      </c>
      <c r="B67" s="2"/>
      <c r="C67" s="2"/>
      <c r="D67" s="2"/>
      <c r="E67" s="2"/>
      <c r="F67" s="2"/>
      <c r="G67" s="2"/>
      <c r="H67" s="2"/>
      <c r="I67" s="2"/>
      <c r="J67" s="2"/>
      <c r="K67" s="2"/>
      <c r="N67" s="290">
        <f t="shared" ref="N67:N68" si="0">N68-2</f>
        <v>10</v>
      </c>
      <c r="O67" s="292">
        <f t="dataTable" ref="O67:O73" dt2D="0" dtr="0" r1="P38"/>
        <v>0.31479955431369633</v>
      </c>
      <c r="P67" s="140"/>
      <c r="Q67" s="140"/>
      <c r="R67" s="219"/>
      <c r="S67" s="219"/>
      <c r="T67" s="219"/>
      <c r="U67" s="219"/>
      <c r="V67" s="66"/>
      <c r="W67" s="66"/>
      <c r="X67" s="66"/>
      <c r="Y67" s="66"/>
    </row>
    <row r="68" spans="1:25" ht="15" x14ac:dyDescent="0.25">
      <c r="A68" s="2"/>
      <c r="B68" s="2"/>
      <c r="C68" s="2"/>
      <c r="D68" s="2"/>
      <c r="E68" s="55"/>
      <c r="F68" s="2"/>
      <c r="G68" s="55"/>
      <c r="H68" s="2"/>
      <c r="I68" s="2"/>
      <c r="J68" s="2"/>
      <c r="K68" s="2"/>
      <c r="N68" s="290">
        <f t="shared" si="0"/>
        <v>12</v>
      </c>
      <c r="O68" s="292">
        <v>8.3211203939811629E-2</v>
      </c>
      <c r="P68" s="140"/>
      <c r="Q68" s="140"/>
      <c r="R68" s="219"/>
      <c r="S68" s="219"/>
      <c r="T68" s="219"/>
      <c r="U68" s="219"/>
      <c r="V68" s="66"/>
      <c r="W68" s="66"/>
      <c r="X68" s="66"/>
      <c r="Y68" s="66"/>
    </row>
    <row r="69" spans="1:25" ht="16.5" x14ac:dyDescent="0.3">
      <c r="A69" s="2"/>
      <c r="B69" s="2" t="s">
        <v>334</v>
      </c>
      <c r="C69" s="2"/>
      <c r="D69" s="2"/>
      <c r="E69" s="55"/>
      <c r="F69" s="2"/>
      <c r="G69" s="55"/>
      <c r="H69" s="2"/>
      <c r="I69" s="2"/>
      <c r="J69" s="2"/>
      <c r="K69" s="2"/>
      <c r="N69" s="290">
        <f>N70-2</f>
        <v>14</v>
      </c>
      <c r="O69" s="292">
        <v>-0.30903983438132165</v>
      </c>
      <c r="P69" s="140"/>
      <c r="Q69" s="140"/>
      <c r="R69" s="219"/>
      <c r="S69" s="219"/>
      <c r="T69" s="219"/>
      <c r="U69" s="219"/>
      <c r="V69" s="66"/>
      <c r="W69" s="66"/>
      <c r="X69" s="66"/>
      <c r="Y69" s="66"/>
    </row>
    <row r="70" spans="1:25" ht="15" x14ac:dyDescent="0.25">
      <c r="A70" s="2"/>
      <c r="B70" s="2"/>
      <c r="C70" s="2"/>
      <c r="D70" s="2"/>
      <c r="E70" s="55"/>
      <c r="F70" s="2"/>
      <c r="G70" s="55"/>
      <c r="H70" s="2"/>
      <c r="I70" s="2"/>
      <c r="J70" s="2"/>
      <c r="K70" s="2"/>
      <c r="N70" s="293">
        <v>16</v>
      </c>
      <c r="O70" s="292">
        <v>-0.88873067530757943</v>
      </c>
      <c r="P70" s="140"/>
      <c r="Q70" s="140"/>
      <c r="R70" s="219"/>
      <c r="S70" s="219"/>
      <c r="T70" s="219"/>
      <c r="U70" s="219"/>
      <c r="V70" s="66"/>
      <c r="W70" s="66"/>
      <c r="X70" s="66"/>
      <c r="Y70" s="66"/>
    </row>
    <row r="71" spans="1:25" ht="18.75" x14ac:dyDescent="0.3">
      <c r="A71" s="2"/>
      <c r="B71" s="2" t="s">
        <v>335</v>
      </c>
      <c r="C71" s="49">
        <f>C65*C61</f>
        <v>6082.2898032200355</v>
      </c>
      <c r="D71" s="2" t="s">
        <v>336</v>
      </c>
      <c r="E71" s="56">
        <f>E65*E61</f>
        <v>6082.2898032200355</v>
      </c>
      <c r="F71" s="2" t="s">
        <v>336</v>
      </c>
      <c r="G71" s="56">
        <f>G65*G61</f>
        <v>6082.2898032200355</v>
      </c>
      <c r="H71" s="2" t="s">
        <v>336</v>
      </c>
      <c r="I71" s="2"/>
      <c r="J71" s="2"/>
      <c r="K71" s="2"/>
      <c r="N71" s="290">
        <f>N70+2</f>
        <v>18</v>
      </c>
      <c r="O71" s="292">
        <v>-1.6826384334968365</v>
      </c>
      <c r="P71" s="140"/>
      <c r="Q71" s="140"/>
      <c r="R71" s="219"/>
      <c r="S71" s="219"/>
      <c r="T71" s="219"/>
      <c r="U71" s="219"/>
      <c r="V71" s="66"/>
      <c r="W71" s="66"/>
      <c r="X71" s="66"/>
      <c r="Y71" s="66"/>
    </row>
    <row r="72" spans="1:25" ht="15" x14ac:dyDescent="0.25">
      <c r="A72" s="2"/>
      <c r="B72" s="2"/>
      <c r="C72" s="2"/>
      <c r="D72" s="2"/>
      <c r="E72" s="55"/>
      <c r="F72" s="2"/>
      <c r="G72" s="55"/>
      <c r="H72" s="2"/>
      <c r="I72" s="2"/>
      <c r="J72" s="2"/>
      <c r="K72" s="2"/>
      <c r="N72" s="290">
        <f>N71+2</f>
        <v>20</v>
      </c>
      <c r="O72" s="292">
        <v>-2.717540223606969</v>
      </c>
      <c r="P72" s="140"/>
      <c r="Q72" s="140"/>
      <c r="R72" s="219"/>
      <c r="S72" s="219"/>
      <c r="T72" s="219"/>
      <c r="U72" s="219"/>
      <c r="V72" s="66"/>
      <c r="W72" s="66"/>
      <c r="X72" s="66"/>
      <c r="Y72" s="66"/>
    </row>
    <row r="73" spans="1:25" ht="16.5" x14ac:dyDescent="0.3">
      <c r="A73" s="2"/>
      <c r="B73" s="2" t="s">
        <v>337</v>
      </c>
      <c r="C73" s="2"/>
      <c r="D73" s="2"/>
      <c r="E73" s="55"/>
      <c r="F73" s="2"/>
      <c r="G73" s="55"/>
      <c r="H73" s="2"/>
      <c r="I73" s="2"/>
      <c r="J73" s="2"/>
      <c r="K73" s="2"/>
      <c r="N73" s="290">
        <f>N72+2</f>
        <v>22</v>
      </c>
      <c r="O73" s="292">
        <v>-4.0202131602958504</v>
      </c>
      <c r="P73" s="140"/>
      <c r="Q73" s="140"/>
      <c r="R73" s="219"/>
      <c r="S73" s="219"/>
      <c r="T73" s="219"/>
      <c r="U73" s="219"/>
      <c r="V73" s="66"/>
      <c r="W73" s="66"/>
      <c r="X73" s="66"/>
      <c r="Y73" s="66"/>
    </row>
    <row r="74" spans="1:25" ht="15" x14ac:dyDescent="0.25">
      <c r="A74" s="2"/>
      <c r="B74" s="2"/>
      <c r="C74" s="2"/>
      <c r="D74" s="2"/>
      <c r="E74" s="55"/>
      <c r="F74" s="2"/>
      <c r="G74" s="55"/>
      <c r="H74" s="2"/>
      <c r="I74" s="2"/>
      <c r="J74" s="2"/>
      <c r="K74" s="2"/>
      <c r="N74" s="66"/>
      <c r="O74" s="140"/>
      <c r="P74" s="140"/>
      <c r="Q74" s="140"/>
      <c r="R74" s="219"/>
      <c r="S74" s="219"/>
      <c r="T74" s="219"/>
      <c r="U74" s="219"/>
      <c r="V74" s="66"/>
      <c r="W74" s="66"/>
      <c r="X74" s="66"/>
      <c r="Y74" s="66"/>
    </row>
    <row r="75" spans="1:25" ht="18" x14ac:dyDescent="0.25">
      <c r="A75" s="2"/>
      <c r="B75" s="2" t="s">
        <v>247</v>
      </c>
      <c r="C75" s="101">
        <f>40800*C57</f>
        <v>17973.568281938326</v>
      </c>
      <c r="D75" s="2" t="s">
        <v>336</v>
      </c>
      <c r="E75" s="106">
        <f>40800*E57</f>
        <v>17973.568281938326</v>
      </c>
      <c r="F75" s="2" t="s">
        <v>336</v>
      </c>
      <c r="G75" s="106">
        <f>40800*G57</f>
        <v>17973.568281938326</v>
      </c>
      <c r="H75" s="2" t="s">
        <v>336</v>
      </c>
      <c r="I75" s="2"/>
      <c r="J75" s="2"/>
      <c r="K75" s="2"/>
      <c r="N75" s="66"/>
      <c r="O75" s="140"/>
      <c r="P75" s="140"/>
      <c r="Q75" s="140"/>
      <c r="R75" s="219"/>
      <c r="S75" s="219"/>
      <c r="T75" s="219"/>
      <c r="U75" s="219"/>
      <c r="V75" s="66"/>
      <c r="W75" s="66"/>
      <c r="X75" s="66"/>
      <c r="Y75" s="66"/>
    </row>
    <row r="76" spans="1:25" ht="18" x14ac:dyDescent="0.25">
      <c r="A76" s="2"/>
      <c r="B76" s="2" t="s">
        <v>248</v>
      </c>
      <c r="C76" s="101">
        <f>SUM(C71:C75)</f>
        <v>24055.858085158361</v>
      </c>
      <c r="D76" s="2" t="s">
        <v>336</v>
      </c>
      <c r="E76" s="106">
        <f>SUM(E71:E75)</f>
        <v>24055.858085158361</v>
      </c>
      <c r="F76" s="2" t="s">
        <v>336</v>
      </c>
      <c r="G76" s="106">
        <f>SUM(G71:G75)</f>
        <v>24055.858085158361</v>
      </c>
      <c r="H76" s="2" t="s">
        <v>336</v>
      </c>
      <c r="I76" s="2"/>
      <c r="J76" s="2"/>
      <c r="K76" s="2"/>
      <c r="N76" s="66"/>
      <c r="O76" s="140"/>
      <c r="P76" s="140"/>
      <c r="Q76" s="140"/>
      <c r="R76" s="219"/>
      <c r="S76" s="219"/>
      <c r="T76" s="219"/>
      <c r="U76" s="219"/>
      <c r="V76" s="66"/>
      <c r="W76" s="66"/>
      <c r="X76" s="66"/>
      <c r="Y76" s="66"/>
    </row>
    <row r="77" spans="1:25" ht="15" x14ac:dyDescent="0.25">
      <c r="A77" s="2"/>
      <c r="B77" s="2"/>
      <c r="C77" s="2"/>
      <c r="D77" s="2"/>
      <c r="E77" s="55"/>
      <c r="F77" s="2"/>
      <c r="G77" s="55"/>
      <c r="H77" s="2"/>
      <c r="I77" s="2"/>
      <c r="J77" s="2"/>
      <c r="K77" s="2"/>
      <c r="N77" s="66"/>
      <c r="O77" s="140"/>
      <c r="P77" s="140"/>
      <c r="Q77" s="140"/>
      <c r="R77" s="219"/>
      <c r="S77" s="219"/>
      <c r="T77" s="219"/>
      <c r="U77" s="219"/>
      <c r="V77" s="66"/>
      <c r="W77" s="66"/>
      <c r="X77" s="66"/>
      <c r="Y77" s="66"/>
    </row>
    <row r="78" spans="1:25" ht="15" x14ac:dyDescent="0.25">
      <c r="A78" s="2" t="s">
        <v>249</v>
      </c>
      <c r="B78" s="2"/>
      <c r="C78" s="2"/>
      <c r="D78" s="2"/>
      <c r="E78" s="2"/>
      <c r="F78" s="2"/>
      <c r="G78" s="2"/>
      <c r="H78" s="2"/>
      <c r="I78" s="2"/>
      <c r="J78" s="2"/>
      <c r="K78" s="2"/>
      <c r="N78" s="66"/>
      <c r="O78" s="140"/>
      <c r="P78" s="140"/>
      <c r="Q78" s="140"/>
      <c r="R78" s="219"/>
      <c r="S78" s="219"/>
      <c r="T78" s="219"/>
      <c r="U78" s="219"/>
      <c r="V78" s="66"/>
      <c r="W78" s="66"/>
      <c r="X78" s="66"/>
      <c r="Y78" s="66"/>
    </row>
    <row r="79" spans="1:25" ht="15" x14ac:dyDescent="0.25">
      <c r="A79" s="2"/>
      <c r="B79" s="2"/>
      <c r="C79" s="2"/>
      <c r="D79" s="2"/>
      <c r="E79" s="55"/>
      <c r="F79" s="2"/>
      <c r="G79" s="55"/>
      <c r="H79" s="2"/>
      <c r="I79" s="2"/>
      <c r="J79" s="2"/>
      <c r="K79" s="2"/>
      <c r="N79" s="66"/>
      <c r="O79" s="140"/>
      <c r="P79" s="140"/>
      <c r="Q79" s="140"/>
      <c r="R79" s="219"/>
      <c r="S79" s="219"/>
      <c r="T79" s="219"/>
      <c r="U79" s="219"/>
      <c r="V79" s="66"/>
      <c r="W79" s="66"/>
      <c r="X79" s="66"/>
      <c r="Y79" s="66"/>
    </row>
    <row r="80" spans="1:25" ht="16.5" x14ac:dyDescent="0.3">
      <c r="A80" s="2"/>
      <c r="B80" s="2" t="s">
        <v>338</v>
      </c>
      <c r="C80" s="2"/>
      <c r="D80" s="2"/>
      <c r="E80" s="55"/>
      <c r="F80" s="2"/>
      <c r="G80" s="55"/>
      <c r="H80" s="2"/>
      <c r="I80" s="2"/>
      <c r="J80" s="2"/>
      <c r="K80" s="2"/>
      <c r="N80" s="139" t="s">
        <v>698</v>
      </c>
      <c r="O80" s="140"/>
      <c r="P80" s="140"/>
      <c r="Q80" s="140"/>
      <c r="R80" s="219"/>
      <c r="S80" s="219"/>
      <c r="T80" s="219"/>
      <c r="U80" s="219"/>
      <c r="V80" s="66"/>
      <c r="W80" s="66"/>
      <c r="X80" s="66"/>
      <c r="Y80" s="66"/>
    </row>
    <row r="81" spans="1:25" ht="15" x14ac:dyDescent="0.25">
      <c r="A81" s="2"/>
      <c r="B81" s="2"/>
      <c r="C81" s="2"/>
      <c r="D81" s="2"/>
      <c r="E81" s="55"/>
      <c r="F81" s="2"/>
      <c r="G81" s="55"/>
      <c r="H81" s="2"/>
      <c r="I81" s="2"/>
      <c r="J81" s="2"/>
      <c r="K81" s="2"/>
      <c r="N81" s="172"/>
      <c r="O81" s="219"/>
      <c r="P81" s="140"/>
      <c r="Q81" s="140"/>
      <c r="R81" s="219"/>
      <c r="S81" s="219"/>
      <c r="T81" s="219"/>
      <c r="U81" s="219"/>
      <c r="V81" s="66"/>
      <c r="W81" s="66"/>
      <c r="X81" s="66"/>
      <c r="Y81" s="66"/>
    </row>
    <row r="82" spans="1:25" ht="18.75" x14ac:dyDescent="0.3">
      <c r="A82" s="2"/>
      <c r="B82" s="2" t="s">
        <v>339</v>
      </c>
      <c r="C82" s="57">
        <f>C76/(C65+40800)</f>
        <v>0.11792087296646256</v>
      </c>
      <c r="D82" s="57" t="s">
        <v>331</v>
      </c>
      <c r="E82" s="58">
        <f>E76/(E65+40800)</f>
        <v>0.11792087296646256</v>
      </c>
      <c r="F82" s="57" t="s">
        <v>331</v>
      </c>
      <c r="G82" s="58">
        <f>G76/(G65+40800)</f>
        <v>0.11792087296646256</v>
      </c>
      <c r="H82" s="57" t="s">
        <v>331</v>
      </c>
      <c r="I82" s="2"/>
      <c r="J82" s="2"/>
      <c r="K82" s="2"/>
      <c r="N82" s="294" t="s">
        <v>699</v>
      </c>
      <c r="O82" s="294"/>
      <c r="P82" s="294"/>
      <c r="Q82" s="294"/>
      <c r="R82" s="294"/>
      <c r="S82" s="294"/>
      <c r="T82" s="294"/>
      <c r="U82" s="294"/>
      <c r="V82" s="66"/>
      <c r="W82" s="66"/>
      <c r="X82" s="66"/>
      <c r="Y82" s="66"/>
    </row>
    <row r="83" spans="1:25" ht="15" x14ac:dyDescent="0.25">
      <c r="A83" s="2"/>
      <c r="B83" s="2"/>
      <c r="C83" s="2"/>
      <c r="D83" s="2"/>
      <c r="E83" s="55"/>
      <c r="F83" s="2"/>
      <c r="G83" s="55"/>
      <c r="H83" s="2"/>
      <c r="I83" s="2"/>
      <c r="J83" s="2"/>
      <c r="K83" s="2"/>
      <c r="N83" s="294"/>
      <c r="O83" s="294"/>
      <c r="P83" s="294"/>
      <c r="Q83" s="294"/>
      <c r="R83" s="294"/>
      <c r="S83" s="294"/>
      <c r="T83" s="294"/>
      <c r="U83" s="294"/>
      <c r="V83" s="66"/>
      <c r="W83" s="66"/>
      <c r="X83" s="66"/>
      <c r="Y83" s="66"/>
    </row>
    <row r="84" spans="1:25" ht="16.5" x14ac:dyDescent="0.3">
      <c r="A84" s="2" t="s">
        <v>340</v>
      </c>
      <c r="B84" s="2"/>
      <c r="C84" s="2"/>
      <c r="D84" s="2"/>
      <c r="E84" s="2"/>
      <c r="F84" s="2"/>
      <c r="G84" s="2"/>
      <c r="H84" s="2"/>
      <c r="I84" s="2"/>
      <c r="J84" s="2"/>
      <c r="K84" s="2"/>
      <c r="N84" s="294"/>
      <c r="O84" s="294"/>
      <c r="P84" s="294"/>
      <c r="Q84" s="294"/>
      <c r="R84" s="294"/>
      <c r="S84" s="294"/>
      <c r="T84" s="294"/>
      <c r="U84" s="294"/>
      <c r="V84" s="66"/>
      <c r="W84" s="66"/>
      <c r="X84" s="66"/>
      <c r="Y84" s="66"/>
    </row>
    <row r="85" spans="1:25" ht="15" x14ac:dyDescent="0.25">
      <c r="A85" s="2"/>
      <c r="B85" s="2"/>
      <c r="C85" s="2"/>
      <c r="D85" s="2"/>
      <c r="E85" s="55"/>
      <c r="F85" s="2"/>
      <c r="G85" s="55"/>
      <c r="H85" s="2"/>
      <c r="I85" s="2"/>
      <c r="J85" s="2"/>
      <c r="K85" s="2"/>
      <c r="N85" s="294"/>
      <c r="O85" s="294"/>
      <c r="P85" s="294"/>
      <c r="Q85" s="294"/>
      <c r="R85" s="294"/>
      <c r="S85" s="294"/>
      <c r="T85" s="294"/>
      <c r="U85" s="294"/>
      <c r="V85" s="66"/>
      <c r="W85" s="66"/>
      <c r="X85" s="66"/>
      <c r="Y85" s="66"/>
    </row>
    <row r="86" spans="1:25" ht="15" x14ac:dyDescent="0.25">
      <c r="A86" s="2"/>
      <c r="B86" s="2" t="s">
        <v>250</v>
      </c>
      <c r="C86" s="36">
        <f>(2.3*C48*LOG(C82/C61))/(144*(C82-C61))</f>
        <v>1.5850835578355891</v>
      </c>
      <c r="D86" s="2" t="s">
        <v>251</v>
      </c>
      <c r="E86" s="59">
        <f>(2.3*E48*LOG(E82/E61))/(144*(E82-E61))</f>
        <v>1.188812668376692</v>
      </c>
      <c r="F86" s="2" t="s">
        <v>251</v>
      </c>
      <c r="G86" s="59">
        <f>(2.3*G48*LOG(G82/G61))/(144*(G82-G61))</f>
        <v>0.99067722364724342</v>
      </c>
      <c r="H86" s="2" t="s">
        <v>251</v>
      </c>
      <c r="I86" s="2"/>
      <c r="J86" s="2"/>
      <c r="K86" s="2"/>
      <c r="N86" s="294"/>
      <c r="O86" s="294"/>
      <c r="P86" s="294"/>
      <c r="Q86" s="294"/>
      <c r="R86" s="294"/>
      <c r="S86" s="294"/>
      <c r="T86" s="294"/>
      <c r="U86" s="294"/>
      <c r="V86" s="66"/>
      <c r="W86" s="66"/>
      <c r="X86" s="66"/>
      <c r="Y86" s="66"/>
    </row>
    <row r="87" spans="1:25" ht="15" x14ac:dyDescent="0.25">
      <c r="A87" s="2"/>
      <c r="B87" s="2"/>
      <c r="C87" s="2"/>
      <c r="D87" s="2"/>
      <c r="E87" s="55"/>
      <c r="F87" s="2"/>
      <c r="G87" s="55"/>
      <c r="H87" s="2"/>
      <c r="I87" s="2"/>
      <c r="J87" s="2"/>
      <c r="K87" s="2"/>
      <c r="N87" s="294"/>
      <c r="O87" s="294"/>
      <c r="P87" s="294"/>
      <c r="Q87" s="294"/>
      <c r="R87" s="294"/>
      <c r="S87" s="294"/>
      <c r="T87" s="294"/>
      <c r="U87" s="294"/>
      <c r="V87" s="66"/>
      <c r="W87" s="66"/>
      <c r="X87" s="66"/>
      <c r="Y87" s="66"/>
    </row>
    <row r="88" spans="1:25" ht="12.75" customHeight="1" x14ac:dyDescent="0.25">
      <c r="A88" s="107" t="s">
        <v>341</v>
      </c>
      <c r="B88" s="107"/>
      <c r="C88" s="107"/>
      <c r="D88" s="107"/>
      <c r="E88" s="107"/>
      <c r="F88" s="107"/>
      <c r="G88" s="107"/>
      <c r="H88" s="107"/>
      <c r="I88" s="107"/>
      <c r="J88" s="107"/>
      <c r="K88" s="2"/>
      <c r="N88" s="295" t="s">
        <v>707</v>
      </c>
      <c r="O88" s="296" t="s">
        <v>696</v>
      </c>
      <c r="P88" s="140"/>
      <c r="Q88" s="140"/>
      <c r="R88" s="219"/>
      <c r="S88" s="219"/>
      <c r="T88" s="219"/>
      <c r="U88" s="219"/>
      <c r="V88" s="66"/>
      <c r="W88" s="66"/>
      <c r="X88" s="66"/>
      <c r="Y88" s="66"/>
    </row>
    <row r="89" spans="1:25" ht="15" x14ac:dyDescent="0.25">
      <c r="A89" s="107"/>
      <c r="B89" s="107"/>
      <c r="C89" s="107"/>
      <c r="D89" s="107"/>
      <c r="E89" s="107"/>
      <c r="F89" s="107"/>
      <c r="G89" s="107"/>
      <c r="H89" s="107"/>
      <c r="I89" s="107"/>
      <c r="J89" s="107"/>
      <c r="K89" s="2"/>
      <c r="N89" s="297">
        <v>12.51</v>
      </c>
      <c r="O89" s="290">
        <v>0</v>
      </c>
      <c r="P89" s="140"/>
      <c r="Q89" s="140"/>
      <c r="R89" s="219"/>
      <c r="S89" s="219"/>
      <c r="T89" s="219"/>
      <c r="U89" s="219"/>
      <c r="V89" s="66"/>
      <c r="W89" s="66"/>
      <c r="X89" s="66"/>
      <c r="Y89" s="66"/>
    </row>
    <row r="90" spans="1:25" ht="15" x14ac:dyDescent="0.25">
      <c r="A90" s="2"/>
      <c r="B90" s="2"/>
      <c r="C90" s="2"/>
      <c r="D90" s="2"/>
      <c r="E90" s="55"/>
      <c r="F90" s="2"/>
      <c r="G90" s="55"/>
      <c r="H90" s="2"/>
      <c r="I90" s="2"/>
      <c r="J90" s="2"/>
      <c r="K90" s="2"/>
      <c r="N90" s="66"/>
      <c r="O90" s="298"/>
      <c r="P90" s="140"/>
      <c r="Q90" s="140"/>
      <c r="R90" s="219"/>
      <c r="S90" s="219"/>
      <c r="T90" s="219"/>
      <c r="U90" s="219"/>
      <c r="V90" s="66"/>
      <c r="W90" s="66"/>
      <c r="X90" s="66"/>
      <c r="Y90" s="66"/>
    </row>
    <row r="91" spans="1:25" ht="18.75" x14ac:dyDescent="0.3">
      <c r="A91" s="2"/>
      <c r="B91" s="2" t="s">
        <v>342</v>
      </c>
      <c r="C91" s="35">
        <f>C51*$C$14/144</f>
        <v>0.22021901709401709</v>
      </c>
      <c r="D91" s="35" t="s">
        <v>317</v>
      </c>
      <c r="E91" s="60">
        <f>E51*$C$14/144</f>
        <v>0.29362535612535612</v>
      </c>
      <c r="F91" s="35" t="s">
        <v>317</v>
      </c>
      <c r="G91" s="60">
        <f>G51*$C$14/144</f>
        <v>0.35235042735042738</v>
      </c>
      <c r="H91" s="35" t="s">
        <v>317</v>
      </c>
      <c r="I91" s="2"/>
      <c r="J91" s="2"/>
      <c r="K91" s="2"/>
      <c r="N91" s="230"/>
      <c r="O91" s="230"/>
      <c r="P91" s="230"/>
      <c r="Q91" s="230"/>
      <c r="R91" s="241"/>
      <c r="S91" s="241"/>
      <c r="T91" s="241"/>
      <c r="U91" s="241"/>
      <c r="V91" s="231"/>
      <c r="W91" s="231"/>
      <c r="X91" s="231"/>
      <c r="Y91" s="231"/>
    </row>
    <row r="92" spans="1:25" ht="15" x14ac:dyDescent="0.25">
      <c r="A92" s="2"/>
      <c r="B92" s="2"/>
      <c r="C92" s="2"/>
      <c r="D92" s="2"/>
      <c r="E92" s="55"/>
      <c r="F92" s="2"/>
      <c r="G92" s="55"/>
      <c r="H92" s="2"/>
      <c r="I92" s="2"/>
      <c r="J92" s="2"/>
      <c r="K92" s="2"/>
      <c r="N92" s="230"/>
      <c r="O92" s="230"/>
      <c r="P92" s="230"/>
      <c r="Q92" s="230"/>
      <c r="R92" s="299"/>
      <c r="S92" s="241"/>
      <c r="T92" s="299"/>
      <c r="U92" s="241"/>
      <c r="V92" s="231"/>
      <c r="W92" s="231"/>
      <c r="X92" s="231"/>
      <c r="Y92" s="231"/>
    </row>
    <row r="93" spans="1:25" ht="15" x14ac:dyDescent="0.25">
      <c r="A93" s="2" t="s">
        <v>252</v>
      </c>
      <c r="B93" s="2"/>
      <c r="C93" s="2"/>
      <c r="D93" s="2"/>
      <c r="E93" s="2"/>
      <c r="F93" s="2"/>
      <c r="G93" s="2"/>
      <c r="H93" s="2"/>
      <c r="I93" s="2"/>
      <c r="J93" s="2"/>
      <c r="K93" s="2"/>
      <c r="N93" s="230"/>
      <c r="O93" s="230"/>
      <c r="P93" s="230"/>
      <c r="Q93" s="230"/>
      <c r="R93" s="241"/>
      <c r="S93" s="241"/>
      <c r="T93" s="241"/>
      <c r="U93" s="241"/>
      <c r="V93" s="231"/>
      <c r="W93" s="231"/>
      <c r="X93" s="231"/>
      <c r="Y93" s="231"/>
    </row>
    <row r="94" spans="1:25" ht="15" x14ac:dyDescent="0.25">
      <c r="A94" s="2"/>
      <c r="B94" s="2"/>
      <c r="C94" s="2"/>
      <c r="D94" s="2"/>
      <c r="E94" s="55"/>
      <c r="F94" s="2"/>
      <c r="G94" s="55"/>
      <c r="H94" s="2"/>
      <c r="I94" s="2"/>
      <c r="J94" s="2"/>
      <c r="K94" s="2"/>
      <c r="N94" s="230"/>
      <c r="O94" s="230"/>
      <c r="P94" s="230"/>
      <c r="Q94" s="230"/>
      <c r="R94" s="299"/>
      <c r="S94" s="241"/>
      <c r="T94" s="299"/>
      <c r="U94" s="241"/>
      <c r="V94" s="231"/>
      <c r="W94" s="231"/>
      <c r="X94" s="231"/>
      <c r="Y94" s="231"/>
    </row>
    <row r="95" spans="1:25" ht="18.75" x14ac:dyDescent="0.3">
      <c r="A95" s="2"/>
      <c r="B95" s="2" t="s">
        <v>343</v>
      </c>
      <c r="C95" s="101">
        <f>(C65+40800)/C91</f>
        <v>926350.51546391752</v>
      </c>
      <c r="D95" s="2" t="s">
        <v>344</v>
      </c>
      <c r="E95" s="106">
        <f>(E65+40800)/E91</f>
        <v>694762.88659793814</v>
      </c>
      <c r="F95" s="2" t="s">
        <v>344</v>
      </c>
      <c r="G95" s="106">
        <f>(G65+40800)/G91</f>
        <v>578969.07216494845</v>
      </c>
      <c r="H95" s="2" t="s">
        <v>344</v>
      </c>
      <c r="I95" s="2"/>
      <c r="J95" s="2"/>
      <c r="K95" s="2"/>
      <c r="N95" s="230"/>
      <c r="O95" s="230"/>
      <c r="P95" s="230"/>
      <c r="Q95" s="230"/>
      <c r="R95" s="241"/>
      <c r="S95" s="241"/>
      <c r="T95" s="241"/>
      <c r="U95" s="241"/>
      <c r="V95" s="231"/>
      <c r="W95" s="231"/>
      <c r="X95" s="231"/>
      <c r="Y95" s="231"/>
    </row>
    <row r="96" spans="1:25" ht="15" x14ac:dyDescent="0.25">
      <c r="A96" s="2"/>
      <c r="B96" s="2"/>
      <c r="C96" s="2"/>
      <c r="D96" s="2"/>
      <c r="E96" s="55"/>
      <c r="F96" s="2"/>
      <c r="G96" s="55"/>
      <c r="H96" s="2"/>
      <c r="I96" s="2"/>
      <c r="J96" s="2"/>
      <c r="K96" s="2"/>
      <c r="N96" s="230"/>
      <c r="O96" s="230"/>
      <c r="P96" s="230"/>
      <c r="Q96" s="230"/>
      <c r="R96" s="299"/>
      <c r="S96" s="241"/>
      <c r="T96" s="299"/>
      <c r="U96" s="241"/>
      <c r="V96" s="231"/>
      <c r="W96" s="231"/>
      <c r="X96" s="231"/>
      <c r="Y96" s="231"/>
    </row>
    <row r="97" spans="1:25" ht="15" x14ac:dyDescent="0.25">
      <c r="A97" s="2" t="s">
        <v>255</v>
      </c>
      <c r="B97" s="2"/>
      <c r="C97" s="2"/>
      <c r="D97" s="2"/>
      <c r="E97" s="44"/>
      <c r="F97" s="2"/>
      <c r="G97" s="2"/>
      <c r="H97" s="2"/>
      <c r="I97" s="2"/>
      <c r="J97" s="2"/>
      <c r="K97" s="2"/>
      <c r="N97" s="230"/>
      <c r="O97" s="230"/>
      <c r="P97" s="230"/>
      <c r="Q97" s="230"/>
      <c r="R97" s="241"/>
      <c r="S97" s="241"/>
      <c r="T97" s="241"/>
      <c r="U97" s="241"/>
      <c r="V97" s="231"/>
      <c r="W97" s="231"/>
      <c r="X97" s="231"/>
      <c r="Y97" s="231"/>
    </row>
    <row r="98" spans="1:25" ht="15" x14ac:dyDescent="0.25">
      <c r="A98" s="2"/>
      <c r="B98" s="2"/>
      <c r="C98" s="2"/>
      <c r="D98" s="2"/>
      <c r="E98" s="55"/>
      <c r="F98" s="2"/>
      <c r="G98" s="55"/>
      <c r="H98" s="2"/>
      <c r="I98" s="2"/>
      <c r="J98" s="2"/>
      <c r="K98" s="2"/>
      <c r="N98" s="230"/>
      <c r="O98" s="230"/>
      <c r="P98" s="230"/>
      <c r="Q98" s="230"/>
      <c r="R98" s="299"/>
      <c r="S98" s="241"/>
      <c r="T98" s="299"/>
      <c r="U98" s="241"/>
      <c r="V98" s="231"/>
      <c r="W98" s="231"/>
      <c r="X98" s="231"/>
      <c r="Y98" s="231"/>
    </row>
    <row r="99" spans="1:25" ht="15" x14ac:dyDescent="0.25">
      <c r="A99" s="2"/>
      <c r="B99" s="2" t="s">
        <v>172</v>
      </c>
      <c r="C99" s="2">
        <f>0.1*2.42</f>
        <v>0.24199999999999999</v>
      </c>
      <c r="D99" s="2" t="s">
        <v>253</v>
      </c>
      <c r="E99" s="55">
        <f>0.1*2.42</f>
        <v>0.24199999999999999</v>
      </c>
      <c r="F99" s="2" t="s">
        <v>253</v>
      </c>
      <c r="G99" s="55">
        <f>0.1*2.42</f>
        <v>0.24199999999999999</v>
      </c>
      <c r="H99" s="2" t="s">
        <v>253</v>
      </c>
      <c r="I99" s="2"/>
      <c r="J99" s="2"/>
      <c r="K99" s="2"/>
      <c r="N99" s="230"/>
      <c r="O99" s="230"/>
      <c r="P99" s="230"/>
      <c r="Q99" s="230"/>
      <c r="R99" s="241"/>
      <c r="S99" s="241"/>
      <c r="T99" s="241"/>
      <c r="U99" s="241"/>
      <c r="V99" s="231"/>
      <c r="W99" s="231"/>
      <c r="X99" s="231"/>
      <c r="Y99" s="231"/>
    </row>
    <row r="100" spans="1:25" ht="15" x14ac:dyDescent="0.25">
      <c r="A100" s="2"/>
      <c r="B100" s="2"/>
      <c r="C100" s="2"/>
      <c r="D100" s="2"/>
      <c r="E100" s="55"/>
      <c r="F100" s="2"/>
      <c r="G100" s="55"/>
      <c r="H100" s="2"/>
      <c r="I100" s="2"/>
      <c r="J100" s="2"/>
      <c r="K100" s="2"/>
      <c r="N100" s="230"/>
      <c r="O100" s="230"/>
      <c r="P100" s="230"/>
      <c r="Q100" s="230"/>
      <c r="R100" s="299"/>
      <c r="S100" s="241"/>
      <c r="T100" s="299"/>
      <c r="U100" s="241"/>
      <c r="V100" s="231"/>
      <c r="W100" s="231"/>
      <c r="X100" s="231"/>
      <c r="Y100" s="231"/>
    </row>
    <row r="101" spans="1:25" ht="15" x14ac:dyDescent="0.25">
      <c r="A101" s="2" t="s">
        <v>254</v>
      </c>
      <c r="B101" s="2"/>
      <c r="C101" s="2"/>
      <c r="D101" s="2"/>
      <c r="E101" s="44"/>
      <c r="F101" s="2"/>
      <c r="G101" s="2"/>
      <c r="H101" s="2"/>
      <c r="I101" s="2"/>
      <c r="J101" s="2"/>
      <c r="K101" s="2"/>
      <c r="N101" s="230"/>
      <c r="O101" s="230"/>
      <c r="P101" s="230"/>
      <c r="Q101" s="230"/>
      <c r="R101" s="241"/>
      <c r="S101" s="241"/>
      <c r="T101" s="241"/>
      <c r="U101" s="241"/>
      <c r="V101" s="231"/>
      <c r="W101" s="231"/>
      <c r="X101" s="231"/>
      <c r="Y101" s="231"/>
    </row>
    <row r="102" spans="1:25" ht="15" x14ac:dyDescent="0.25">
      <c r="A102" s="2"/>
      <c r="B102" s="2"/>
      <c r="C102" s="2"/>
      <c r="D102" s="2"/>
      <c r="E102" s="55"/>
      <c r="F102" s="2"/>
      <c r="G102" s="55"/>
      <c r="H102" s="2"/>
      <c r="I102" s="2"/>
      <c r="J102" s="2"/>
      <c r="K102" s="2"/>
      <c r="N102" s="230"/>
      <c r="O102" s="230"/>
      <c r="P102" s="230"/>
      <c r="Q102" s="230"/>
      <c r="R102" s="299"/>
      <c r="S102" s="241"/>
      <c r="T102" s="299"/>
      <c r="U102" s="241"/>
      <c r="V102" s="231"/>
      <c r="W102" s="231"/>
      <c r="X102" s="231"/>
      <c r="Y102" s="231"/>
    </row>
    <row r="103" spans="1:25" ht="15" x14ac:dyDescent="0.25">
      <c r="A103" s="2"/>
      <c r="B103" s="2" t="s">
        <v>73</v>
      </c>
      <c r="C103" s="35">
        <f>0.62/12</f>
        <v>5.1666666666666666E-2</v>
      </c>
      <c r="D103" s="2" t="s">
        <v>78</v>
      </c>
      <c r="E103" s="60">
        <f>0.62/12</f>
        <v>5.1666666666666666E-2</v>
      </c>
      <c r="F103" s="2" t="s">
        <v>78</v>
      </c>
      <c r="G103" s="60">
        <f>0.62/12</f>
        <v>5.1666666666666666E-2</v>
      </c>
      <c r="H103" s="2" t="s">
        <v>78</v>
      </c>
      <c r="I103" s="2"/>
      <c r="J103" s="2"/>
      <c r="K103" s="2"/>
      <c r="N103" s="230"/>
      <c r="O103" s="230"/>
      <c r="P103" s="230"/>
      <c r="Q103" s="230"/>
      <c r="R103" s="241"/>
      <c r="S103" s="241"/>
      <c r="T103" s="241"/>
      <c r="U103" s="241"/>
      <c r="V103" s="231"/>
      <c r="W103" s="231"/>
      <c r="X103" s="231"/>
      <c r="Y103" s="231"/>
    </row>
    <row r="104" spans="1:25" ht="15" x14ac:dyDescent="0.25">
      <c r="A104" s="2"/>
      <c r="B104" s="2"/>
      <c r="C104" s="2"/>
      <c r="D104" s="2"/>
      <c r="E104" s="55"/>
      <c r="F104" s="2"/>
      <c r="G104" s="55"/>
      <c r="H104" s="2"/>
      <c r="I104" s="2"/>
      <c r="J104" s="2"/>
      <c r="K104" s="2"/>
      <c r="N104" s="230"/>
      <c r="O104" s="230"/>
      <c r="P104" s="230"/>
      <c r="Q104" s="230"/>
      <c r="R104" s="299"/>
      <c r="S104" s="241"/>
      <c r="T104" s="299"/>
      <c r="U104" s="241"/>
      <c r="V104" s="231"/>
      <c r="W104" s="231"/>
      <c r="X104" s="231"/>
      <c r="Y104" s="231"/>
    </row>
    <row r="105" spans="1:25" ht="16.5" x14ac:dyDescent="0.3">
      <c r="A105" s="2" t="s">
        <v>345</v>
      </c>
      <c r="B105" s="2"/>
      <c r="C105" s="2"/>
      <c r="D105" s="2"/>
      <c r="E105" s="44"/>
      <c r="F105" s="2"/>
      <c r="G105" s="2"/>
      <c r="H105" s="2"/>
      <c r="I105" s="2"/>
      <c r="J105" s="2"/>
      <c r="K105" s="2"/>
      <c r="N105" s="230"/>
      <c r="O105" s="230"/>
      <c r="P105" s="230"/>
      <c r="Q105" s="230"/>
      <c r="R105" s="241"/>
      <c r="S105" s="241"/>
      <c r="T105" s="241"/>
      <c r="U105" s="241"/>
      <c r="V105" s="231"/>
      <c r="W105" s="231"/>
      <c r="X105" s="231"/>
      <c r="Y105" s="231"/>
    </row>
    <row r="106" spans="1:25" ht="15" x14ac:dyDescent="0.25">
      <c r="A106" s="2"/>
      <c r="B106" s="2"/>
      <c r="C106" s="2"/>
      <c r="D106" s="2"/>
      <c r="E106" s="55"/>
      <c r="F106" s="2"/>
      <c r="G106" s="55"/>
      <c r="H106" s="2"/>
      <c r="I106" s="2"/>
      <c r="J106" s="2"/>
      <c r="K106" s="2"/>
      <c r="N106" s="230"/>
      <c r="O106" s="230"/>
      <c r="P106" s="230"/>
      <c r="Q106" s="230"/>
      <c r="R106" s="299"/>
      <c r="S106" s="241"/>
      <c r="T106" s="299"/>
      <c r="U106" s="241"/>
      <c r="V106" s="231"/>
      <c r="W106" s="231"/>
      <c r="X106" s="231"/>
      <c r="Y106" s="231"/>
    </row>
    <row r="107" spans="1:25" ht="15" x14ac:dyDescent="0.25">
      <c r="A107" s="2"/>
      <c r="B107" s="2" t="s">
        <v>141</v>
      </c>
      <c r="C107" s="101">
        <f>C103*C95/C99</f>
        <v>197774.55908664904</v>
      </c>
      <c r="D107" s="101"/>
      <c r="E107" s="106">
        <f>E103*E95/E99</f>
        <v>148330.91931498679</v>
      </c>
      <c r="F107" s="101"/>
      <c r="G107" s="106">
        <f>G103*G95/G99</f>
        <v>123609.09942915566</v>
      </c>
      <c r="H107" s="2"/>
      <c r="I107" s="2"/>
      <c r="J107" s="2"/>
      <c r="K107" s="2"/>
      <c r="N107" s="230"/>
      <c r="O107" s="230"/>
      <c r="P107" s="230"/>
      <c r="Q107" s="230"/>
      <c r="R107" s="241"/>
      <c r="S107" s="241"/>
      <c r="T107" s="241"/>
      <c r="U107" s="241"/>
      <c r="V107" s="231"/>
      <c r="W107" s="231"/>
      <c r="X107" s="231"/>
      <c r="Y107" s="231"/>
    </row>
    <row r="108" spans="1:25" ht="15" x14ac:dyDescent="0.25">
      <c r="A108" s="2"/>
      <c r="B108" s="2"/>
      <c r="C108" s="2"/>
      <c r="D108" s="2"/>
      <c r="E108" s="55"/>
      <c r="F108" s="2"/>
      <c r="G108" s="55"/>
      <c r="H108" s="2"/>
      <c r="I108" s="2"/>
      <c r="J108" s="2"/>
      <c r="K108" s="2"/>
      <c r="N108" s="230"/>
      <c r="O108" s="230"/>
      <c r="P108" s="230"/>
      <c r="Q108" s="230"/>
      <c r="R108" s="299"/>
      <c r="S108" s="241"/>
      <c r="T108" s="299"/>
      <c r="U108" s="241"/>
      <c r="V108" s="231"/>
      <c r="W108" s="231"/>
      <c r="X108" s="231"/>
      <c r="Y108" s="231"/>
    </row>
    <row r="109" spans="1:25" ht="15" x14ac:dyDescent="0.25">
      <c r="A109" s="2" t="s">
        <v>256</v>
      </c>
      <c r="B109" s="2"/>
      <c r="C109" s="2"/>
      <c r="D109" s="2"/>
      <c r="E109" s="44"/>
      <c r="F109" s="2"/>
      <c r="G109" s="2"/>
      <c r="H109" s="2"/>
      <c r="I109" s="2"/>
      <c r="J109" s="2"/>
      <c r="K109" s="2"/>
      <c r="N109" s="230"/>
      <c r="O109" s="230"/>
      <c r="P109" s="230"/>
      <c r="Q109" s="230"/>
      <c r="R109" s="241"/>
      <c r="S109" s="241"/>
      <c r="T109" s="241"/>
      <c r="U109" s="241"/>
      <c r="V109" s="231"/>
      <c r="W109" s="231"/>
      <c r="X109" s="231"/>
      <c r="Y109" s="231"/>
    </row>
    <row r="110" spans="1:25" ht="15" x14ac:dyDescent="0.25">
      <c r="A110" s="2"/>
      <c r="B110" s="2"/>
      <c r="C110" s="2"/>
      <c r="D110" s="2"/>
      <c r="E110" s="55"/>
      <c r="F110" s="2"/>
      <c r="G110" s="55"/>
      <c r="H110" s="2"/>
      <c r="I110" s="2"/>
      <c r="J110" s="2"/>
      <c r="K110" s="2"/>
      <c r="N110" s="230"/>
      <c r="O110" s="230"/>
      <c r="P110" s="230"/>
      <c r="Q110" s="230"/>
      <c r="R110" s="299"/>
      <c r="S110" s="241"/>
      <c r="T110" s="299"/>
      <c r="U110" s="241"/>
      <c r="V110" s="231"/>
      <c r="W110" s="231"/>
      <c r="X110" s="231"/>
      <c r="Y110" s="231"/>
    </row>
    <row r="111" spans="1:25" ht="18" x14ac:dyDescent="0.25">
      <c r="A111" s="2"/>
      <c r="B111" s="2" t="s">
        <v>115</v>
      </c>
      <c r="C111" s="2">
        <v>1.27E-4</v>
      </c>
      <c r="D111" s="2" t="s">
        <v>346</v>
      </c>
      <c r="E111" s="55">
        <v>1.35E-4</v>
      </c>
      <c r="F111" s="2" t="s">
        <v>346</v>
      </c>
      <c r="G111" s="55">
        <f>-3*10^-5*LN(G107)+0.0005</f>
        <v>1.4825361676181305E-4</v>
      </c>
      <c r="H111" s="2"/>
      <c r="I111" s="2"/>
      <c r="J111" s="2"/>
      <c r="K111" s="2"/>
      <c r="N111" s="230"/>
      <c r="O111" s="230"/>
      <c r="P111" s="230"/>
      <c r="Q111" s="230"/>
      <c r="R111" s="241"/>
      <c r="S111" s="241"/>
      <c r="T111" s="241"/>
      <c r="U111" s="241"/>
      <c r="V111" s="231"/>
      <c r="W111" s="231"/>
      <c r="X111" s="231"/>
      <c r="Y111" s="231"/>
    </row>
    <row r="112" spans="1:25" ht="15" x14ac:dyDescent="0.25">
      <c r="A112" s="2"/>
      <c r="B112" s="2"/>
      <c r="C112" s="2"/>
      <c r="D112" s="2"/>
      <c r="E112" s="55"/>
      <c r="F112" s="2"/>
      <c r="G112" s="55"/>
      <c r="H112" s="2"/>
      <c r="I112" s="2"/>
      <c r="J112" s="2"/>
      <c r="K112" s="2"/>
      <c r="N112" s="230"/>
      <c r="O112" s="230"/>
      <c r="P112" s="230"/>
      <c r="Q112" s="230"/>
      <c r="R112" s="299"/>
      <c r="S112" s="241"/>
      <c r="T112" s="299"/>
      <c r="U112" s="241"/>
      <c r="V112" s="231"/>
      <c r="W112" s="231"/>
      <c r="X112" s="231"/>
      <c r="Y112" s="231"/>
    </row>
    <row r="113" spans="1:25" ht="15" x14ac:dyDescent="0.25">
      <c r="A113" s="2" t="s">
        <v>449</v>
      </c>
      <c r="B113" s="2"/>
      <c r="C113" s="2"/>
      <c r="D113" s="2"/>
      <c r="E113" s="2"/>
      <c r="F113" s="2"/>
      <c r="G113" s="2"/>
      <c r="H113" s="2"/>
      <c r="I113" s="2"/>
      <c r="J113" s="2"/>
      <c r="K113" s="2"/>
      <c r="N113" s="230"/>
      <c r="O113" s="230"/>
      <c r="P113" s="230"/>
      <c r="Q113" s="230"/>
      <c r="R113" s="241"/>
      <c r="S113" s="241"/>
      <c r="T113" s="241"/>
      <c r="U113" s="241"/>
      <c r="V113" s="231"/>
      <c r="W113" s="231"/>
      <c r="X113" s="231"/>
      <c r="Y113" s="231"/>
    </row>
    <row r="114" spans="1:25" ht="15" x14ac:dyDescent="0.25">
      <c r="A114" s="2"/>
      <c r="B114" s="2"/>
      <c r="C114" s="2"/>
      <c r="D114" s="2"/>
      <c r="E114" s="55"/>
      <c r="F114" s="2"/>
      <c r="G114" s="55"/>
      <c r="H114" s="2"/>
      <c r="I114" s="2"/>
      <c r="J114" s="2"/>
      <c r="K114" s="2"/>
      <c r="N114" s="230"/>
      <c r="O114" s="230"/>
      <c r="P114" s="230"/>
      <c r="Q114" s="230"/>
      <c r="R114" s="299"/>
      <c r="S114" s="241"/>
      <c r="T114" s="299"/>
      <c r="U114" s="241"/>
      <c r="V114" s="231"/>
      <c r="W114" s="231"/>
      <c r="X114" s="231"/>
      <c r="Y114" s="231"/>
    </row>
    <row r="115" spans="1:25" ht="16.5" x14ac:dyDescent="0.3">
      <c r="A115" s="2"/>
      <c r="B115" s="2" t="s">
        <v>347</v>
      </c>
      <c r="C115" s="35">
        <f>($C$17+(1/C82)/62.4)/2</f>
        <v>0.28295082423702383</v>
      </c>
      <c r="D115" s="35"/>
      <c r="E115" s="35">
        <f>($C$17+(1/E82)/62.4)/2</f>
        <v>0.28295082423702383</v>
      </c>
      <c r="F115" s="2"/>
      <c r="G115" s="35">
        <f>($C$17+(1/G82)/62.4)/2</f>
        <v>0.28295082423702383</v>
      </c>
      <c r="H115" s="2"/>
      <c r="I115" s="2"/>
      <c r="J115" s="2"/>
      <c r="K115" s="2"/>
      <c r="N115" s="230"/>
      <c r="O115" s="230"/>
      <c r="P115" s="230"/>
      <c r="Q115" s="230"/>
      <c r="R115" s="241"/>
      <c r="S115" s="241"/>
      <c r="T115" s="241"/>
      <c r="U115" s="241"/>
      <c r="V115" s="231"/>
      <c r="W115" s="231"/>
      <c r="X115" s="231"/>
      <c r="Y115" s="231"/>
    </row>
    <row r="116" spans="1:25" ht="15" x14ac:dyDescent="0.25">
      <c r="A116" s="2"/>
      <c r="B116" s="2"/>
      <c r="C116" s="2"/>
      <c r="D116" s="2"/>
      <c r="E116" s="55"/>
      <c r="F116" s="2"/>
      <c r="G116" s="55"/>
      <c r="H116" s="2"/>
      <c r="I116" s="2"/>
      <c r="J116" s="2"/>
      <c r="K116" s="2"/>
      <c r="N116" s="230"/>
      <c r="O116" s="230"/>
      <c r="P116" s="230"/>
      <c r="Q116" s="230"/>
      <c r="R116" s="299"/>
      <c r="S116" s="241"/>
      <c r="T116" s="299"/>
      <c r="U116" s="241"/>
      <c r="V116" s="231"/>
      <c r="W116" s="231"/>
      <c r="X116" s="231"/>
      <c r="Y116" s="231"/>
    </row>
    <row r="117" spans="1:25" ht="15" x14ac:dyDescent="0.25">
      <c r="A117" s="2" t="s">
        <v>450</v>
      </c>
      <c r="B117" s="2"/>
      <c r="C117" s="2"/>
      <c r="D117" s="2"/>
      <c r="E117" s="2"/>
      <c r="F117" s="2"/>
      <c r="G117" s="2"/>
      <c r="H117" s="2"/>
      <c r="I117" s="2"/>
      <c r="J117" s="2"/>
      <c r="K117" s="2"/>
      <c r="N117" s="230"/>
      <c r="O117" s="230"/>
      <c r="P117" s="230"/>
      <c r="Q117" s="230"/>
      <c r="R117" s="241"/>
      <c r="S117" s="241"/>
      <c r="T117" s="241"/>
      <c r="U117" s="241"/>
      <c r="V117" s="231"/>
      <c r="W117" s="231"/>
      <c r="X117" s="231"/>
      <c r="Y117" s="231"/>
    </row>
    <row r="118" spans="1:25" ht="15" x14ac:dyDescent="0.25">
      <c r="A118" s="2"/>
      <c r="B118" s="2"/>
      <c r="C118" s="2"/>
      <c r="D118" s="2"/>
      <c r="E118" s="55"/>
      <c r="F118" s="2"/>
      <c r="G118" s="55"/>
      <c r="H118" s="2"/>
      <c r="I118" s="2"/>
      <c r="J118" s="2"/>
      <c r="K118" s="2"/>
      <c r="N118" s="230"/>
      <c r="O118" s="230"/>
      <c r="P118" s="230"/>
      <c r="Q118" s="230"/>
      <c r="R118" s="299"/>
      <c r="S118" s="241"/>
      <c r="T118" s="299"/>
      <c r="U118" s="241"/>
      <c r="V118" s="231"/>
      <c r="W118" s="231"/>
      <c r="X118" s="231"/>
      <c r="Y118" s="231"/>
    </row>
    <row r="119" spans="1:25" ht="15" x14ac:dyDescent="0.25">
      <c r="A119" s="2"/>
      <c r="B119" s="2" t="s">
        <v>144</v>
      </c>
      <c r="C119" s="36">
        <f>(C111*(C95^2)*C48)/(5.22*(10^10)*C103*C115)</f>
        <v>2.2849804508053237</v>
      </c>
      <c r="D119" s="36" t="s">
        <v>251</v>
      </c>
      <c r="E119" s="59">
        <f>(E111*(E95^2)*E48)/(5.22*(10^10)*E103*E115)</f>
        <v>1.0246990333643462</v>
      </c>
      <c r="F119" s="2" t="s">
        <v>251</v>
      </c>
      <c r="G119" s="59">
        <f>(G111*(G95^2)*G48)/(5.22*(10^10)*G103*G115)</f>
        <v>0.65121458242711794</v>
      </c>
      <c r="H119" s="2" t="s">
        <v>251</v>
      </c>
      <c r="I119" s="2"/>
      <c r="J119" s="2"/>
      <c r="K119" s="2"/>
      <c r="N119" s="230"/>
      <c r="O119" s="230"/>
      <c r="P119" s="230"/>
      <c r="Q119" s="230"/>
      <c r="R119" s="241"/>
      <c r="S119" s="241"/>
      <c r="T119" s="241"/>
      <c r="U119" s="241"/>
      <c r="V119" s="231"/>
      <c r="W119" s="231"/>
      <c r="X119" s="231"/>
      <c r="Y119" s="231"/>
    </row>
    <row r="120" spans="1:25" ht="15" x14ac:dyDescent="0.25">
      <c r="A120" s="2"/>
      <c r="B120" s="2"/>
      <c r="C120" s="2"/>
      <c r="D120" s="2"/>
      <c r="E120" s="55"/>
      <c r="F120" s="2"/>
      <c r="G120" s="55"/>
      <c r="H120" s="2"/>
      <c r="I120" s="2"/>
      <c r="J120" s="2"/>
      <c r="K120" s="2"/>
      <c r="N120" s="230"/>
      <c r="O120" s="230"/>
      <c r="P120" s="230"/>
      <c r="Q120" s="230"/>
      <c r="R120" s="299"/>
      <c r="S120" s="241"/>
      <c r="T120" s="299"/>
      <c r="U120" s="241"/>
      <c r="V120" s="231"/>
      <c r="W120" s="231"/>
      <c r="X120" s="231"/>
      <c r="Y120" s="231"/>
    </row>
    <row r="121" spans="1:25" ht="15" x14ac:dyDescent="0.25">
      <c r="A121" s="2" t="s">
        <v>257</v>
      </c>
      <c r="B121" s="2"/>
      <c r="C121" s="2"/>
      <c r="D121" s="2"/>
      <c r="E121" s="2"/>
      <c r="F121" s="2"/>
      <c r="G121" s="2"/>
      <c r="H121" s="2"/>
      <c r="I121" s="2"/>
      <c r="J121" s="2"/>
      <c r="K121" s="2"/>
      <c r="N121" s="230"/>
      <c r="O121" s="230"/>
      <c r="P121" s="230"/>
      <c r="Q121" s="230"/>
      <c r="R121" s="241"/>
      <c r="S121" s="241"/>
      <c r="T121" s="241"/>
      <c r="U121" s="241"/>
      <c r="V121" s="231"/>
      <c r="W121" s="231"/>
      <c r="X121" s="231"/>
      <c r="Y121" s="231"/>
    </row>
    <row r="122" spans="1:25" ht="15" x14ac:dyDescent="0.25">
      <c r="A122" s="2"/>
      <c r="B122" s="2"/>
      <c r="C122" s="2"/>
      <c r="D122" s="2"/>
      <c r="E122" s="55"/>
      <c r="F122" s="2"/>
      <c r="G122" s="55"/>
      <c r="H122" s="2"/>
      <c r="I122" s="2"/>
      <c r="J122" s="2"/>
      <c r="K122" s="2"/>
      <c r="N122" s="230"/>
      <c r="O122" s="230"/>
      <c r="P122" s="230"/>
      <c r="Q122" s="230"/>
      <c r="R122" s="299"/>
      <c r="S122" s="241"/>
      <c r="T122" s="299"/>
      <c r="U122" s="241"/>
      <c r="V122" s="231"/>
      <c r="W122" s="231"/>
      <c r="X122" s="231"/>
      <c r="Y122" s="231"/>
    </row>
    <row r="123" spans="1:25" ht="15" x14ac:dyDescent="0.25">
      <c r="A123" s="2"/>
      <c r="B123" s="2" t="s">
        <v>258</v>
      </c>
      <c r="C123" s="36">
        <f>C119+C86</f>
        <v>3.870064008640913</v>
      </c>
      <c r="D123" s="36" t="s">
        <v>251</v>
      </c>
      <c r="E123" s="59">
        <f>E119+E86</f>
        <v>2.2135117017410382</v>
      </c>
      <c r="F123" s="2" t="s">
        <v>251</v>
      </c>
      <c r="G123" s="59">
        <f>G119+G86</f>
        <v>1.6418918060743612</v>
      </c>
      <c r="H123" s="2" t="s">
        <v>251</v>
      </c>
      <c r="I123" s="2"/>
      <c r="J123" s="2"/>
      <c r="K123" s="2"/>
      <c r="N123" s="230"/>
      <c r="O123" s="230"/>
      <c r="P123" s="230"/>
      <c r="Q123" s="230"/>
      <c r="R123" s="241"/>
      <c r="S123" s="241"/>
      <c r="T123" s="241"/>
      <c r="U123" s="241"/>
      <c r="V123" s="231"/>
      <c r="W123" s="231"/>
      <c r="X123" s="231"/>
      <c r="Y123" s="231"/>
    </row>
    <row r="124" spans="1:25" ht="15" x14ac:dyDescent="0.25">
      <c r="A124" s="2"/>
      <c r="B124" s="2"/>
      <c r="C124" s="2"/>
      <c r="D124" s="2"/>
      <c r="E124" s="55"/>
      <c r="F124" s="2"/>
      <c r="G124" s="55"/>
      <c r="H124" s="2"/>
      <c r="I124" s="2"/>
      <c r="J124" s="2"/>
      <c r="K124" s="2"/>
      <c r="N124" s="230"/>
      <c r="O124" s="230"/>
      <c r="P124" s="230"/>
      <c r="Q124" s="230"/>
      <c r="R124" s="299"/>
      <c r="S124" s="241"/>
      <c r="T124" s="299"/>
      <c r="U124" s="241"/>
      <c r="V124" s="231"/>
      <c r="W124" s="231"/>
      <c r="X124" s="231"/>
      <c r="Y124" s="231"/>
    </row>
    <row r="125" spans="1:25" ht="15" x14ac:dyDescent="0.25">
      <c r="A125" s="2" t="s">
        <v>259</v>
      </c>
      <c r="B125" s="2"/>
      <c r="C125" s="2"/>
      <c r="D125" s="2"/>
      <c r="E125" s="2"/>
      <c r="F125" s="2"/>
      <c r="G125" s="2"/>
      <c r="H125" s="2"/>
      <c r="I125" s="2"/>
      <c r="J125" s="2"/>
      <c r="K125" s="2"/>
      <c r="N125" s="230"/>
      <c r="O125" s="230"/>
      <c r="P125" s="230"/>
      <c r="Q125" s="230"/>
      <c r="R125" s="241"/>
      <c r="S125" s="241"/>
      <c r="T125" s="241"/>
      <c r="U125" s="241"/>
      <c r="V125" s="231"/>
      <c r="W125" s="231"/>
      <c r="X125" s="231"/>
      <c r="Y125" s="231"/>
    </row>
    <row r="126" spans="1:25" ht="15" x14ac:dyDescent="0.25">
      <c r="A126" s="2"/>
      <c r="B126" s="2"/>
      <c r="C126" s="2"/>
      <c r="D126" s="2"/>
      <c r="E126" s="55"/>
      <c r="F126" s="2"/>
      <c r="G126" s="55"/>
      <c r="H126" s="2"/>
      <c r="I126" s="2"/>
      <c r="J126" s="2"/>
      <c r="K126" s="2"/>
      <c r="N126" s="230"/>
      <c r="O126" s="230"/>
      <c r="P126" s="230"/>
      <c r="Q126" s="230"/>
      <c r="R126" s="299"/>
      <c r="S126" s="241"/>
      <c r="T126" s="299"/>
      <c r="U126" s="241"/>
      <c r="V126" s="231"/>
      <c r="W126" s="231"/>
      <c r="X126" s="231"/>
      <c r="Y126" s="231"/>
    </row>
    <row r="127" spans="1:25" ht="15" x14ac:dyDescent="0.25">
      <c r="A127" s="2"/>
      <c r="B127" s="2"/>
      <c r="C127" s="36">
        <f>C48*$C$17*62.4/144</f>
        <v>2.9813333333333336</v>
      </c>
      <c r="D127" s="36" t="s">
        <v>251</v>
      </c>
      <c r="E127" s="59">
        <f>E48*$C$17*62.4/144</f>
        <v>2.2359999999999998</v>
      </c>
      <c r="F127" s="2" t="s">
        <v>251</v>
      </c>
      <c r="G127" s="59">
        <f>G48*$C$17*62.4/144</f>
        <v>1.8633333333333333</v>
      </c>
      <c r="H127" s="2" t="s">
        <v>251</v>
      </c>
      <c r="I127" s="2"/>
      <c r="J127" s="2"/>
      <c r="K127" s="2"/>
      <c r="N127" s="230"/>
      <c r="O127" s="230"/>
      <c r="P127" s="230"/>
      <c r="Q127" s="230"/>
      <c r="R127" s="241"/>
      <c r="S127" s="241"/>
      <c r="T127" s="241"/>
      <c r="U127" s="241"/>
      <c r="V127" s="231"/>
      <c r="W127" s="231"/>
      <c r="X127" s="231"/>
      <c r="Y127" s="231"/>
    </row>
    <row r="128" spans="1:25" ht="15" x14ac:dyDescent="0.25">
      <c r="A128" s="2"/>
      <c r="B128" s="2"/>
      <c r="C128" s="36"/>
      <c r="D128" s="36"/>
      <c r="E128" s="59"/>
      <c r="F128" s="2"/>
      <c r="G128" s="59"/>
      <c r="H128" s="2"/>
      <c r="I128" s="2"/>
      <c r="J128" s="2"/>
      <c r="K128" s="2"/>
      <c r="N128" s="230"/>
      <c r="O128" s="230"/>
      <c r="P128" s="230"/>
      <c r="Q128" s="230"/>
      <c r="R128" s="299"/>
      <c r="S128" s="241"/>
      <c r="T128" s="299"/>
      <c r="U128" s="241"/>
      <c r="V128" s="231"/>
      <c r="W128" s="231"/>
      <c r="X128" s="231"/>
      <c r="Y128" s="231"/>
    </row>
    <row r="129" spans="1:25" ht="15" x14ac:dyDescent="0.25">
      <c r="A129" s="2" t="s">
        <v>260</v>
      </c>
      <c r="B129" s="2"/>
      <c r="C129" s="2"/>
      <c r="D129" s="2"/>
      <c r="E129" s="2"/>
      <c r="F129" s="2"/>
      <c r="G129" s="2"/>
      <c r="H129" s="2"/>
      <c r="I129" s="2"/>
      <c r="J129" s="2"/>
      <c r="K129" s="2"/>
      <c r="N129" s="230"/>
      <c r="O129" s="230"/>
      <c r="P129" s="230"/>
      <c r="Q129" s="230"/>
      <c r="R129" s="241"/>
      <c r="S129" s="241"/>
      <c r="T129" s="241"/>
      <c r="U129" s="241"/>
      <c r="V129" s="231"/>
      <c r="W129" s="231"/>
      <c r="X129" s="231"/>
      <c r="Y129" s="231"/>
    </row>
    <row r="130" spans="1:25" ht="15" x14ac:dyDescent="0.25">
      <c r="A130" s="2"/>
      <c r="B130" s="2"/>
      <c r="C130" s="2"/>
      <c r="D130" s="2"/>
      <c r="E130" s="55"/>
      <c r="F130" s="2"/>
      <c r="G130" s="55"/>
      <c r="H130" s="2"/>
      <c r="I130" s="2"/>
      <c r="J130" s="2"/>
      <c r="K130" s="2"/>
      <c r="N130" s="230"/>
      <c r="O130" s="230"/>
      <c r="P130" s="230"/>
      <c r="Q130" s="230"/>
      <c r="R130" s="299"/>
      <c r="S130" s="241"/>
      <c r="T130" s="299"/>
      <c r="U130" s="241"/>
      <c r="V130" s="231"/>
      <c r="W130" s="231"/>
      <c r="X130" s="231"/>
      <c r="Y130" s="231"/>
    </row>
    <row r="131" spans="1:25" ht="15" x14ac:dyDescent="0.25">
      <c r="A131" s="2"/>
      <c r="B131" s="2"/>
      <c r="C131" s="36">
        <f>C127-C123</f>
        <v>-0.88873067530757943</v>
      </c>
      <c r="D131" s="36" t="s">
        <v>251</v>
      </c>
      <c r="E131" s="59">
        <f>E127-E123</f>
        <v>2.2488298258961592E-2</v>
      </c>
      <c r="F131" s="2" t="s">
        <v>251</v>
      </c>
      <c r="G131" s="59">
        <f>G127-G123</f>
        <v>0.22144152725897204</v>
      </c>
      <c r="H131" s="2" t="s">
        <v>251</v>
      </c>
      <c r="I131" s="2"/>
      <c r="J131" s="2"/>
      <c r="K131" s="2"/>
      <c r="N131" s="230"/>
      <c r="O131" s="230"/>
      <c r="P131" s="230"/>
      <c r="Q131" s="230"/>
      <c r="R131" s="241"/>
      <c r="S131" s="241"/>
      <c r="T131" s="241"/>
      <c r="U131" s="241"/>
      <c r="V131" s="231"/>
      <c r="W131" s="231"/>
      <c r="X131" s="231"/>
      <c r="Y131" s="231"/>
    </row>
    <row r="132" spans="1:25" ht="15" customHeight="1" x14ac:dyDescent="0.25">
      <c r="A132" s="107"/>
      <c r="B132" s="107"/>
      <c r="C132" s="107"/>
      <c r="D132" s="107"/>
      <c r="E132" s="107"/>
      <c r="F132" s="107"/>
      <c r="G132" s="107"/>
      <c r="H132" s="107"/>
      <c r="I132" s="107"/>
      <c r="J132" s="107"/>
      <c r="K132" s="107"/>
      <c r="N132" s="230"/>
      <c r="O132" s="230"/>
      <c r="P132" s="230"/>
      <c r="Q132" s="230"/>
      <c r="R132" s="241"/>
      <c r="S132" s="241"/>
      <c r="T132" s="241"/>
      <c r="U132" s="241"/>
      <c r="V132" s="231"/>
      <c r="W132" s="231"/>
      <c r="X132" s="231"/>
      <c r="Y132" s="231"/>
    </row>
    <row r="133" spans="1:25" ht="15" x14ac:dyDescent="0.25">
      <c r="A133" s="107"/>
      <c r="B133" s="107"/>
      <c r="C133" s="107"/>
      <c r="D133" s="107"/>
      <c r="E133" s="107"/>
      <c r="F133" s="107"/>
      <c r="G133" s="107"/>
      <c r="H133" s="107"/>
      <c r="I133" s="107"/>
      <c r="J133" s="107"/>
      <c r="K133" s="107"/>
      <c r="N133" s="230"/>
      <c r="O133" s="230"/>
      <c r="P133" s="230"/>
      <c r="Q133" s="230"/>
      <c r="R133" s="241"/>
      <c r="S133" s="241"/>
      <c r="T133" s="241"/>
      <c r="U133" s="241"/>
      <c r="V133" s="231"/>
      <c r="W133" s="231"/>
      <c r="X133" s="231"/>
      <c r="Y133" s="231"/>
    </row>
    <row r="134" spans="1:25" ht="15" x14ac:dyDescent="0.25">
      <c r="A134" s="107"/>
      <c r="B134" s="107"/>
      <c r="C134" s="107"/>
      <c r="D134" s="107"/>
      <c r="E134" s="107"/>
      <c r="F134" s="107"/>
      <c r="G134" s="107"/>
      <c r="H134" s="107"/>
      <c r="I134" s="107"/>
      <c r="J134" s="107"/>
      <c r="K134" s="107"/>
      <c r="N134" s="230"/>
      <c r="O134" s="230"/>
      <c r="P134" s="230"/>
      <c r="Q134" s="230"/>
      <c r="R134" s="300"/>
      <c r="S134" s="241"/>
      <c r="T134" s="300"/>
      <c r="U134" s="241"/>
      <c r="V134" s="231"/>
      <c r="W134" s="231"/>
      <c r="X134" s="231"/>
      <c r="Y134" s="231"/>
    </row>
    <row r="135" spans="1:25" ht="15" x14ac:dyDescent="0.25">
      <c r="A135" s="107"/>
      <c r="B135" s="107"/>
      <c r="C135" s="107"/>
      <c r="D135" s="107"/>
      <c r="E135" s="107"/>
      <c r="F135" s="107"/>
      <c r="G135" s="107"/>
      <c r="H135" s="107"/>
      <c r="I135" s="107"/>
      <c r="J135" s="107"/>
      <c r="K135" s="107"/>
      <c r="N135" s="230"/>
      <c r="O135" s="230"/>
      <c r="P135" s="230"/>
      <c r="Q135" s="230"/>
      <c r="R135" s="241"/>
      <c r="S135" s="241"/>
      <c r="T135" s="241"/>
      <c r="U135" s="241"/>
      <c r="V135" s="231"/>
      <c r="W135" s="231"/>
      <c r="X135" s="231"/>
      <c r="Y135" s="231"/>
    </row>
    <row r="136" spans="1:25" ht="15" x14ac:dyDescent="0.25">
      <c r="A136" s="107"/>
      <c r="B136" s="107"/>
      <c r="C136" s="107"/>
      <c r="D136" s="107"/>
      <c r="E136" s="107"/>
      <c r="F136" s="107"/>
      <c r="G136" s="107"/>
      <c r="H136" s="107"/>
      <c r="I136" s="107"/>
      <c r="J136" s="107"/>
      <c r="K136" s="107"/>
      <c r="N136" s="230"/>
      <c r="O136" s="230"/>
      <c r="P136" s="230"/>
      <c r="Q136" s="230"/>
      <c r="R136" s="241"/>
      <c r="S136" s="241"/>
      <c r="T136" s="241"/>
      <c r="U136" s="241"/>
      <c r="V136" s="231"/>
      <c r="W136" s="231"/>
      <c r="X136" s="231"/>
      <c r="Y136" s="231"/>
    </row>
    <row r="137" spans="1:25" ht="15" x14ac:dyDescent="0.25">
      <c r="A137" s="107"/>
      <c r="B137" s="107"/>
      <c r="C137" s="107"/>
      <c r="D137" s="107"/>
      <c r="E137" s="107"/>
      <c r="F137" s="107"/>
      <c r="G137" s="107"/>
      <c r="H137" s="107"/>
      <c r="I137" s="107"/>
      <c r="J137" s="107"/>
      <c r="K137" s="107"/>
      <c r="N137" s="230"/>
      <c r="O137" s="230"/>
      <c r="P137" s="230"/>
      <c r="Q137" s="230"/>
      <c r="R137" s="241"/>
      <c r="S137" s="241"/>
      <c r="T137" s="241"/>
      <c r="U137" s="241"/>
      <c r="V137" s="231"/>
      <c r="W137" s="231"/>
      <c r="X137" s="231"/>
      <c r="Y137" s="231"/>
    </row>
    <row r="138" spans="1:25" ht="15" x14ac:dyDescent="0.25">
      <c r="A138" s="301"/>
      <c r="B138" s="301"/>
      <c r="C138" s="301"/>
      <c r="D138" s="301"/>
      <c r="E138" s="301"/>
      <c r="F138" s="301"/>
      <c r="G138" s="301"/>
      <c r="H138" s="301"/>
      <c r="I138" s="301"/>
      <c r="J138" s="301"/>
      <c r="K138" s="301"/>
      <c r="N138" s="230"/>
      <c r="O138" s="230"/>
      <c r="P138" s="230"/>
      <c r="Q138" s="230"/>
      <c r="R138" s="241"/>
      <c r="S138" s="241"/>
      <c r="T138" s="241"/>
      <c r="U138" s="241"/>
      <c r="V138" s="231"/>
      <c r="W138" s="231"/>
      <c r="X138" s="231"/>
      <c r="Y138" s="231"/>
    </row>
    <row r="139" spans="1:25" ht="15" x14ac:dyDescent="0.25">
      <c r="A139" s="129" t="s">
        <v>723</v>
      </c>
      <c r="B139" s="302"/>
      <c r="C139" s="302"/>
      <c r="D139" s="302"/>
      <c r="E139" s="302"/>
      <c r="F139" s="302"/>
      <c r="G139" s="302"/>
      <c r="H139" s="302"/>
      <c r="I139" s="302"/>
      <c r="J139" s="302"/>
      <c r="K139" s="302"/>
      <c r="N139" s="230"/>
      <c r="O139" s="230"/>
      <c r="P139" s="230"/>
      <c r="Q139" s="230"/>
      <c r="R139" s="241"/>
      <c r="S139" s="241"/>
      <c r="T139" s="241"/>
      <c r="U139" s="241"/>
      <c r="V139" s="231"/>
      <c r="W139" s="231"/>
      <c r="X139" s="231"/>
      <c r="Y139" s="231"/>
    </row>
    <row r="140" spans="1:25" ht="15" x14ac:dyDescent="0.25">
      <c r="A140" s="129" t="s">
        <v>724</v>
      </c>
      <c r="B140" s="302"/>
      <c r="C140" s="302"/>
      <c r="D140" s="302"/>
      <c r="E140" s="302"/>
      <c r="F140" s="302"/>
      <c r="G140" s="302"/>
      <c r="H140" s="302"/>
      <c r="I140" s="302"/>
      <c r="J140" s="302"/>
      <c r="K140" s="302"/>
      <c r="N140" s="230"/>
      <c r="O140" s="230"/>
      <c r="P140" s="230"/>
      <c r="Q140" s="230"/>
      <c r="R140" s="300"/>
      <c r="S140" s="241"/>
      <c r="T140" s="300"/>
      <c r="U140" s="241"/>
      <c r="V140" s="231"/>
      <c r="W140" s="231"/>
      <c r="X140" s="231"/>
      <c r="Y140" s="231"/>
    </row>
    <row r="141" spans="1:25" ht="15" x14ac:dyDescent="0.25">
      <c r="A141" s="129" t="s">
        <v>725</v>
      </c>
      <c r="B141" s="302"/>
      <c r="C141" s="302"/>
      <c r="D141" s="302"/>
      <c r="E141" s="302"/>
      <c r="F141" s="302"/>
      <c r="G141" s="302"/>
      <c r="H141" s="302"/>
      <c r="I141" s="302"/>
      <c r="J141" s="302"/>
      <c r="K141" s="302"/>
      <c r="N141" s="230"/>
      <c r="O141" s="230"/>
      <c r="P141" s="230"/>
      <c r="Q141" s="230"/>
      <c r="R141" s="241"/>
      <c r="S141" s="241"/>
      <c r="T141" s="241"/>
      <c r="U141" s="241"/>
      <c r="V141" s="231"/>
      <c r="W141" s="231"/>
      <c r="X141" s="231"/>
      <c r="Y141" s="231"/>
    </row>
    <row r="142" spans="1:25" ht="15" x14ac:dyDescent="0.25">
      <c r="A142" s="129" t="s">
        <v>684</v>
      </c>
      <c r="B142" s="302"/>
      <c r="C142" s="302"/>
      <c r="D142" s="302"/>
      <c r="E142" s="302"/>
      <c r="F142" s="302"/>
      <c r="G142" s="302"/>
      <c r="H142" s="302"/>
      <c r="I142" s="302"/>
      <c r="J142" s="302"/>
      <c r="K142" s="302"/>
      <c r="N142" s="230"/>
      <c r="O142" s="230"/>
      <c r="P142" s="230"/>
      <c r="Q142" s="230"/>
      <c r="R142" s="241"/>
      <c r="S142" s="241"/>
      <c r="T142" s="241"/>
      <c r="U142" s="241"/>
      <c r="V142" s="231"/>
      <c r="W142" s="231"/>
      <c r="X142" s="231"/>
      <c r="Y142" s="231"/>
    </row>
    <row r="143" spans="1:25" ht="15" x14ac:dyDescent="0.25">
      <c r="A143" s="130" t="s">
        <v>726</v>
      </c>
      <c r="B143" s="302"/>
      <c r="C143" s="302"/>
      <c r="D143" s="302"/>
      <c r="E143" s="302"/>
      <c r="F143" s="302"/>
      <c r="G143" s="302"/>
      <c r="H143" s="302"/>
      <c r="I143" s="302"/>
      <c r="J143" s="302"/>
      <c r="K143" s="302"/>
      <c r="N143" s="230"/>
      <c r="O143" s="230"/>
      <c r="P143" s="230"/>
      <c r="Q143" s="230"/>
      <c r="R143" s="241"/>
      <c r="S143" s="241"/>
      <c r="T143" s="241"/>
      <c r="U143" s="241"/>
      <c r="V143" s="231"/>
      <c r="W143" s="231"/>
      <c r="X143" s="231"/>
      <c r="Y143" s="231"/>
    </row>
    <row r="144" spans="1:25" ht="15" x14ac:dyDescent="0.25">
      <c r="A144" s="302"/>
      <c r="B144" s="302"/>
      <c r="C144" s="302"/>
      <c r="D144" s="302"/>
      <c r="E144" s="302"/>
      <c r="F144" s="302"/>
      <c r="G144" s="302"/>
      <c r="H144" s="302"/>
      <c r="I144" s="302"/>
      <c r="J144" s="302"/>
      <c r="K144" s="302"/>
      <c r="N144" s="230"/>
      <c r="O144" s="230"/>
      <c r="P144" s="230"/>
      <c r="Q144" s="230"/>
      <c r="R144" s="241"/>
      <c r="S144" s="241"/>
      <c r="T144" s="241"/>
      <c r="U144" s="241"/>
      <c r="V144" s="231"/>
      <c r="W144" s="231"/>
      <c r="X144" s="231"/>
      <c r="Y144" s="231"/>
    </row>
    <row r="145" spans="1:25" ht="15" x14ac:dyDescent="0.25">
      <c r="A145" s="302"/>
      <c r="B145" s="302"/>
      <c r="C145" s="302"/>
      <c r="D145" s="302"/>
      <c r="E145" s="302"/>
      <c r="F145" s="302"/>
      <c r="G145" s="302"/>
      <c r="H145" s="302"/>
      <c r="I145" s="302"/>
      <c r="J145" s="302"/>
      <c r="K145" s="302"/>
      <c r="N145" s="230"/>
      <c r="O145" s="230"/>
      <c r="P145" s="230"/>
      <c r="Q145" s="230"/>
      <c r="R145" s="241"/>
      <c r="S145" s="241"/>
      <c r="T145" s="241"/>
      <c r="U145" s="241"/>
      <c r="V145" s="231"/>
      <c r="W145" s="231"/>
      <c r="X145" s="231"/>
      <c r="Y145" s="231"/>
    </row>
    <row r="146" spans="1:25" ht="15" x14ac:dyDescent="0.25">
      <c r="A146" s="302"/>
      <c r="B146" s="302"/>
      <c r="C146" s="302"/>
      <c r="D146" s="302"/>
      <c r="E146" s="302"/>
      <c r="F146" s="302"/>
      <c r="G146" s="302"/>
      <c r="H146" s="302"/>
      <c r="I146" s="302"/>
      <c r="J146" s="302"/>
      <c r="K146" s="302"/>
      <c r="N146" s="230"/>
      <c r="O146" s="230"/>
      <c r="P146" s="230"/>
      <c r="Q146" s="230"/>
      <c r="R146" s="300"/>
      <c r="S146" s="241"/>
      <c r="T146" s="300"/>
      <c r="U146" s="241"/>
      <c r="V146" s="231"/>
      <c r="W146" s="231"/>
      <c r="X146" s="231"/>
      <c r="Y146" s="231"/>
    </row>
    <row r="147" spans="1:25" ht="15" x14ac:dyDescent="0.25">
      <c r="A147" s="302"/>
      <c r="B147" s="302"/>
      <c r="C147" s="302"/>
      <c r="D147" s="302"/>
      <c r="E147" s="302"/>
      <c r="F147" s="302"/>
      <c r="G147" s="302"/>
      <c r="H147" s="302"/>
      <c r="I147" s="302"/>
      <c r="J147" s="302"/>
      <c r="K147" s="302"/>
      <c r="N147" s="230"/>
      <c r="O147" s="230"/>
      <c r="P147" s="230"/>
      <c r="Q147" s="230"/>
      <c r="R147" s="241"/>
      <c r="S147" s="241"/>
      <c r="T147" s="241"/>
      <c r="U147" s="241"/>
      <c r="V147" s="231"/>
      <c r="W147" s="231"/>
      <c r="X147" s="231"/>
      <c r="Y147" s="231"/>
    </row>
    <row r="148" spans="1:25" ht="15" x14ac:dyDescent="0.25">
      <c r="B148" s="302"/>
      <c r="C148" s="302"/>
      <c r="D148" s="302"/>
      <c r="E148" s="302"/>
      <c r="F148" s="302"/>
      <c r="G148" s="302"/>
      <c r="H148" s="302"/>
      <c r="I148" s="302"/>
      <c r="J148" s="302"/>
      <c r="N148" s="230"/>
      <c r="O148" s="230"/>
      <c r="P148" s="230"/>
      <c r="Q148" s="230"/>
      <c r="R148" s="241"/>
      <c r="S148" s="241"/>
      <c r="T148" s="241"/>
      <c r="U148" s="241"/>
      <c r="V148" s="231"/>
      <c r="W148" s="231"/>
      <c r="X148" s="231"/>
      <c r="Y148" s="231"/>
    </row>
    <row r="149" spans="1:25" ht="12.75" customHeight="1" x14ac:dyDescent="0.25">
      <c r="B149" s="302"/>
      <c r="C149" s="302"/>
      <c r="D149" s="302"/>
      <c r="E149" s="302"/>
      <c r="F149" s="302"/>
      <c r="G149" s="302"/>
      <c r="H149" s="302"/>
      <c r="I149" s="302"/>
      <c r="J149" s="302"/>
      <c r="L149" s="303"/>
      <c r="M149" s="303"/>
      <c r="N149" s="230"/>
      <c r="O149" s="230"/>
      <c r="P149" s="230"/>
      <c r="Q149" s="230"/>
      <c r="R149" s="241"/>
      <c r="S149" s="241"/>
      <c r="T149" s="241"/>
      <c r="U149" s="241"/>
      <c r="V149" s="231"/>
      <c r="W149" s="231"/>
      <c r="X149" s="231"/>
      <c r="Y149" s="231"/>
    </row>
    <row r="150" spans="1:25" ht="12.75" customHeight="1" x14ac:dyDescent="0.25">
      <c r="B150" s="302"/>
      <c r="C150" s="302"/>
      <c r="D150" s="302"/>
      <c r="E150" s="302"/>
      <c r="F150" s="302"/>
      <c r="G150" s="302"/>
      <c r="H150" s="302"/>
      <c r="I150" s="302"/>
      <c r="J150" s="302"/>
      <c r="L150" s="303"/>
      <c r="M150" s="303"/>
      <c r="N150" s="230"/>
      <c r="O150" s="230"/>
      <c r="P150" s="230"/>
      <c r="Q150" s="230"/>
      <c r="R150" s="241"/>
      <c r="S150" s="241"/>
      <c r="T150" s="241"/>
      <c r="U150" s="241"/>
      <c r="V150" s="231"/>
      <c r="W150" s="231"/>
      <c r="X150" s="231"/>
      <c r="Y150" s="231"/>
    </row>
    <row r="151" spans="1:25" ht="12.75" customHeight="1" x14ac:dyDescent="0.25">
      <c r="B151" s="302"/>
      <c r="C151" s="302"/>
      <c r="D151" s="302"/>
      <c r="E151" s="302"/>
      <c r="F151" s="302"/>
      <c r="G151" s="302"/>
      <c r="H151" s="302"/>
      <c r="I151" s="302"/>
      <c r="J151" s="302"/>
      <c r="L151" s="303"/>
      <c r="M151" s="303"/>
      <c r="N151" s="230"/>
      <c r="O151" s="230"/>
      <c r="P151" s="230"/>
      <c r="Q151" s="230"/>
      <c r="R151" s="241"/>
      <c r="S151" s="241"/>
      <c r="T151" s="241"/>
      <c r="U151" s="241"/>
      <c r="V151" s="231"/>
      <c r="W151" s="231"/>
      <c r="X151" s="231"/>
      <c r="Y151" s="231"/>
    </row>
    <row r="152" spans="1:25" ht="12.75" customHeight="1" x14ac:dyDescent="0.25">
      <c r="B152" s="302"/>
      <c r="C152" s="302"/>
      <c r="D152" s="302"/>
      <c r="E152" s="302"/>
      <c r="F152" s="302"/>
      <c r="G152" s="302"/>
      <c r="H152" s="302"/>
      <c r="I152" s="302"/>
      <c r="J152" s="302"/>
      <c r="L152" s="303"/>
      <c r="M152" s="303"/>
      <c r="N152" s="230"/>
      <c r="O152" s="230"/>
      <c r="P152" s="230"/>
      <c r="Q152" s="230"/>
      <c r="R152" s="300"/>
      <c r="S152" s="241"/>
      <c r="T152" s="300"/>
      <c r="U152" s="241"/>
      <c r="V152" s="231"/>
      <c r="W152" s="231"/>
      <c r="X152" s="231"/>
      <c r="Y152" s="231"/>
    </row>
    <row r="153" spans="1:25" ht="12.75" customHeight="1" x14ac:dyDescent="0.25">
      <c r="A153" s="302"/>
      <c r="B153" s="302"/>
      <c r="C153" s="302"/>
      <c r="D153" s="302"/>
      <c r="E153" s="302"/>
      <c r="F153" s="302"/>
      <c r="G153" s="302"/>
      <c r="H153" s="302"/>
      <c r="I153" s="302"/>
      <c r="J153" s="302"/>
      <c r="K153" s="302"/>
      <c r="L153" s="303"/>
      <c r="M153" s="303"/>
      <c r="N153" s="231"/>
      <c r="O153" s="231"/>
      <c r="P153" s="231"/>
      <c r="Q153" s="231"/>
      <c r="R153" s="231"/>
      <c r="S153" s="231"/>
      <c r="T153" s="231"/>
      <c r="U153" s="231"/>
      <c r="V153" s="231"/>
      <c r="W153" s="231"/>
      <c r="X153" s="231"/>
      <c r="Y153" s="231"/>
    </row>
    <row r="154" spans="1:25" ht="30" customHeight="1" x14ac:dyDescent="0.25">
      <c r="A154" s="302"/>
      <c r="B154" s="302"/>
      <c r="C154" s="302"/>
      <c r="D154" s="302"/>
      <c r="E154" s="302"/>
      <c r="F154" s="302"/>
      <c r="G154" s="302"/>
      <c r="H154" s="302"/>
      <c r="I154" s="302"/>
      <c r="J154" s="302"/>
      <c r="K154" s="302"/>
      <c r="L154" s="303"/>
      <c r="M154" s="303"/>
      <c r="N154" s="262"/>
      <c r="O154" s="262"/>
      <c r="P154" s="262"/>
      <c r="Q154" s="262"/>
      <c r="R154" s="262"/>
      <c r="S154" s="262"/>
      <c r="T154" s="262"/>
      <c r="U154" s="262"/>
      <c r="V154" s="262"/>
      <c r="W154" s="262"/>
      <c r="X154" s="231"/>
    </row>
    <row r="155" spans="1:25" ht="15" x14ac:dyDescent="0.25">
      <c r="A155" s="302"/>
      <c r="B155" s="302"/>
      <c r="C155" s="302"/>
      <c r="D155" s="302"/>
      <c r="E155" s="302"/>
      <c r="F155" s="302"/>
      <c r="G155" s="302"/>
      <c r="H155" s="302"/>
      <c r="I155" s="302"/>
      <c r="J155" s="302"/>
      <c r="K155" s="302"/>
      <c r="L155" s="303"/>
      <c r="M155" s="303"/>
      <c r="N155" s="262"/>
      <c r="O155" s="262"/>
      <c r="P155" s="262"/>
      <c r="Q155" s="262"/>
      <c r="R155" s="262"/>
      <c r="S155" s="262"/>
      <c r="T155" s="262"/>
      <c r="U155" s="262"/>
      <c r="V155" s="262"/>
      <c r="W155" s="262"/>
      <c r="X155" s="231"/>
    </row>
    <row r="156" spans="1:25" ht="15" x14ac:dyDescent="0.25">
      <c r="A156" s="302"/>
      <c r="B156" s="302"/>
      <c r="C156" s="302"/>
      <c r="D156" s="302"/>
      <c r="E156" s="302"/>
      <c r="F156" s="302"/>
      <c r="G156" s="302"/>
      <c r="H156" s="302"/>
      <c r="I156" s="302"/>
      <c r="J156" s="302"/>
      <c r="K156" s="302"/>
      <c r="N156" s="262"/>
      <c r="O156" s="262"/>
      <c r="P156" s="262"/>
      <c r="Q156" s="262"/>
      <c r="R156" s="262"/>
      <c r="S156" s="262"/>
      <c r="T156" s="262"/>
      <c r="U156" s="262"/>
      <c r="V156" s="262"/>
      <c r="W156" s="262"/>
      <c r="X156" s="262"/>
    </row>
    <row r="157" spans="1:25" ht="15" x14ac:dyDescent="0.25">
      <c r="A157" s="302"/>
      <c r="B157" s="302"/>
      <c r="C157" s="302"/>
      <c r="D157" s="302"/>
      <c r="E157" s="302"/>
      <c r="F157" s="302"/>
      <c r="G157" s="302"/>
      <c r="H157" s="302"/>
      <c r="I157" s="302"/>
      <c r="J157" s="302"/>
      <c r="K157" s="302"/>
      <c r="N157" s="262"/>
      <c r="O157" s="262"/>
      <c r="P157" s="262"/>
      <c r="Q157" s="262"/>
      <c r="R157" s="262"/>
      <c r="S157" s="262"/>
      <c r="T157" s="262"/>
      <c r="U157" s="262"/>
      <c r="V157" s="262"/>
      <c r="W157" s="262"/>
      <c r="X157" s="262"/>
    </row>
    <row r="158" spans="1:25" ht="15" x14ac:dyDescent="0.25">
      <c r="A158" s="302"/>
      <c r="B158" s="302"/>
      <c r="C158" s="302"/>
      <c r="D158" s="302"/>
      <c r="E158" s="302"/>
      <c r="F158" s="302"/>
      <c r="G158" s="302"/>
      <c r="H158" s="302"/>
      <c r="I158" s="302"/>
      <c r="J158" s="302"/>
      <c r="K158" s="302"/>
      <c r="N158" s="262"/>
      <c r="O158" s="262"/>
      <c r="P158" s="262"/>
      <c r="Q158" s="262"/>
      <c r="R158" s="262"/>
      <c r="S158" s="262"/>
      <c r="T158" s="262"/>
      <c r="U158" s="262"/>
      <c r="V158" s="262"/>
      <c r="W158" s="262"/>
      <c r="X158" s="262"/>
    </row>
    <row r="159" spans="1:25" ht="15" x14ac:dyDescent="0.25">
      <c r="A159" s="302"/>
      <c r="B159" s="302"/>
      <c r="C159" s="302"/>
      <c r="D159" s="302"/>
      <c r="E159" s="302"/>
      <c r="F159" s="302"/>
      <c r="G159" s="302"/>
      <c r="H159" s="302"/>
      <c r="I159" s="302"/>
      <c r="J159" s="302"/>
      <c r="K159" s="302"/>
      <c r="N159" s="262"/>
      <c r="O159" s="262"/>
      <c r="P159" s="262"/>
      <c r="Q159" s="262"/>
      <c r="R159" s="262"/>
      <c r="S159" s="262"/>
      <c r="T159" s="262"/>
      <c r="U159" s="262"/>
      <c r="V159" s="262"/>
      <c r="W159" s="262"/>
      <c r="X159" s="262"/>
    </row>
    <row r="160" spans="1:25" ht="15" x14ac:dyDescent="0.25">
      <c r="A160" s="302"/>
      <c r="B160" s="302"/>
      <c r="C160" s="302"/>
      <c r="D160" s="302"/>
      <c r="E160" s="302"/>
      <c r="F160" s="302"/>
      <c r="G160" s="302"/>
      <c r="H160" s="302"/>
      <c r="I160" s="302"/>
      <c r="J160" s="302"/>
      <c r="K160" s="302"/>
      <c r="X160" s="262"/>
    </row>
    <row r="161" spans="1:24" ht="15" x14ac:dyDescent="0.25">
      <c r="A161" s="302"/>
      <c r="B161" s="302"/>
      <c r="C161" s="302"/>
      <c r="D161" s="302"/>
      <c r="E161" s="302"/>
      <c r="F161" s="302"/>
      <c r="G161" s="302"/>
      <c r="H161" s="302"/>
      <c r="I161" s="302"/>
      <c r="J161" s="302"/>
      <c r="K161" s="302"/>
      <c r="X161" s="262"/>
    </row>
    <row r="162" spans="1:24" ht="15" x14ac:dyDescent="0.25">
      <c r="A162" s="302"/>
      <c r="B162" s="302"/>
      <c r="C162" s="302"/>
      <c r="D162" s="302"/>
      <c r="E162" s="302"/>
      <c r="F162" s="302"/>
      <c r="G162" s="302"/>
      <c r="H162" s="302"/>
      <c r="I162" s="302"/>
      <c r="J162" s="302"/>
      <c r="K162" s="302"/>
    </row>
    <row r="163" spans="1:24" ht="15" x14ac:dyDescent="0.25">
      <c r="A163" s="302"/>
      <c r="B163" s="302"/>
      <c r="C163" s="302"/>
      <c r="D163" s="302"/>
      <c r="E163" s="302"/>
      <c r="F163" s="302"/>
      <c r="G163" s="302"/>
      <c r="H163" s="302"/>
      <c r="I163" s="302"/>
      <c r="J163" s="302"/>
      <c r="K163" s="302"/>
    </row>
  </sheetData>
  <sheetProtection password="E156" sheet="1" objects="1" scenarios="1"/>
  <mergeCells count="9">
    <mergeCell ref="N6:X6"/>
    <mergeCell ref="N7:W7"/>
    <mergeCell ref="A6:K9"/>
    <mergeCell ref="A132:K137"/>
    <mergeCell ref="A44:I45"/>
    <mergeCell ref="A88:J89"/>
    <mergeCell ref="C47:H47"/>
    <mergeCell ref="N82:U87"/>
    <mergeCell ref="N61:Y64"/>
  </mergeCells>
  <phoneticPr fontId="3" type="noConversion"/>
  <pageMargins left="0.75" right="0.75" top="1" bottom="1" header="0.5" footer="0.5"/>
  <pageSetup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1"/>
  <sheetViews>
    <sheetView zoomScale="80" zoomScaleNormal="80" workbookViewId="0">
      <selection activeCell="N16" sqref="N16"/>
    </sheetView>
  </sheetViews>
  <sheetFormatPr defaultColWidth="9.140625" defaultRowHeight="12.75" x14ac:dyDescent="0.2"/>
  <cols>
    <col min="1" max="1" width="9.140625" style="68"/>
    <col min="2" max="2" width="11.42578125" style="68" bestFit="1" customWidth="1"/>
    <col min="3" max="16" width="9.140625" style="68"/>
    <col min="17" max="17" width="11" style="68" customWidth="1"/>
    <col min="18" max="16384" width="9.140625" style="68"/>
  </cols>
  <sheetData>
    <row r="1" spans="1:29" ht="15" x14ac:dyDescent="0.25">
      <c r="A1" s="128" t="s">
        <v>717</v>
      </c>
    </row>
    <row r="5" spans="1:29" ht="15" x14ac:dyDescent="0.25">
      <c r="A5" s="1" t="s">
        <v>393</v>
      </c>
      <c r="B5" s="2"/>
      <c r="C5" s="2"/>
      <c r="D5" s="2"/>
      <c r="E5" s="2"/>
      <c r="F5" s="2"/>
      <c r="G5" s="2"/>
      <c r="H5" s="2"/>
      <c r="I5" s="2"/>
      <c r="J5" s="2"/>
      <c r="K5" s="2"/>
      <c r="L5" s="2"/>
      <c r="M5" s="2"/>
      <c r="P5" s="139" t="s">
        <v>458</v>
      </c>
      <c r="Q5" s="66"/>
      <c r="R5" s="66"/>
      <c r="S5" s="66"/>
      <c r="T5" s="66"/>
      <c r="U5" s="66"/>
      <c r="V5" s="66"/>
      <c r="W5" s="66"/>
      <c r="X5" s="66"/>
      <c r="Y5" s="66"/>
      <c r="Z5" s="66"/>
      <c r="AA5" s="66"/>
      <c r="AB5" s="66"/>
      <c r="AC5" s="140"/>
    </row>
    <row r="6" spans="1:29" ht="12.75" customHeight="1" x14ac:dyDescent="0.25">
      <c r="A6" s="107" t="s">
        <v>261</v>
      </c>
      <c r="B6" s="107"/>
      <c r="C6" s="107"/>
      <c r="D6" s="107"/>
      <c r="E6" s="107"/>
      <c r="F6" s="107"/>
      <c r="G6" s="107"/>
      <c r="H6" s="107"/>
      <c r="I6" s="107"/>
      <c r="J6" s="107"/>
      <c r="K6" s="107"/>
      <c r="L6" s="107"/>
      <c r="M6" s="107"/>
      <c r="P6" s="174" t="s">
        <v>399</v>
      </c>
      <c r="Q6" s="174"/>
      <c r="R6" s="174"/>
      <c r="S6" s="174"/>
      <c r="T6" s="174"/>
      <c r="U6" s="174"/>
      <c r="V6" s="174"/>
      <c r="W6" s="174"/>
      <c r="X6" s="174"/>
      <c r="Y6" s="174"/>
      <c r="Z6" s="174"/>
      <c r="AA6" s="141"/>
      <c r="AB6" s="141"/>
      <c r="AC6" s="140"/>
    </row>
    <row r="7" spans="1:29" ht="17.25" customHeight="1" x14ac:dyDescent="0.25">
      <c r="A7" s="107"/>
      <c r="B7" s="107"/>
      <c r="C7" s="107"/>
      <c r="D7" s="107"/>
      <c r="E7" s="107"/>
      <c r="F7" s="107"/>
      <c r="G7" s="107"/>
      <c r="H7" s="107"/>
      <c r="I7" s="107"/>
      <c r="J7" s="107"/>
      <c r="K7" s="107"/>
      <c r="L7" s="107"/>
      <c r="M7" s="107"/>
      <c r="P7" s="174"/>
      <c r="Q7" s="174"/>
      <c r="R7" s="174"/>
      <c r="S7" s="174"/>
      <c r="T7" s="174"/>
      <c r="U7" s="174"/>
      <c r="V7" s="174"/>
      <c r="W7" s="174"/>
      <c r="X7" s="174"/>
      <c r="Y7" s="174"/>
      <c r="Z7" s="174"/>
      <c r="AA7" s="141"/>
      <c r="AB7" s="141"/>
      <c r="AC7" s="140"/>
    </row>
    <row r="8" spans="1:29" ht="21" customHeight="1" x14ac:dyDescent="0.25">
      <c r="A8" s="107"/>
      <c r="B8" s="107"/>
      <c r="C8" s="107"/>
      <c r="D8" s="107"/>
      <c r="E8" s="107"/>
      <c r="F8" s="107"/>
      <c r="G8" s="107"/>
      <c r="H8" s="107"/>
      <c r="I8" s="107"/>
      <c r="J8" s="107"/>
      <c r="K8" s="107"/>
      <c r="L8" s="107"/>
      <c r="M8" s="107"/>
      <c r="P8" s="111" t="s">
        <v>376</v>
      </c>
      <c r="Q8" s="111"/>
      <c r="R8" s="111"/>
      <c r="S8" s="111"/>
      <c r="T8" s="111"/>
      <c r="U8" s="141"/>
      <c r="V8" s="141"/>
      <c r="W8" s="141"/>
      <c r="X8" s="141"/>
      <c r="Y8" s="141"/>
      <c r="Z8" s="141"/>
      <c r="AA8" s="141"/>
      <c r="AB8" s="141"/>
      <c r="AC8" s="140"/>
    </row>
    <row r="9" spans="1:29" ht="15" x14ac:dyDescent="0.25">
      <c r="A9" s="4"/>
      <c r="B9" s="4"/>
      <c r="C9" s="4"/>
      <c r="D9" s="4"/>
      <c r="E9" s="4"/>
      <c r="F9" s="4"/>
      <c r="G9" s="4"/>
      <c r="H9" s="4"/>
      <c r="I9" s="4"/>
      <c r="J9" s="4"/>
      <c r="K9" s="4"/>
      <c r="L9" s="4"/>
      <c r="M9" s="4"/>
      <c r="P9" s="141"/>
      <c r="Q9" s="141"/>
      <c r="R9" s="141"/>
      <c r="S9" s="141"/>
      <c r="T9" s="141"/>
      <c r="U9" s="141"/>
      <c r="V9" s="141"/>
      <c r="W9" s="141"/>
      <c r="X9" s="141"/>
      <c r="Y9" s="141"/>
      <c r="Z9" s="141"/>
      <c r="AA9" s="141"/>
      <c r="AB9" s="141"/>
      <c r="AC9" s="140"/>
    </row>
    <row r="10" spans="1:29" ht="15" x14ac:dyDescent="0.25">
      <c r="A10" s="2"/>
      <c r="B10" s="2" t="s">
        <v>5</v>
      </c>
      <c r="C10" s="7" t="s">
        <v>262</v>
      </c>
      <c r="D10" s="2"/>
      <c r="E10" s="2"/>
      <c r="F10" s="2"/>
      <c r="G10" s="2"/>
      <c r="H10" s="2"/>
      <c r="I10" s="2"/>
      <c r="J10" s="2"/>
      <c r="K10" s="2"/>
      <c r="L10" s="2"/>
      <c r="M10" s="2"/>
      <c r="P10" s="66"/>
      <c r="Q10" s="66" t="s">
        <v>5</v>
      </c>
      <c r="R10" s="143" t="s">
        <v>262</v>
      </c>
      <c r="S10" s="66"/>
      <c r="T10" s="66"/>
      <c r="U10" s="89">
        <v>75</v>
      </c>
      <c r="V10" s="66" t="s">
        <v>395</v>
      </c>
      <c r="W10" s="66"/>
      <c r="X10" s="66"/>
      <c r="Y10" s="66"/>
      <c r="Z10" s="66"/>
      <c r="AA10" s="66"/>
      <c r="AB10" s="66"/>
      <c r="AC10" s="140"/>
    </row>
    <row r="11" spans="1:29" ht="16.5" x14ac:dyDescent="0.3">
      <c r="A11" s="2"/>
      <c r="B11" s="7" t="s">
        <v>348</v>
      </c>
      <c r="C11" s="10">
        <v>90.6</v>
      </c>
      <c r="D11" s="2"/>
      <c r="E11" s="2"/>
      <c r="F11" s="2"/>
      <c r="G11" s="2"/>
      <c r="H11" s="2"/>
      <c r="I11" s="2"/>
      <c r="J11" s="2"/>
      <c r="K11" s="2"/>
      <c r="L11" s="2"/>
      <c r="M11" s="2"/>
      <c r="P11" s="66"/>
      <c r="Q11" s="143" t="s">
        <v>348</v>
      </c>
      <c r="R11" s="77">
        <v>90.6</v>
      </c>
      <c r="S11" s="66"/>
      <c r="T11" s="66"/>
      <c r="U11" s="66"/>
      <c r="V11" s="66"/>
      <c r="W11" s="66"/>
      <c r="X11" s="66"/>
      <c r="Y11" s="66"/>
      <c r="Z11" s="66"/>
      <c r="AA11" s="66"/>
      <c r="AB11" s="66"/>
      <c r="AC11" s="140"/>
    </row>
    <row r="12" spans="1:29" ht="16.5" x14ac:dyDescent="0.3">
      <c r="A12" s="2"/>
      <c r="B12" s="7" t="s">
        <v>283</v>
      </c>
      <c r="C12" s="10">
        <v>4.3</v>
      </c>
      <c r="D12" s="2"/>
      <c r="E12" s="2"/>
      <c r="F12" s="2"/>
      <c r="G12" s="2"/>
      <c r="H12" s="2"/>
      <c r="I12" s="2"/>
      <c r="J12" s="2"/>
      <c r="K12" s="2"/>
      <c r="L12" s="2"/>
      <c r="M12" s="2"/>
      <c r="P12" s="66"/>
      <c r="Q12" s="143" t="s">
        <v>283</v>
      </c>
      <c r="R12" s="77">
        <v>4.3</v>
      </c>
      <c r="S12" s="66"/>
      <c r="T12" s="66"/>
      <c r="U12" s="89">
        <v>6</v>
      </c>
      <c r="V12" s="66" t="s">
        <v>396</v>
      </c>
      <c r="W12" s="66"/>
      <c r="X12" s="66"/>
      <c r="Y12" s="66"/>
      <c r="Z12" s="66"/>
      <c r="AA12" s="66"/>
      <c r="AB12" s="66"/>
      <c r="AC12" s="140"/>
    </row>
    <row r="13" spans="1:29" ht="16.5" x14ac:dyDescent="0.3">
      <c r="A13" s="2"/>
      <c r="B13" s="7" t="s">
        <v>284</v>
      </c>
      <c r="C13" s="10">
        <v>3.2</v>
      </c>
      <c r="D13" s="2"/>
      <c r="E13" s="2"/>
      <c r="F13" s="2"/>
      <c r="G13" s="2"/>
      <c r="H13" s="2"/>
      <c r="I13" s="2"/>
      <c r="J13" s="2"/>
      <c r="K13" s="2"/>
      <c r="L13" s="2"/>
      <c r="M13" s="2"/>
      <c r="P13" s="66"/>
      <c r="Q13" s="143" t="s">
        <v>284</v>
      </c>
      <c r="R13" s="77">
        <v>3.2</v>
      </c>
      <c r="S13" s="66"/>
      <c r="T13" s="66"/>
      <c r="U13" s="66"/>
      <c r="V13" s="66"/>
      <c r="W13" s="66"/>
      <c r="X13" s="66"/>
      <c r="Y13" s="66"/>
      <c r="Z13" s="66"/>
      <c r="AA13" s="66"/>
      <c r="AB13" s="66"/>
      <c r="AC13" s="140"/>
    </row>
    <row r="14" spans="1:29" ht="16.5" x14ac:dyDescent="0.3">
      <c r="A14" s="2"/>
      <c r="B14" s="7" t="s">
        <v>285</v>
      </c>
      <c r="C14" s="10">
        <v>0.5</v>
      </c>
      <c r="D14" s="2"/>
      <c r="E14" s="2"/>
      <c r="F14" s="2"/>
      <c r="G14" s="2"/>
      <c r="H14" s="2"/>
      <c r="I14" s="2"/>
      <c r="J14" s="2"/>
      <c r="K14" s="2"/>
      <c r="L14" s="2"/>
      <c r="M14" s="2"/>
      <c r="P14" s="66"/>
      <c r="Q14" s="143" t="s">
        <v>285</v>
      </c>
      <c r="R14" s="77">
        <v>0.5</v>
      </c>
      <c r="S14" s="66"/>
      <c r="T14" s="66"/>
      <c r="U14" s="89">
        <v>104</v>
      </c>
      <c r="V14" s="66" t="s">
        <v>397</v>
      </c>
      <c r="W14" s="66"/>
      <c r="X14" s="66"/>
      <c r="Y14" s="66"/>
      <c r="Z14" s="66"/>
      <c r="AA14" s="66"/>
      <c r="AB14" s="66"/>
      <c r="AC14" s="140"/>
    </row>
    <row r="15" spans="1:29" ht="16.5" x14ac:dyDescent="0.3">
      <c r="A15" s="2"/>
      <c r="B15" s="7" t="s">
        <v>286</v>
      </c>
      <c r="C15" s="10">
        <v>1</v>
      </c>
      <c r="D15" s="2"/>
      <c r="E15" s="2"/>
      <c r="F15" s="2"/>
      <c r="G15" s="2"/>
      <c r="H15" s="2"/>
      <c r="I15" s="2"/>
      <c r="J15" s="2"/>
      <c r="K15" s="2"/>
      <c r="L15" s="2"/>
      <c r="M15" s="2"/>
      <c r="P15" s="66"/>
      <c r="Q15" s="143" t="s">
        <v>286</v>
      </c>
      <c r="R15" s="77">
        <v>1</v>
      </c>
      <c r="S15" s="66"/>
      <c r="T15" s="66"/>
      <c r="U15" s="67"/>
      <c r="V15" s="66"/>
      <c r="W15" s="66"/>
      <c r="X15" s="66"/>
      <c r="Y15" s="66"/>
      <c r="Z15" s="66"/>
      <c r="AA15" s="66"/>
      <c r="AB15" s="66"/>
      <c r="AC15" s="140"/>
    </row>
    <row r="16" spans="1:29" ht="16.5" x14ac:dyDescent="0.3">
      <c r="A16" s="2"/>
      <c r="B16" s="7" t="s">
        <v>299</v>
      </c>
      <c r="C16" s="10">
        <v>0.4</v>
      </c>
      <c r="D16" s="2"/>
      <c r="E16" s="2"/>
      <c r="F16" s="2"/>
      <c r="G16" s="2"/>
      <c r="H16" s="2"/>
      <c r="I16" s="2"/>
      <c r="J16" s="2"/>
      <c r="K16" s="2"/>
      <c r="L16" s="2"/>
      <c r="M16" s="2"/>
      <c r="P16" s="66"/>
      <c r="Q16" s="143" t="s">
        <v>299</v>
      </c>
      <c r="R16" s="77">
        <v>0.4</v>
      </c>
      <c r="S16" s="66"/>
      <c r="T16" s="66"/>
      <c r="U16" s="89">
        <v>1000</v>
      </c>
      <c r="V16" s="66" t="s">
        <v>398</v>
      </c>
      <c r="W16" s="66"/>
      <c r="X16" s="66"/>
      <c r="Y16" s="66"/>
      <c r="Z16" s="66"/>
      <c r="AA16" s="66"/>
      <c r="AB16" s="66"/>
      <c r="AC16" s="140"/>
    </row>
    <row r="17" spans="1:29" ht="15" x14ac:dyDescent="0.25">
      <c r="A17" s="2"/>
      <c r="B17" s="2"/>
      <c r="C17" s="2"/>
      <c r="D17" s="2"/>
      <c r="E17" s="2"/>
      <c r="F17" s="2"/>
      <c r="G17" s="2"/>
      <c r="H17" s="2"/>
      <c r="I17" s="2"/>
      <c r="J17" s="2"/>
      <c r="K17" s="2"/>
      <c r="L17" s="2"/>
      <c r="M17" s="2"/>
      <c r="P17" s="66"/>
      <c r="Q17" s="66"/>
      <c r="R17" s="66"/>
      <c r="S17" s="66"/>
      <c r="T17" s="66"/>
      <c r="U17" s="66"/>
      <c r="V17" s="66"/>
      <c r="W17" s="66"/>
      <c r="X17" s="66"/>
      <c r="Y17" s="66"/>
      <c r="Z17" s="66"/>
      <c r="AA17" s="66"/>
      <c r="AB17" s="66"/>
      <c r="AC17" s="140"/>
    </row>
    <row r="18" spans="1:29" ht="15" x14ac:dyDescent="0.25">
      <c r="A18" s="87" t="s">
        <v>263</v>
      </c>
      <c r="B18" s="2"/>
      <c r="C18" s="2"/>
      <c r="D18" s="2"/>
      <c r="E18" s="2"/>
      <c r="F18" s="2"/>
      <c r="G18" s="2"/>
      <c r="H18" s="2"/>
      <c r="I18" s="2"/>
      <c r="J18" s="2"/>
      <c r="K18" s="2"/>
      <c r="L18" s="2"/>
      <c r="M18" s="2"/>
      <c r="P18" s="304" t="s">
        <v>394</v>
      </c>
      <c r="Q18" s="66"/>
      <c r="R18" s="66"/>
      <c r="S18" s="66"/>
      <c r="T18" s="66"/>
      <c r="U18" s="66"/>
      <c r="V18" s="66"/>
      <c r="W18" s="66"/>
      <c r="X18" s="66"/>
      <c r="Y18" s="66"/>
      <c r="Z18" s="66"/>
      <c r="AA18" s="66"/>
      <c r="AB18" s="66"/>
      <c r="AC18" s="140"/>
    </row>
    <row r="19" spans="1:29" ht="15" x14ac:dyDescent="0.25">
      <c r="A19" s="2"/>
      <c r="B19" s="2"/>
      <c r="C19" s="2"/>
      <c r="D19" s="2"/>
      <c r="E19" s="2"/>
      <c r="F19" s="2"/>
      <c r="G19" s="2"/>
      <c r="H19" s="2"/>
      <c r="I19" s="2"/>
      <c r="J19" s="2"/>
      <c r="K19" s="2"/>
      <c r="L19" s="2"/>
      <c r="M19" s="2"/>
      <c r="P19" s="66"/>
      <c r="Q19" s="66"/>
      <c r="R19" s="66"/>
      <c r="S19" s="66"/>
      <c r="T19" s="66"/>
      <c r="U19" s="66"/>
      <c r="V19" s="66"/>
      <c r="W19" s="66"/>
      <c r="X19" s="66"/>
      <c r="Y19" s="66"/>
      <c r="Z19" s="66"/>
      <c r="AA19" s="66"/>
      <c r="AB19" s="66"/>
      <c r="AC19" s="140"/>
    </row>
    <row r="20" spans="1:29" ht="15" x14ac:dyDescent="0.25">
      <c r="A20" s="2"/>
      <c r="B20" s="2" t="s">
        <v>5</v>
      </c>
      <c r="C20" s="7" t="s">
        <v>125</v>
      </c>
      <c r="D20" s="2"/>
      <c r="E20" s="2"/>
      <c r="F20" s="2"/>
      <c r="G20" s="2"/>
      <c r="H20" s="2"/>
      <c r="I20" s="2"/>
      <c r="J20" s="2"/>
      <c r="K20" s="2"/>
      <c r="L20" s="2"/>
      <c r="M20" s="2"/>
      <c r="P20" s="66"/>
      <c r="Q20" s="66" t="s">
        <v>5</v>
      </c>
      <c r="R20" s="143" t="s">
        <v>125</v>
      </c>
      <c r="S20" s="66"/>
      <c r="T20" s="66"/>
      <c r="U20" s="66"/>
      <c r="V20" s="66"/>
      <c r="W20" s="66"/>
      <c r="X20" s="66"/>
      <c r="Y20" s="66"/>
      <c r="Z20" s="66"/>
      <c r="AA20" s="66"/>
      <c r="AB20" s="66"/>
      <c r="AC20" s="140"/>
    </row>
    <row r="21" spans="1:29" ht="16.5" x14ac:dyDescent="0.3">
      <c r="A21" s="2"/>
      <c r="B21" s="7" t="s">
        <v>348</v>
      </c>
      <c r="C21" s="35">
        <v>3.25</v>
      </c>
      <c r="D21" s="2"/>
      <c r="E21" s="2"/>
      <c r="F21" s="2"/>
      <c r="G21" s="2"/>
      <c r="H21" s="2"/>
      <c r="I21" s="2"/>
      <c r="J21" s="2"/>
      <c r="K21" s="2"/>
      <c r="L21" s="2"/>
      <c r="M21" s="2"/>
      <c r="P21" s="66"/>
      <c r="Q21" s="143" t="s">
        <v>348</v>
      </c>
      <c r="R21" s="90">
        <v>3.25</v>
      </c>
      <c r="S21" s="66"/>
      <c r="T21" s="66"/>
      <c r="U21" s="66"/>
      <c r="V21" s="66"/>
      <c r="W21" s="66"/>
      <c r="X21" s="66"/>
      <c r="Y21" s="66"/>
      <c r="Z21" s="66"/>
      <c r="AA21" s="66"/>
      <c r="AB21" s="66"/>
      <c r="AC21" s="140"/>
    </row>
    <row r="22" spans="1:29" ht="16.5" x14ac:dyDescent="0.3">
      <c r="A22" s="2"/>
      <c r="B22" s="7" t="s">
        <v>283</v>
      </c>
      <c r="C22" s="35">
        <v>0.9</v>
      </c>
      <c r="D22" s="2"/>
      <c r="E22" s="2"/>
      <c r="F22" s="2"/>
      <c r="G22" s="2"/>
      <c r="H22" s="2"/>
      <c r="I22" s="2"/>
      <c r="J22" s="2"/>
      <c r="K22" s="2"/>
      <c r="L22" s="2"/>
      <c r="M22" s="2"/>
      <c r="P22" s="66"/>
      <c r="Q22" s="143" t="s">
        <v>283</v>
      </c>
      <c r="R22" s="90">
        <v>0.9</v>
      </c>
      <c r="S22" s="66"/>
      <c r="T22" s="66"/>
      <c r="U22" s="66"/>
      <c r="V22" s="66"/>
      <c r="W22" s="66"/>
      <c r="X22" s="66"/>
      <c r="Y22" s="66"/>
      <c r="Z22" s="66"/>
      <c r="AA22" s="66"/>
      <c r="AB22" s="66"/>
      <c r="AC22" s="140"/>
    </row>
    <row r="23" spans="1:29" ht="16.5" x14ac:dyDescent="0.3">
      <c r="A23" s="2"/>
      <c r="B23" s="7" t="s">
        <v>284</v>
      </c>
      <c r="C23" s="35">
        <v>0.37</v>
      </c>
      <c r="D23" s="2"/>
      <c r="E23" s="2"/>
      <c r="F23" s="2"/>
      <c r="G23" s="2"/>
      <c r="H23" s="2"/>
      <c r="I23" s="2"/>
      <c r="J23" s="2"/>
      <c r="K23" s="2"/>
      <c r="L23" s="2"/>
      <c r="M23" s="2"/>
      <c r="P23" s="66"/>
      <c r="Q23" s="143" t="s">
        <v>284</v>
      </c>
      <c r="R23" s="90">
        <v>0.37</v>
      </c>
      <c r="S23" s="66"/>
      <c r="T23" s="66"/>
      <c r="U23" s="66"/>
      <c r="V23" s="66"/>
      <c r="W23" s="66"/>
      <c r="X23" s="66"/>
      <c r="Y23" s="66"/>
      <c r="Z23" s="66"/>
      <c r="AA23" s="66"/>
      <c r="AB23" s="66"/>
      <c r="AC23" s="140"/>
    </row>
    <row r="24" spans="1:29" ht="16.5" x14ac:dyDescent="0.3">
      <c r="A24" s="2"/>
      <c r="B24" s="7" t="s">
        <v>285</v>
      </c>
      <c r="C24" s="35">
        <v>0.1</v>
      </c>
      <c r="D24" s="2"/>
      <c r="E24" s="2"/>
      <c r="F24" s="2"/>
      <c r="G24" s="2"/>
      <c r="H24" s="2"/>
      <c r="I24" s="2"/>
      <c r="J24" s="2"/>
      <c r="K24" s="2"/>
      <c r="L24" s="2"/>
      <c r="M24" s="2"/>
      <c r="P24" s="66"/>
      <c r="Q24" s="143" t="s">
        <v>285</v>
      </c>
      <c r="R24" s="90">
        <v>0.21</v>
      </c>
      <c r="S24" s="66"/>
      <c r="T24" s="66"/>
      <c r="U24" s="66"/>
      <c r="V24" s="66"/>
      <c r="W24" s="66"/>
      <c r="X24" s="66"/>
      <c r="Y24" s="66"/>
      <c r="Z24" s="66"/>
      <c r="AA24" s="66"/>
      <c r="AB24" s="66"/>
      <c r="AC24" s="140"/>
    </row>
    <row r="25" spans="1:29" ht="16.5" x14ac:dyDescent="0.3">
      <c r="A25" s="2"/>
      <c r="B25" s="7" t="s">
        <v>286</v>
      </c>
      <c r="C25" s="35">
        <v>0.17</v>
      </c>
      <c r="D25" s="2"/>
      <c r="E25" s="2"/>
      <c r="F25" s="2"/>
      <c r="G25" s="2"/>
      <c r="H25" s="2"/>
      <c r="I25" s="2"/>
      <c r="J25" s="2"/>
      <c r="K25" s="2"/>
      <c r="L25" s="2"/>
      <c r="M25" s="2"/>
      <c r="P25" s="66"/>
      <c r="Q25" s="143" t="s">
        <v>286</v>
      </c>
      <c r="R25" s="90">
        <v>0.17</v>
      </c>
      <c r="S25" s="66"/>
      <c r="T25" s="66"/>
      <c r="U25" s="66"/>
      <c r="V25" s="66"/>
      <c r="W25" s="66"/>
      <c r="X25" s="66"/>
      <c r="Y25" s="66"/>
      <c r="Z25" s="66"/>
      <c r="AA25" s="66"/>
      <c r="AB25" s="66"/>
      <c r="AC25" s="140"/>
    </row>
    <row r="26" spans="1:29" ht="16.5" x14ac:dyDescent="0.3">
      <c r="A26" s="2"/>
      <c r="B26" s="7" t="s">
        <v>299</v>
      </c>
      <c r="C26" s="35">
        <v>3.5000000000000003E-2</v>
      </c>
      <c r="D26" s="2"/>
      <c r="E26" s="2"/>
      <c r="F26" s="2"/>
      <c r="G26" s="2"/>
      <c r="H26" s="2"/>
      <c r="I26" s="2"/>
      <c r="J26" s="2"/>
      <c r="K26" s="2"/>
      <c r="L26" s="2"/>
      <c r="M26" s="2"/>
      <c r="P26" s="66"/>
      <c r="Q26" s="143" t="s">
        <v>299</v>
      </c>
      <c r="R26" s="90">
        <v>3.5000000000000003E-2</v>
      </c>
      <c r="S26" s="66"/>
      <c r="T26" s="66"/>
      <c r="U26" s="66"/>
      <c r="V26" s="66"/>
      <c r="W26" s="66"/>
      <c r="X26" s="66"/>
      <c r="Y26" s="66"/>
      <c r="Z26" s="66"/>
      <c r="AA26" s="66"/>
      <c r="AB26" s="66"/>
      <c r="AC26" s="140"/>
    </row>
    <row r="27" spans="1:29" ht="15" x14ac:dyDescent="0.25">
      <c r="A27" s="2"/>
      <c r="B27" s="2"/>
      <c r="C27" s="2"/>
      <c r="D27" s="2"/>
      <c r="E27" s="2"/>
      <c r="F27" s="2"/>
      <c r="G27" s="2"/>
      <c r="H27" s="2"/>
      <c r="I27" s="2"/>
      <c r="J27" s="2"/>
      <c r="K27" s="2"/>
      <c r="L27" s="2"/>
      <c r="M27" s="2"/>
      <c r="P27" s="66"/>
      <c r="Q27" s="66"/>
      <c r="R27" s="66"/>
      <c r="S27" s="66"/>
      <c r="T27" s="66"/>
      <c r="U27" s="66"/>
      <c r="V27" s="66"/>
      <c r="W27" s="66"/>
      <c r="X27" s="66"/>
      <c r="Y27" s="66"/>
      <c r="Z27" s="66"/>
      <c r="AA27" s="66"/>
      <c r="AB27" s="66"/>
      <c r="AC27" s="140"/>
    </row>
    <row r="28" spans="1:29" ht="15" x14ac:dyDescent="0.25">
      <c r="A28" s="87" t="s">
        <v>596</v>
      </c>
      <c r="B28" s="2"/>
      <c r="C28" s="2"/>
      <c r="D28" s="2"/>
      <c r="E28" s="2"/>
      <c r="F28" s="2"/>
      <c r="G28" s="2"/>
      <c r="H28" s="2"/>
      <c r="I28" s="2"/>
      <c r="J28" s="2"/>
      <c r="K28" s="2"/>
      <c r="L28" s="2"/>
      <c r="M28" s="2"/>
      <c r="P28" s="304"/>
      <c r="Q28" s="66"/>
      <c r="R28" s="66"/>
      <c r="S28" s="66"/>
      <c r="T28" s="66"/>
      <c r="U28" s="66"/>
      <c r="V28" s="66"/>
      <c r="W28" s="66"/>
      <c r="X28" s="66"/>
      <c r="Y28" s="66"/>
      <c r="Z28" s="66"/>
      <c r="AA28" s="66"/>
      <c r="AB28" s="66"/>
      <c r="AC28" s="140"/>
    </row>
    <row r="29" spans="1:29" ht="15" x14ac:dyDescent="0.25">
      <c r="A29" s="87"/>
      <c r="B29" s="2"/>
      <c r="C29" s="2"/>
      <c r="D29" s="2"/>
      <c r="E29" s="2"/>
      <c r="F29" s="2"/>
      <c r="G29" s="2"/>
      <c r="H29" s="2"/>
      <c r="I29" s="2"/>
      <c r="J29" s="2"/>
      <c r="K29" s="2"/>
      <c r="L29" s="2"/>
      <c r="M29" s="2"/>
      <c r="P29" s="172"/>
      <c r="Q29" s="66"/>
      <c r="R29" s="66"/>
      <c r="S29" s="66"/>
      <c r="T29" s="66"/>
      <c r="U29" s="66"/>
      <c r="V29" s="66"/>
      <c r="W29" s="66"/>
      <c r="X29" s="66"/>
      <c r="Y29" s="66"/>
      <c r="Z29" s="66"/>
      <c r="AA29" s="66"/>
      <c r="AB29" s="66"/>
      <c r="AC29" s="140"/>
    </row>
    <row r="30" spans="1:29" ht="15" x14ac:dyDescent="0.25">
      <c r="A30" s="2"/>
      <c r="B30" s="2" t="s">
        <v>111</v>
      </c>
      <c r="C30" s="2">
        <v>0.8</v>
      </c>
      <c r="D30" s="2"/>
      <c r="E30" s="2"/>
      <c r="F30" s="2"/>
      <c r="G30" s="2"/>
      <c r="H30" s="2"/>
      <c r="I30" s="2"/>
      <c r="J30" s="2"/>
      <c r="K30" s="2"/>
      <c r="L30" s="2"/>
      <c r="M30" s="2"/>
      <c r="P30" s="149" t="s">
        <v>111</v>
      </c>
      <c r="Q30" s="179" t="s">
        <v>440</v>
      </c>
      <c r="R30" s="84">
        <v>0.8</v>
      </c>
      <c r="S30" s="66"/>
      <c r="T30" s="66" t="s">
        <v>530</v>
      </c>
      <c r="U30" s="66"/>
      <c r="V30" s="66"/>
      <c r="W30" s="66"/>
      <c r="X30" s="66"/>
      <c r="Y30" s="66"/>
      <c r="Z30" s="66"/>
      <c r="AA30" s="66"/>
      <c r="AB30" s="66"/>
      <c r="AC30" s="140"/>
    </row>
    <row r="31" spans="1:29" ht="16.5" x14ac:dyDescent="0.3">
      <c r="A31" s="2"/>
      <c r="B31" s="2"/>
      <c r="C31" s="2"/>
      <c r="D31" s="2"/>
      <c r="E31" s="2"/>
      <c r="F31" s="2"/>
      <c r="G31" s="2"/>
      <c r="H31" s="2"/>
      <c r="I31" s="2"/>
      <c r="J31" s="2"/>
      <c r="K31" s="2"/>
      <c r="L31" s="2"/>
      <c r="M31" s="2"/>
      <c r="P31" s="149" t="s">
        <v>349</v>
      </c>
      <c r="Q31" s="179" t="s">
        <v>440</v>
      </c>
      <c r="R31" s="143">
        <f>R30*R23*100</f>
        <v>29.599999999999998</v>
      </c>
      <c r="S31" s="66" t="s">
        <v>29</v>
      </c>
      <c r="T31" s="66" t="s">
        <v>528</v>
      </c>
      <c r="U31" s="66"/>
      <c r="V31" s="66"/>
      <c r="W31" s="66"/>
      <c r="X31" s="66"/>
      <c r="Y31" s="66"/>
      <c r="Z31" s="66"/>
      <c r="AA31" s="66"/>
      <c r="AB31" s="66"/>
      <c r="AC31" s="140"/>
    </row>
    <row r="32" spans="1:29" ht="15" x14ac:dyDescent="0.25">
      <c r="A32" s="2" t="s">
        <v>264</v>
      </c>
      <c r="B32" s="2"/>
      <c r="C32" s="2"/>
      <c r="D32" s="2"/>
      <c r="E32" s="2"/>
      <c r="F32" s="2"/>
      <c r="G32" s="2"/>
      <c r="H32" s="2"/>
      <c r="I32" s="2"/>
      <c r="J32" s="2"/>
      <c r="K32" s="2"/>
      <c r="L32" s="2"/>
      <c r="M32" s="2"/>
      <c r="P32" s="140"/>
      <c r="Q32" s="140"/>
      <c r="R32" s="140"/>
      <c r="S32" s="140"/>
      <c r="T32" s="140"/>
      <c r="U32" s="140"/>
      <c r="V32" s="140"/>
      <c r="W32" s="66"/>
      <c r="X32" s="66"/>
      <c r="Y32" s="66"/>
      <c r="Z32" s="66"/>
      <c r="AA32" s="66"/>
      <c r="AB32" s="66"/>
      <c r="AC32" s="140"/>
    </row>
    <row r="33" spans="1:29" ht="15" x14ac:dyDescent="0.25">
      <c r="A33" s="2"/>
      <c r="B33" s="2"/>
      <c r="C33" s="2"/>
      <c r="D33" s="2"/>
      <c r="E33" s="2"/>
      <c r="F33" s="2"/>
      <c r="G33" s="2"/>
      <c r="H33" s="2"/>
      <c r="I33" s="2"/>
      <c r="J33" s="2"/>
      <c r="K33" s="2"/>
      <c r="L33" s="2"/>
      <c r="M33" s="2"/>
      <c r="P33" s="66"/>
      <c r="Q33" s="66" t="s">
        <v>5</v>
      </c>
      <c r="R33" s="143" t="s">
        <v>111</v>
      </c>
      <c r="S33" s="66"/>
      <c r="T33" s="66"/>
      <c r="U33" s="66"/>
      <c r="V33" s="66"/>
      <c r="W33" s="66"/>
      <c r="X33" s="66"/>
      <c r="Y33" s="66"/>
      <c r="Z33" s="66"/>
      <c r="AA33" s="66"/>
      <c r="AB33" s="66"/>
      <c r="AC33" s="140"/>
    </row>
    <row r="34" spans="1:29" ht="16.5" x14ac:dyDescent="0.3">
      <c r="A34" s="2"/>
      <c r="B34" s="2" t="s">
        <v>349</v>
      </c>
      <c r="C34" s="2">
        <f>C30*C23*100</f>
        <v>29.599999999999998</v>
      </c>
      <c r="D34" s="2" t="s">
        <v>29</v>
      </c>
      <c r="E34" s="2"/>
      <c r="F34" s="2"/>
      <c r="G34" s="2"/>
      <c r="H34" s="2"/>
      <c r="I34" s="2"/>
      <c r="J34" s="2"/>
      <c r="K34" s="2"/>
      <c r="L34" s="2"/>
      <c r="M34" s="2"/>
      <c r="P34" s="66"/>
      <c r="Q34" s="143" t="s">
        <v>348</v>
      </c>
      <c r="R34" s="199">
        <f t="shared" ref="R34:R39" si="0">$R$31/(R21*100)</f>
        <v>9.1076923076923069E-2</v>
      </c>
      <c r="S34" s="66"/>
      <c r="T34" s="66" t="s">
        <v>529</v>
      </c>
      <c r="U34" s="66"/>
      <c r="V34" s="66"/>
      <c r="W34" s="66"/>
      <c r="X34" s="66"/>
      <c r="Y34" s="66"/>
      <c r="Z34" s="66"/>
      <c r="AA34" s="66"/>
      <c r="AB34" s="66"/>
      <c r="AC34" s="140"/>
    </row>
    <row r="35" spans="1:29" ht="16.5" x14ac:dyDescent="0.3">
      <c r="A35" s="2"/>
      <c r="B35" s="2"/>
      <c r="C35" s="2"/>
      <c r="D35" s="2"/>
      <c r="E35" s="2"/>
      <c r="F35" s="2"/>
      <c r="G35" s="2"/>
      <c r="H35" s="2"/>
      <c r="I35" s="2"/>
      <c r="J35" s="2"/>
      <c r="K35" s="2"/>
      <c r="L35" s="2"/>
      <c r="M35" s="2"/>
      <c r="P35" s="140"/>
      <c r="Q35" s="143" t="s">
        <v>283</v>
      </c>
      <c r="R35" s="199">
        <f t="shared" si="0"/>
        <v>0.32888888888888884</v>
      </c>
      <c r="S35" s="66"/>
      <c r="T35" s="66"/>
      <c r="U35" s="66"/>
      <c r="V35" s="66"/>
      <c r="W35" s="66"/>
      <c r="X35" s="66"/>
      <c r="Y35" s="66"/>
      <c r="Z35" s="66"/>
      <c r="AA35" s="66"/>
      <c r="AB35" s="66"/>
      <c r="AC35" s="140"/>
    </row>
    <row r="36" spans="1:29" ht="16.5" x14ac:dyDescent="0.3">
      <c r="A36" s="2" t="s">
        <v>265</v>
      </c>
      <c r="B36" s="2"/>
      <c r="C36" s="35"/>
      <c r="D36" s="2"/>
      <c r="E36" s="2"/>
      <c r="F36" s="2"/>
      <c r="G36" s="2"/>
      <c r="H36" s="2"/>
      <c r="I36" s="2"/>
      <c r="J36" s="2"/>
      <c r="K36" s="2"/>
      <c r="L36" s="2"/>
      <c r="M36" s="2"/>
      <c r="P36" s="66"/>
      <c r="Q36" s="143" t="s">
        <v>284</v>
      </c>
      <c r="R36" s="199">
        <f t="shared" si="0"/>
        <v>0.79999999999999993</v>
      </c>
      <c r="S36" s="66"/>
      <c r="T36" s="66"/>
      <c r="U36" s="66"/>
      <c r="V36" s="66"/>
      <c r="W36" s="66"/>
      <c r="X36" s="66"/>
      <c r="Y36" s="66"/>
      <c r="Z36" s="66"/>
      <c r="AA36" s="66"/>
      <c r="AB36" s="66"/>
      <c r="AC36" s="140"/>
    </row>
    <row r="37" spans="1:29" ht="16.5" x14ac:dyDescent="0.3">
      <c r="A37" s="2"/>
      <c r="B37" s="2"/>
      <c r="C37" s="2"/>
      <c r="D37" s="2"/>
      <c r="E37" s="2"/>
      <c r="F37" s="2"/>
      <c r="G37" s="2"/>
      <c r="H37" s="2"/>
      <c r="I37" s="2"/>
      <c r="J37" s="2"/>
      <c r="K37" s="2"/>
      <c r="L37" s="2"/>
      <c r="M37" s="2"/>
      <c r="P37" s="66"/>
      <c r="Q37" s="143" t="s">
        <v>285</v>
      </c>
      <c r="R37" s="199">
        <f t="shared" si="0"/>
        <v>1.4095238095238094</v>
      </c>
      <c r="S37" s="66"/>
      <c r="T37" s="66"/>
      <c r="U37" s="66"/>
      <c r="V37" s="66"/>
      <c r="W37" s="66"/>
      <c r="X37" s="66"/>
      <c r="Y37" s="66"/>
      <c r="Z37" s="66"/>
      <c r="AA37" s="66"/>
      <c r="AB37" s="66"/>
      <c r="AC37" s="140"/>
    </row>
    <row r="38" spans="1:29" ht="16.5" x14ac:dyDescent="0.3">
      <c r="A38" s="2"/>
      <c r="B38" s="2" t="s">
        <v>5</v>
      </c>
      <c r="C38" s="7" t="s">
        <v>111</v>
      </c>
      <c r="D38" s="2"/>
      <c r="E38" s="2"/>
      <c r="F38" s="2"/>
      <c r="G38" s="2"/>
      <c r="H38" s="2"/>
      <c r="I38" s="2"/>
      <c r="J38" s="2"/>
      <c r="K38" s="2"/>
      <c r="L38" s="2"/>
      <c r="M38" s="2"/>
      <c r="P38" s="66"/>
      <c r="Q38" s="143" t="s">
        <v>286</v>
      </c>
      <c r="R38" s="199">
        <f t="shared" si="0"/>
        <v>1.7411764705882351</v>
      </c>
      <c r="S38" s="66"/>
      <c r="T38" s="66"/>
      <c r="U38" s="66"/>
      <c r="V38" s="66"/>
      <c r="W38" s="66"/>
      <c r="X38" s="66"/>
      <c r="Y38" s="66"/>
      <c r="Z38" s="66"/>
      <c r="AA38" s="66"/>
      <c r="AB38" s="66"/>
      <c r="AC38" s="140"/>
    </row>
    <row r="39" spans="1:29" ht="16.5" x14ac:dyDescent="0.3">
      <c r="A39" s="2"/>
      <c r="B39" s="7" t="s">
        <v>348</v>
      </c>
      <c r="C39" s="35">
        <f t="shared" ref="C39:C44" si="1">$C$34/(C21*100)</f>
        <v>9.1076923076923069E-2</v>
      </c>
      <c r="D39" s="2"/>
      <c r="E39" s="2"/>
      <c r="F39" s="2"/>
      <c r="G39" s="2"/>
      <c r="H39" s="2"/>
      <c r="I39" s="2"/>
      <c r="J39" s="2"/>
      <c r="K39" s="2"/>
      <c r="L39" s="2"/>
      <c r="M39" s="2"/>
      <c r="P39" s="66"/>
      <c r="Q39" s="143" t="s">
        <v>299</v>
      </c>
      <c r="R39" s="199">
        <f t="shared" si="0"/>
        <v>8.4571428571428555</v>
      </c>
      <c r="S39" s="66"/>
      <c r="T39" s="66"/>
      <c r="U39" s="66"/>
      <c r="V39" s="66"/>
      <c r="W39" s="66"/>
      <c r="X39" s="66"/>
      <c r="Y39" s="66"/>
      <c r="Z39" s="66"/>
      <c r="AA39" s="66"/>
      <c r="AB39" s="66"/>
      <c r="AC39" s="140"/>
    </row>
    <row r="40" spans="1:29" ht="16.5" x14ac:dyDescent="0.3">
      <c r="A40" s="2"/>
      <c r="B40" s="7" t="s">
        <v>283</v>
      </c>
      <c r="C40" s="35">
        <f t="shared" si="1"/>
        <v>0.32888888888888884</v>
      </c>
      <c r="D40" s="2"/>
      <c r="E40" s="2"/>
      <c r="F40" s="2"/>
      <c r="G40" s="2"/>
      <c r="H40" s="2"/>
      <c r="I40" s="2"/>
      <c r="J40" s="2"/>
      <c r="K40" s="2"/>
      <c r="L40" s="2"/>
      <c r="M40" s="2"/>
      <c r="P40" s="140"/>
      <c r="Q40" s="140"/>
      <c r="R40" s="140"/>
      <c r="S40" s="140"/>
      <c r="T40" s="140"/>
      <c r="U40" s="140"/>
      <c r="V40" s="66"/>
      <c r="W40" s="66"/>
      <c r="X40" s="66"/>
      <c r="Y40" s="66"/>
      <c r="Z40" s="66"/>
      <c r="AA40" s="66"/>
      <c r="AB40" s="66"/>
      <c r="AC40" s="140"/>
    </row>
    <row r="41" spans="1:29" ht="16.5" x14ac:dyDescent="0.3">
      <c r="A41" s="2"/>
      <c r="B41" s="7" t="s">
        <v>284</v>
      </c>
      <c r="C41" s="35">
        <f t="shared" si="1"/>
        <v>0.79999999999999993</v>
      </c>
      <c r="D41" s="2"/>
      <c r="E41" s="2"/>
      <c r="F41" s="2"/>
      <c r="G41" s="2"/>
      <c r="H41" s="2"/>
      <c r="I41" s="2"/>
      <c r="J41" s="2"/>
      <c r="K41" s="2"/>
      <c r="L41" s="2"/>
      <c r="M41" s="2"/>
      <c r="P41" s="66"/>
      <c r="Q41" s="66" t="s">
        <v>5</v>
      </c>
      <c r="R41" s="143" t="s">
        <v>266</v>
      </c>
      <c r="S41" s="66"/>
      <c r="T41" s="66"/>
      <c r="U41" s="66"/>
      <c r="V41" s="66"/>
      <c r="W41" s="66"/>
      <c r="X41" s="66"/>
      <c r="Y41" s="66"/>
      <c r="Z41" s="66"/>
      <c r="AA41" s="66"/>
      <c r="AB41" s="66"/>
      <c r="AC41" s="140"/>
    </row>
    <row r="42" spans="1:29" ht="16.5" x14ac:dyDescent="0.3">
      <c r="A42" s="2"/>
      <c r="B42" s="7" t="s">
        <v>285</v>
      </c>
      <c r="C42" s="35">
        <f t="shared" si="1"/>
        <v>2.96</v>
      </c>
      <c r="D42" s="2"/>
      <c r="E42" s="2"/>
      <c r="F42" s="2"/>
      <c r="G42" s="2"/>
      <c r="H42" s="2"/>
      <c r="I42" s="2"/>
      <c r="J42" s="2"/>
      <c r="K42" s="2"/>
      <c r="L42" s="2"/>
      <c r="M42" s="2"/>
      <c r="P42" s="66"/>
      <c r="Q42" s="143" t="s">
        <v>348</v>
      </c>
      <c r="R42" s="84">
        <v>9.0999999999999998E-2</v>
      </c>
      <c r="S42" s="66"/>
      <c r="T42" s="66" t="s">
        <v>530</v>
      </c>
      <c r="U42" s="66"/>
      <c r="V42" s="66"/>
      <c r="W42" s="66"/>
      <c r="X42" s="66"/>
      <c r="Y42" s="66"/>
      <c r="Z42" s="66"/>
      <c r="AA42" s="66"/>
      <c r="AB42" s="66"/>
      <c r="AC42" s="140"/>
    </row>
    <row r="43" spans="1:29" ht="16.5" x14ac:dyDescent="0.3">
      <c r="A43" s="2"/>
      <c r="B43" s="7" t="s">
        <v>286</v>
      </c>
      <c r="C43" s="35">
        <f t="shared" si="1"/>
        <v>1.7411764705882351</v>
      </c>
      <c r="D43" s="2"/>
      <c r="E43" s="2"/>
      <c r="F43" s="2"/>
      <c r="G43" s="2"/>
      <c r="H43" s="2"/>
      <c r="I43" s="2"/>
      <c r="J43" s="2"/>
      <c r="K43" s="2"/>
      <c r="L43" s="2"/>
      <c r="M43" s="2"/>
      <c r="P43" s="66"/>
      <c r="Q43" s="143" t="s">
        <v>283</v>
      </c>
      <c r="R43" s="84">
        <v>0.32900000000000001</v>
      </c>
      <c r="S43" s="66"/>
      <c r="T43" s="66"/>
      <c r="U43" s="66"/>
      <c r="V43" s="66"/>
      <c r="W43" s="66"/>
      <c r="X43" s="66"/>
      <c r="Y43" s="66"/>
      <c r="Z43" s="66"/>
      <c r="AA43" s="66"/>
      <c r="AB43" s="66"/>
      <c r="AC43" s="140"/>
    </row>
    <row r="44" spans="1:29" ht="16.5" x14ac:dyDescent="0.3">
      <c r="A44" s="2"/>
      <c r="B44" s="7" t="s">
        <v>299</v>
      </c>
      <c r="C44" s="35">
        <f t="shared" si="1"/>
        <v>8.4571428571428555</v>
      </c>
      <c r="D44" s="2"/>
      <c r="E44" s="2"/>
      <c r="F44" s="2"/>
      <c r="G44" s="2"/>
      <c r="H44" s="2"/>
      <c r="I44" s="2"/>
      <c r="J44" s="2"/>
      <c r="K44" s="2"/>
      <c r="L44" s="2"/>
      <c r="M44" s="2"/>
      <c r="P44" s="66"/>
      <c r="Q44" s="143" t="s">
        <v>284</v>
      </c>
      <c r="R44" s="84">
        <v>0.75</v>
      </c>
      <c r="S44" s="66"/>
      <c r="T44" s="66"/>
      <c r="U44" s="66"/>
      <c r="V44" s="66"/>
      <c r="W44" s="66"/>
      <c r="X44" s="66"/>
      <c r="Y44" s="66"/>
      <c r="Z44" s="66"/>
      <c r="AA44" s="66"/>
      <c r="AB44" s="66"/>
      <c r="AC44" s="140"/>
    </row>
    <row r="45" spans="1:29" ht="16.5" x14ac:dyDescent="0.3">
      <c r="A45" s="2"/>
      <c r="B45" s="2"/>
      <c r="C45" s="2"/>
      <c r="D45" s="2"/>
      <c r="E45" s="2"/>
      <c r="F45" s="2"/>
      <c r="G45" s="2"/>
      <c r="H45" s="2"/>
      <c r="I45" s="2"/>
      <c r="J45" s="2"/>
      <c r="K45" s="2"/>
      <c r="L45" s="2"/>
      <c r="M45" s="2"/>
      <c r="P45" s="66"/>
      <c r="Q45" s="143" t="s">
        <v>285</v>
      </c>
      <c r="R45" s="84">
        <v>0.96</v>
      </c>
      <c r="S45" s="66"/>
      <c r="T45" s="66"/>
      <c r="U45" s="66"/>
      <c r="V45" s="66"/>
      <c r="W45" s="66"/>
      <c r="X45" s="66"/>
      <c r="Y45" s="66"/>
      <c r="Z45" s="66"/>
      <c r="AA45" s="66"/>
      <c r="AB45" s="66"/>
      <c r="AC45" s="140"/>
    </row>
    <row r="46" spans="1:29" ht="16.5" x14ac:dyDescent="0.3">
      <c r="A46" s="2" t="s">
        <v>597</v>
      </c>
      <c r="B46" s="2"/>
      <c r="C46" s="2"/>
      <c r="D46" s="2"/>
      <c r="E46" s="2"/>
      <c r="F46" s="2"/>
      <c r="G46" s="2"/>
      <c r="H46" s="2"/>
      <c r="I46" s="2"/>
      <c r="J46" s="2"/>
      <c r="K46" s="2"/>
      <c r="L46" s="2"/>
      <c r="M46" s="2"/>
      <c r="P46" s="66"/>
      <c r="Q46" s="143" t="s">
        <v>286</v>
      </c>
      <c r="R46" s="84">
        <v>0.98499999999999999</v>
      </c>
      <c r="S46" s="66"/>
      <c r="T46" s="66"/>
      <c r="U46" s="66"/>
      <c r="V46" s="66"/>
      <c r="W46" s="66"/>
      <c r="X46" s="66"/>
      <c r="Y46" s="66"/>
      <c r="Z46" s="66"/>
      <c r="AA46" s="66"/>
      <c r="AB46" s="66"/>
      <c r="AC46" s="140"/>
    </row>
    <row r="47" spans="1:29" ht="16.5" x14ac:dyDescent="0.3">
      <c r="A47" s="2"/>
      <c r="B47" s="2"/>
      <c r="C47" s="2"/>
      <c r="D47" s="2"/>
      <c r="E47" s="2"/>
      <c r="F47" s="2"/>
      <c r="G47" s="2"/>
      <c r="H47" s="2"/>
      <c r="I47" s="2"/>
      <c r="J47" s="2"/>
      <c r="K47" s="2"/>
      <c r="L47" s="2"/>
      <c r="M47" s="2"/>
      <c r="P47" s="66"/>
      <c r="Q47" s="143" t="s">
        <v>299</v>
      </c>
      <c r="R47" s="84">
        <v>1</v>
      </c>
      <c r="S47" s="66"/>
      <c r="T47" s="66"/>
      <c r="U47" s="66"/>
      <c r="V47" s="66"/>
      <c r="W47" s="66"/>
      <c r="X47" s="66"/>
      <c r="Y47" s="66"/>
      <c r="Z47" s="66"/>
      <c r="AA47" s="66"/>
      <c r="AB47" s="66"/>
      <c r="AC47" s="140"/>
    </row>
    <row r="48" spans="1:29" ht="15" x14ac:dyDescent="0.25">
      <c r="A48" s="2"/>
      <c r="B48" s="2" t="s">
        <v>5</v>
      </c>
      <c r="C48" s="7" t="s">
        <v>266</v>
      </c>
      <c r="D48" s="2"/>
      <c r="E48" s="2"/>
      <c r="F48" s="2"/>
      <c r="G48" s="2"/>
      <c r="H48" s="2"/>
      <c r="I48" s="2"/>
      <c r="J48" s="2"/>
      <c r="K48" s="2"/>
      <c r="L48" s="2"/>
      <c r="M48" s="2"/>
      <c r="P48" s="140"/>
      <c r="Q48" s="140"/>
      <c r="R48" s="140"/>
      <c r="S48" s="140"/>
      <c r="T48" s="140"/>
      <c r="U48" s="140"/>
      <c r="V48" s="66"/>
      <c r="W48" s="66"/>
      <c r="X48" s="66"/>
      <c r="Y48" s="66"/>
      <c r="Z48" s="66"/>
      <c r="AA48" s="66"/>
      <c r="AB48" s="66"/>
      <c r="AC48" s="140"/>
    </row>
    <row r="49" spans="1:29" ht="16.5" x14ac:dyDescent="0.3">
      <c r="A49" s="2"/>
      <c r="B49" s="7" t="s">
        <v>348</v>
      </c>
      <c r="C49" s="2">
        <v>9.0999999999999998E-2</v>
      </c>
      <c r="D49" s="2"/>
      <c r="E49" s="2"/>
      <c r="F49" s="2"/>
      <c r="G49" s="2"/>
      <c r="H49" s="2"/>
      <c r="I49" s="2"/>
      <c r="J49" s="2"/>
      <c r="K49" s="2"/>
      <c r="L49" s="2"/>
      <c r="M49" s="2"/>
      <c r="P49" s="140"/>
      <c r="Q49" s="66" t="s">
        <v>5</v>
      </c>
      <c r="R49" s="143" t="s">
        <v>350</v>
      </c>
      <c r="S49" s="66"/>
      <c r="T49" s="66"/>
      <c r="U49" s="66"/>
      <c r="V49" s="66"/>
      <c r="W49" s="66"/>
      <c r="X49" s="66"/>
      <c r="Y49" s="66"/>
      <c r="Z49" s="66"/>
      <c r="AA49" s="66"/>
      <c r="AB49" s="66"/>
      <c r="AC49" s="140"/>
    </row>
    <row r="50" spans="1:29" ht="16.5" x14ac:dyDescent="0.3">
      <c r="A50" s="2"/>
      <c r="B50" s="7" t="s">
        <v>283</v>
      </c>
      <c r="C50" s="2">
        <v>0.32900000000000001</v>
      </c>
      <c r="D50" s="2"/>
      <c r="E50" s="2"/>
      <c r="F50" s="2"/>
      <c r="G50" s="2"/>
      <c r="H50" s="2"/>
      <c r="I50" s="2"/>
      <c r="J50" s="2"/>
      <c r="K50" s="2"/>
      <c r="L50" s="2"/>
      <c r="M50" s="2"/>
      <c r="P50" s="140"/>
      <c r="Q50" s="143" t="s">
        <v>348</v>
      </c>
      <c r="R50" s="181">
        <f t="shared" ref="R50:R55" si="2">R11*(1-R42)</f>
        <v>82.355400000000003</v>
      </c>
      <c r="S50" s="66"/>
      <c r="T50" s="66" t="s">
        <v>531</v>
      </c>
      <c r="U50" s="66"/>
      <c r="V50" s="66"/>
      <c r="W50" s="66"/>
      <c r="X50" s="66"/>
      <c r="Y50" s="66"/>
      <c r="Z50" s="66"/>
      <c r="AA50" s="66"/>
      <c r="AB50" s="66"/>
      <c r="AC50" s="140"/>
    </row>
    <row r="51" spans="1:29" ht="16.5" x14ac:dyDescent="0.3">
      <c r="A51" s="2"/>
      <c r="B51" s="7" t="s">
        <v>284</v>
      </c>
      <c r="C51" s="2">
        <v>0.75</v>
      </c>
      <c r="D51" s="2"/>
      <c r="E51" s="2"/>
      <c r="F51" s="2"/>
      <c r="G51" s="2"/>
      <c r="H51" s="2"/>
      <c r="I51" s="2"/>
      <c r="J51" s="2"/>
      <c r="K51" s="2"/>
      <c r="L51" s="2"/>
      <c r="M51" s="2"/>
      <c r="P51" s="140"/>
      <c r="Q51" s="143" t="s">
        <v>283</v>
      </c>
      <c r="R51" s="181">
        <f t="shared" si="2"/>
        <v>2.8853</v>
      </c>
      <c r="S51" s="66"/>
      <c r="T51" s="66"/>
      <c r="U51" s="66"/>
      <c r="V51" s="66"/>
      <c r="W51" s="66"/>
      <c r="X51" s="66"/>
      <c r="Y51" s="66"/>
      <c r="Z51" s="66"/>
      <c r="AA51" s="66"/>
      <c r="AB51" s="66"/>
      <c r="AC51" s="140"/>
    </row>
    <row r="52" spans="1:29" ht="16.5" x14ac:dyDescent="0.3">
      <c r="A52" s="2"/>
      <c r="B52" s="7" t="s">
        <v>285</v>
      </c>
      <c r="C52" s="2">
        <v>0.96</v>
      </c>
      <c r="D52" s="2"/>
      <c r="E52" s="2"/>
      <c r="F52" s="2"/>
      <c r="G52" s="2"/>
      <c r="H52" s="2"/>
      <c r="I52" s="2"/>
      <c r="J52" s="2"/>
      <c r="K52" s="2"/>
      <c r="L52" s="2"/>
      <c r="M52" s="2"/>
      <c r="P52" s="140"/>
      <c r="Q52" s="143" t="s">
        <v>284</v>
      </c>
      <c r="R52" s="181">
        <f t="shared" si="2"/>
        <v>0.8</v>
      </c>
      <c r="S52" s="66"/>
      <c r="T52" s="66"/>
      <c r="U52" s="66"/>
      <c r="V52" s="66"/>
      <c r="W52" s="66"/>
      <c r="X52" s="66"/>
      <c r="Y52" s="66"/>
      <c r="Z52" s="66"/>
      <c r="AA52" s="66"/>
      <c r="AB52" s="66"/>
      <c r="AC52" s="140"/>
    </row>
    <row r="53" spans="1:29" ht="16.5" x14ac:dyDescent="0.3">
      <c r="A53" s="2"/>
      <c r="B53" s="7" t="s">
        <v>286</v>
      </c>
      <c r="C53" s="2">
        <v>0.98</v>
      </c>
      <c r="D53" s="2"/>
      <c r="E53" s="2"/>
      <c r="F53" s="2"/>
      <c r="G53" s="2"/>
      <c r="H53" s="2"/>
      <c r="I53" s="2"/>
      <c r="J53" s="2"/>
      <c r="K53" s="2"/>
      <c r="L53" s="2"/>
      <c r="M53" s="2"/>
      <c r="P53" s="140"/>
      <c r="Q53" s="143" t="s">
        <v>285</v>
      </c>
      <c r="R53" s="181">
        <f t="shared" si="2"/>
        <v>2.0000000000000018E-2</v>
      </c>
      <c r="S53" s="66"/>
      <c r="T53" s="66"/>
      <c r="U53" s="66"/>
      <c r="V53" s="66"/>
      <c r="W53" s="66"/>
      <c r="X53" s="66"/>
      <c r="Y53" s="66"/>
      <c r="Z53" s="66"/>
      <c r="AA53" s="66"/>
      <c r="AB53" s="66"/>
      <c r="AC53" s="140"/>
    </row>
    <row r="54" spans="1:29" ht="16.5" x14ac:dyDescent="0.3">
      <c r="A54" s="2"/>
      <c r="B54" s="7" t="s">
        <v>299</v>
      </c>
      <c r="C54" s="2">
        <v>1</v>
      </c>
      <c r="D54" s="2"/>
      <c r="E54" s="2"/>
      <c r="F54" s="2"/>
      <c r="G54" s="2"/>
      <c r="H54" s="2"/>
      <c r="I54" s="2"/>
      <c r="J54" s="2"/>
      <c r="K54" s="2"/>
      <c r="L54" s="2"/>
      <c r="M54" s="2"/>
      <c r="P54" s="140"/>
      <c r="Q54" s="143" t="s">
        <v>286</v>
      </c>
      <c r="R54" s="181">
        <f t="shared" si="2"/>
        <v>1.5000000000000013E-2</v>
      </c>
      <c r="S54" s="66"/>
      <c r="T54" s="66"/>
      <c r="U54" s="66"/>
      <c r="V54" s="66"/>
      <c r="W54" s="66"/>
      <c r="X54" s="66"/>
      <c r="Y54" s="66"/>
      <c r="Z54" s="66"/>
      <c r="AA54" s="66"/>
      <c r="AB54" s="66"/>
      <c r="AC54" s="140"/>
    </row>
    <row r="55" spans="1:29" ht="16.5" x14ac:dyDescent="0.3">
      <c r="A55" s="2"/>
      <c r="B55" s="2"/>
      <c r="C55" s="2"/>
      <c r="D55" s="2"/>
      <c r="E55" s="2"/>
      <c r="F55" s="2"/>
      <c r="G55" s="2"/>
      <c r="H55" s="2"/>
      <c r="I55" s="2"/>
      <c r="J55" s="2"/>
      <c r="K55" s="2"/>
      <c r="L55" s="2"/>
      <c r="M55" s="2"/>
      <c r="P55" s="66"/>
      <c r="Q55" s="143" t="s">
        <v>299</v>
      </c>
      <c r="R55" s="181">
        <f t="shared" si="2"/>
        <v>0</v>
      </c>
      <c r="S55" s="66"/>
      <c r="T55" s="66"/>
      <c r="U55" s="66"/>
      <c r="V55" s="66"/>
      <c r="W55" s="66"/>
      <c r="X55" s="66"/>
      <c r="Y55" s="66"/>
      <c r="Z55" s="66"/>
      <c r="AA55" s="66"/>
      <c r="AB55" s="66"/>
      <c r="AC55" s="140"/>
    </row>
    <row r="56" spans="1:29" ht="15" x14ac:dyDescent="0.25">
      <c r="A56" s="2" t="s">
        <v>267</v>
      </c>
      <c r="B56" s="2"/>
      <c r="C56" s="2"/>
      <c r="D56" s="2"/>
      <c r="E56" s="2"/>
      <c r="F56" s="2"/>
      <c r="G56" s="2"/>
      <c r="H56" s="2"/>
      <c r="I56" s="2"/>
      <c r="J56" s="2"/>
      <c r="K56" s="2"/>
      <c r="L56" s="2"/>
      <c r="M56" s="2"/>
      <c r="P56" s="66"/>
      <c r="Q56" s="66"/>
      <c r="R56" s="66"/>
      <c r="S56" s="66"/>
      <c r="T56" s="66"/>
      <c r="U56" s="66"/>
      <c r="V56" s="66"/>
      <c r="W56" s="66"/>
      <c r="X56" s="66"/>
      <c r="Y56" s="66"/>
      <c r="Z56" s="66"/>
      <c r="AA56" s="66"/>
      <c r="AB56" s="66"/>
      <c r="AC56" s="140"/>
    </row>
    <row r="57" spans="1:29" ht="15" x14ac:dyDescent="0.25">
      <c r="A57" s="2"/>
      <c r="B57" s="2"/>
      <c r="C57" s="2"/>
      <c r="D57" s="2"/>
      <c r="E57" s="2"/>
      <c r="F57" s="2"/>
      <c r="G57" s="2"/>
      <c r="H57" s="2"/>
      <c r="I57" s="2"/>
      <c r="J57" s="2"/>
      <c r="K57" s="2"/>
      <c r="L57" s="2"/>
      <c r="M57" s="2"/>
      <c r="P57" s="66"/>
      <c r="Q57" s="66" t="s">
        <v>5</v>
      </c>
      <c r="R57" s="143" t="s">
        <v>572</v>
      </c>
      <c r="S57" s="66"/>
      <c r="T57" s="66"/>
      <c r="U57" s="66"/>
      <c r="V57" s="66"/>
      <c r="W57" s="66"/>
      <c r="X57" s="66"/>
      <c r="Y57" s="66"/>
      <c r="Z57" s="66"/>
      <c r="AA57" s="66"/>
      <c r="AB57" s="66"/>
      <c r="AC57" s="140"/>
    </row>
    <row r="58" spans="1:29" ht="16.5" x14ac:dyDescent="0.3">
      <c r="A58" s="2"/>
      <c r="B58" s="2" t="s">
        <v>5</v>
      </c>
      <c r="C58" s="7" t="s">
        <v>350</v>
      </c>
      <c r="D58" s="2"/>
      <c r="E58" s="2"/>
      <c r="F58" s="2"/>
      <c r="G58" s="2"/>
      <c r="H58" s="2"/>
      <c r="I58" s="2"/>
      <c r="J58" s="2"/>
      <c r="K58" s="2"/>
      <c r="L58" s="2"/>
      <c r="M58" s="2"/>
      <c r="P58" s="66"/>
      <c r="Q58" s="143" t="s">
        <v>348</v>
      </c>
      <c r="R58" s="181">
        <f t="shared" ref="R58:R63" si="3">R11-R50</f>
        <v>8.2445999999999913</v>
      </c>
      <c r="S58" s="66"/>
      <c r="T58" s="140"/>
      <c r="U58" s="140"/>
      <c r="V58" s="66"/>
      <c r="W58" s="66"/>
      <c r="X58" s="66"/>
      <c r="Y58" s="66"/>
      <c r="Z58" s="66"/>
      <c r="AA58" s="66"/>
      <c r="AB58" s="66"/>
      <c r="AC58" s="140"/>
    </row>
    <row r="59" spans="1:29" ht="16.5" x14ac:dyDescent="0.3">
      <c r="A59" s="2"/>
      <c r="B59" s="7" t="s">
        <v>348</v>
      </c>
      <c r="C59" s="36">
        <f t="shared" ref="C59:C64" si="4">C11*(1-C49)</f>
        <v>82.355400000000003</v>
      </c>
      <c r="D59" s="2"/>
      <c r="E59" s="2"/>
      <c r="F59" s="2"/>
      <c r="G59" s="2"/>
      <c r="H59" s="2"/>
      <c r="I59" s="2"/>
      <c r="J59" s="2"/>
      <c r="K59" s="2"/>
      <c r="L59" s="2"/>
      <c r="M59" s="2"/>
      <c r="P59" s="66"/>
      <c r="Q59" s="143" t="s">
        <v>283</v>
      </c>
      <c r="R59" s="181">
        <f t="shared" si="3"/>
        <v>1.4146999999999998</v>
      </c>
      <c r="S59" s="66"/>
      <c r="T59" s="140"/>
      <c r="U59" s="140"/>
      <c r="V59" s="66"/>
      <c r="W59" s="66"/>
      <c r="X59" s="66"/>
      <c r="Y59" s="66"/>
      <c r="Z59" s="66"/>
      <c r="AA59" s="66"/>
      <c r="AB59" s="66"/>
      <c r="AC59" s="140"/>
    </row>
    <row r="60" spans="1:29" ht="16.5" x14ac:dyDescent="0.3">
      <c r="A60" s="2"/>
      <c r="B60" s="7" t="s">
        <v>283</v>
      </c>
      <c r="C60" s="36">
        <f t="shared" si="4"/>
        <v>2.8853</v>
      </c>
      <c r="D60" s="2"/>
      <c r="E60" s="2"/>
      <c r="F60" s="2"/>
      <c r="G60" s="2"/>
      <c r="H60" s="2"/>
      <c r="I60" s="2"/>
      <c r="J60" s="2"/>
      <c r="K60" s="2"/>
      <c r="L60" s="2"/>
      <c r="M60" s="2"/>
      <c r="P60" s="66"/>
      <c r="Q60" s="143" t="s">
        <v>284</v>
      </c>
      <c r="R60" s="181">
        <f t="shared" si="3"/>
        <v>2.4000000000000004</v>
      </c>
      <c r="S60" s="66"/>
      <c r="T60" s="140"/>
      <c r="U60" s="140"/>
      <c r="V60" s="66"/>
      <c r="W60" s="66"/>
      <c r="X60" s="66"/>
      <c r="Y60" s="66"/>
      <c r="Z60" s="66"/>
      <c r="AA60" s="66"/>
      <c r="AB60" s="66"/>
      <c r="AC60" s="140"/>
    </row>
    <row r="61" spans="1:29" ht="16.5" x14ac:dyDescent="0.3">
      <c r="A61" s="2"/>
      <c r="B61" s="7" t="s">
        <v>284</v>
      </c>
      <c r="C61" s="36">
        <f t="shared" si="4"/>
        <v>0.8</v>
      </c>
      <c r="D61" s="2"/>
      <c r="E61" s="2"/>
      <c r="F61" s="2"/>
      <c r="G61" s="2"/>
      <c r="H61" s="2"/>
      <c r="I61" s="2"/>
      <c r="J61" s="2"/>
      <c r="K61" s="2"/>
      <c r="L61" s="2"/>
      <c r="M61" s="2"/>
      <c r="P61" s="66"/>
      <c r="Q61" s="143" t="s">
        <v>285</v>
      </c>
      <c r="R61" s="181">
        <f t="shared" si="3"/>
        <v>0.48</v>
      </c>
      <c r="S61" s="66"/>
      <c r="T61" s="140"/>
      <c r="U61" s="140"/>
      <c r="V61" s="66"/>
      <c r="W61" s="66"/>
      <c r="X61" s="66"/>
      <c r="Y61" s="66"/>
      <c r="Z61" s="66"/>
      <c r="AA61" s="66"/>
      <c r="AB61" s="66"/>
      <c r="AC61" s="140"/>
    </row>
    <row r="62" spans="1:29" ht="16.5" x14ac:dyDescent="0.3">
      <c r="A62" s="2"/>
      <c r="B62" s="7" t="s">
        <v>285</v>
      </c>
      <c r="C62" s="36">
        <f t="shared" si="4"/>
        <v>2.0000000000000018E-2</v>
      </c>
      <c r="D62" s="2"/>
      <c r="E62" s="2"/>
      <c r="F62" s="2"/>
      <c r="G62" s="2"/>
      <c r="H62" s="2"/>
      <c r="I62" s="2"/>
      <c r="J62" s="2"/>
      <c r="K62" s="2"/>
      <c r="L62" s="2"/>
      <c r="M62" s="2"/>
      <c r="P62" s="66"/>
      <c r="Q62" s="143" t="s">
        <v>286</v>
      </c>
      <c r="R62" s="181">
        <f t="shared" si="3"/>
        <v>0.98499999999999999</v>
      </c>
      <c r="S62" s="66"/>
      <c r="T62" s="140"/>
      <c r="U62" s="140"/>
      <c r="V62" s="66"/>
      <c r="W62" s="66"/>
      <c r="X62" s="66"/>
      <c r="Y62" s="66"/>
      <c r="Z62" s="66"/>
      <c r="AA62" s="66"/>
      <c r="AB62" s="66"/>
      <c r="AC62" s="140"/>
    </row>
    <row r="63" spans="1:29" ht="16.5" x14ac:dyDescent="0.3">
      <c r="A63" s="2"/>
      <c r="B63" s="7" t="s">
        <v>286</v>
      </c>
      <c r="C63" s="36">
        <f t="shared" si="4"/>
        <v>2.0000000000000018E-2</v>
      </c>
      <c r="D63" s="2"/>
      <c r="E63" s="2"/>
      <c r="F63" s="2"/>
      <c r="G63" s="2"/>
      <c r="H63" s="2"/>
      <c r="I63" s="2"/>
      <c r="J63" s="2"/>
      <c r="K63" s="2"/>
      <c r="L63" s="2"/>
      <c r="M63" s="2"/>
      <c r="P63" s="66"/>
      <c r="Q63" s="143" t="s">
        <v>299</v>
      </c>
      <c r="R63" s="181">
        <f t="shared" si="3"/>
        <v>0.4</v>
      </c>
      <c r="S63" s="66"/>
      <c r="T63" s="140"/>
      <c r="U63" s="140"/>
      <c r="V63" s="66"/>
      <c r="W63" s="66"/>
      <c r="X63" s="66"/>
      <c r="Y63" s="66"/>
      <c r="Z63" s="66"/>
      <c r="AA63" s="66"/>
      <c r="AB63" s="66"/>
      <c r="AC63" s="140"/>
    </row>
    <row r="64" spans="1:29" ht="16.5" x14ac:dyDescent="0.3">
      <c r="A64" s="2"/>
      <c r="B64" s="7" t="s">
        <v>299</v>
      </c>
      <c r="C64" s="36">
        <f t="shared" si="4"/>
        <v>0</v>
      </c>
      <c r="D64" s="2"/>
      <c r="E64" s="2"/>
      <c r="F64" s="2"/>
      <c r="G64" s="2"/>
      <c r="H64" s="2"/>
      <c r="I64" s="2"/>
      <c r="J64" s="2"/>
      <c r="K64" s="2"/>
      <c r="L64" s="2"/>
      <c r="M64" s="2"/>
      <c r="P64" s="66"/>
      <c r="Q64" s="140"/>
      <c r="R64" s="140"/>
      <c r="S64" s="140"/>
      <c r="T64" s="140"/>
      <c r="U64" s="140"/>
      <c r="V64" s="66"/>
      <c r="W64" s="66"/>
      <c r="X64" s="66"/>
      <c r="Y64" s="66"/>
      <c r="Z64" s="66"/>
      <c r="AA64" s="66"/>
      <c r="AB64" s="66"/>
      <c r="AC64" s="140"/>
    </row>
    <row r="65" spans="1:29" ht="15" x14ac:dyDescent="0.25">
      <c r="A65" s="2"/>
      <c r="B65" s="2"/>
      <c r="C65" s="2"/>
      <c r="D65" s="2"/>
      <c r="E65" s="2"/>
      <c r="F65" s="2"/>
      <c r="G65" s="2"/>
      <c r="H65" s="2"/>
      <c r="I65" s="2"/>
      <c r="J65" s="2"/>
      <c r="K65" s="2"/>
      <c r="L65" s="2"/>
      <c r="M65" s="2"/>
      <c r="P65" s="66"/>
      <c r="Q65" s="66"/>
      <c r="R65" s="66"/>
      <c r="S65" s="66"/>
      <c r="T65" s="66"/>
      <c r="U65" s="66"/>
      <c r="V65" s="66"/>
      <c r="W65" s="66"/>
      <c r="X65" s="66"/>
      <c r="Y65" s="66"/>
      <c r="Z65" s="66"/>
      <c r="AA65" s="66"/>
      <c r="AB65" s="66"/>
      <c r="AC65" s="140"/>
    </row>
    <row r="66" spans="1:29" ht="15" x14ac:dyDescent="0.25">
      <c r="A66" s="2" t="s">
        <v>268</v>
      </c>
      <c r="B66" s="2"/>
      <c r="C66" s="2"/>
      <c r="D66" s="2"/>
      <c r="E66" s="2"/>
      <c r="F66" s="2"/>
      <c r="G66" s="2"/>
      <c r="H66" s="2"/>
      <c r="I66" s="2"/>
      <c r="J66" s="2"/>
      <c r="K66" s="2"/>
      <c r="L66" s="2"/>
      <c r="M66" s="2"/>
      <c r="P66" s="66" t="s">
        <v>269</v>
      </c>
      <c r="Q66" s="66"/>
      <c r="R66" s="66"/>
      <c r="S66" s="66"/>
      <c r="T66" s="66"/>
      <c r="U66" s="66"/>
      <c r="V66" s="66"/>
      <c r="W66" s="66"/>
      <c r="X66" s="66"/>
      <c r="Y66" s="66"/>
      <c r="Z66" s="66"/>
      <c r="AA66" s="66"/>
      <c r="AB66" s="66"/>
      <c r="AC66" s="140"/>
    </row>
    <row r="67" spans="1:29" ht="15" x14ac:dyDescent="0.25">
      <c r="A67" s="2"/>
      <c r="B67" s="2"/>
      <c r="C67" s="2"/>
      <c r="D67" s="2"/>
      <c r="E67" s="2"/>
      <c r="F67" s="2"/>
      <c r="G67" s="2"/>
      <c r="H67" s="2"/>
      <c r="I67" s="2"/>
      <c r="J67" s="2"/>
      <c r="K67" s="2"/>
      <c r="L67" s="2"/>
      <c r="M67" s="2"/>
      <c r="P67" s="66"/>
      <c r="Q67" s="66"/>
      <c r="R67" s="66"/>
      <c r="S67" s="66"/>
      <c r="T67" s="66"/>
      <c r="U67" s="66"/>
      <c r="V67" s="66"/>
      <c r="W67" s="66"/>
      <c r="X67" s="66"/>
      <c r="Y67" s="66"/>
      <c r="Z67" s="66"/>
      <c r="AA67" s="66"/>
      <c r="AB67" s="66"/>
      <c r="AC67" s="140"/>
    </row>
    <row r="68" spans="1:29" ht="15" x14ac:dyDescent="0.25">
      <c r="A68" s="2"/>
      <c r="B68" s="2" t="s">
        <v>5</v>
      </c>
      <c r="C68" s="7" t="s">
        <v>186</v>
      </c>
      <c r="D68" s="2"/>
      <c r="E68" s="2"/>
      <c r="F68" s="2"/>
      <c r="G68" s="2"/>
      <c r="H68" s="2"/>
      <c r="I68" s="2"/>
      <c r="J68" s="2"/>
      <c r="K68" s="2"/>
      <c r="L68" s="2"/>
      <c r="M68" s="2"/>
      <c r="P68" s="188"/>
      <c r="Q68" s="145" t="s">
        <v>5</v>
      </c>
      <c r="R68" s="145" t="s">
        <v>262</v>
      </c>
      <c r="S68" s="145" t="s">
        <v>125</v>
      </c>
      <c r="T68" s="145" t="s">
        <v>111</v>
      </c>
      <c r="U68" s="145" t="s">
        <v>266</v>
      </c>
      <c r="V68" s="145" t="s">
        <v>270</v>
      </c>
      <c r="W68" s="145" t="s">
        <v>572</v>
      </c>
      <c r="X68" s="66"/>
      <c r="Y68" s="66"/>
      <c r="Z68" s="66"/>
      <c r="AA68" s="66"/>
      <c r="AB68" s="66"/>
      <c r="AC68" s="140"/>
    </row>
    <row r="69" spans="1:29" ht="16.5" x14ac:dyDescent="0.3">
      <c r="A69" s="2"/>
      <c r="B69" s="7" t="s">
        <v>348</v>
      </c>
      <c r="C69" s="36">
        <f t="shared" ref="C69:C74" si="5">C11-C59</f>
        <v>8.2445999999999913</v>
      </c>
      <c r="D69" s="2"/>
      <c r="E69" s="2"/>
      <c r="F69" s="2"/>
      <c r="G69" s="2"/>
      <c r="H69" s="2"/>
      <c r="I69" s="2"/>
      <c r="J69" s="2"/>
      <c r="K69" s="2"/>
      <c r="L69" s="2"/>
      <c r="M69" s="2"/>
      <c r="P69" s="66"/>
      <c r="Q69" s="143" t="s">
        <v>348</v>
      </c>
      <c r="R69" s="151">
        <f t="shared" ref="R69:R74" si="6">R11</f>
        <v>90.6</v>
      </c>
      <c r="S69" s="305">
        <f t="shared" ref="S69:S74" si="7">R21</f>
        <v>3.25</v>
      </c>
      <c r="T69" s="305">
        <f t="shared" ref="T69:T74" si="8">R34</f>
        <v>9.1076923076923069E-2</v>
      </c>
      <c r="U69" s="66">
        <f t="shared" ref="U69:U74" si="9">R42</f>
        <v>9.0999999999999998E-2</v>
      </c>
      <c r="V69" s="306">
        <f t="shared" ref="V69:V74" si="10">R50</f>
        <v>82.355400000000003</v>
      </c>
      <c r="W69" s="306">
        <f t="shared" ref="W69:W74" si="11">R58</f>
        <v>8.2445999999999913</v>
      </c>
      <c r="X69" s="66"/>
      <c r="Y69" s="66"/>
      <c r="Z69" s="66"/>
      <c r="AA69" s="66"/>
      <c r="AB69" s="66"/>
      <c r="AC69" s="140"/>
    </row>
    <row r="70" spans="1:29" ht="16.5" x14ac:dyDescent="0.3">
      <c r="A70" s="2"/>
      <c r="B70" s="7" t="s">
        <v>283</v>
      </c>
      <c r="C70" s="36">
        <f t="shared" si="5"/>
        <v>1.4146999999999998</v>
      </c>
      <c r="D70" s="2"/>
      <c r="E70" s="2"/>
      <c r="F70" s="2"/>
      <c r="G70" s="2"/>
      <c r="H70" s="2"/>
      <c r="I70" s="2"/>
      <c r="J70" s="2"/>
      <c r="K70" s="2"/>
      <c r="L70" s="2"/>
      <c r="M70" s="2"/>
      <c r="P70" s="66"/>
      <c r="Q70" s="143" t="s">
        <v>283</v>
      </c>
      <c r="R70" s="151">
        <f t="shared" si="6"/>
        <v>4.3</v>
      </c>
      <c r="S70" s="305">
        <f t="shared" si="7"/>
        <v>0.9</v>
      </c>
      <c r="T70" s="305">
        <f t="shared" si="8"/>
        <v>0.32888888888888884</v>
      </c>
      <c r="U70" s="66">
        <f t="shared" si="9"/>
        <v>0.32900000000000001</v>
      </c>
      <c r="V70" s="306">
        <f t="shared" si="10"/>
        <v>2.8853</v>
      </c>
      <c r="W70" s="306">
        <f t="shared" si="11"/>
        <v>1.4146999999999998</v>
      </c>
      <c r="X70" s="66"/>
      <c r="Y70" s="66"/>
      <c r="Z70" s="66"/>
      <c r="AA70" s="66"/>
      <c r="AB70" s="66"/>
      <c r="AC70" s="140"/>
    </row>
    <row r="71" spans="1:29" ht="16.5" x14ac:dyDescent="0.3">
      <c r="A71" s="2"/>
      <c r="B71" s="7" t="s">
        <v>284</v>
      </c>
      <c r="C71" s="36">
        <f t="shared" si="5"/>
        <v>2.4000000000000004</v>
      </c>
      <c r="D71" s="2"/>
      <c r="E71" s="2"/>
      <c r="F71" s="2"/>
      <c r="G71" s="2"/>
      <c r="H71" s="2"/>
      <c r="I71" s="2"/>
      <c r="J71" s="2"/>
      <c r="K71" s="2"/>
      <c r="L71" s="2"/>
      <c r="M71" s="2"/>
      <c r="P71" s="66"/>
      <c r="Q71" s="143" t="s">
        <v>284</v>
      </c>
      <c r="R71" s="151">
        <f t="shared" si="6"/>
        <v>3.2</v>
      </c>
      <c r="S71" s="305">
        <f t="shared" si="7"/>
        <v>0.37</v>
      </c>
      <c r="T71" s="305">
        <f t="shared" si="8"/>
        <v>0.79999999999999993</v>
      </c>
      <c r="U71" s="66">
        <f t="shared" si="9"/>
        <v>0.75</v>
      </c>
      <c r="V71" s="306">
        <f t="shared" si="10"/>
        <v>0.8</v>
      </c>
      <c r="W71" s="306">
        <f t="shared" si="11"/>
        <v>2.4000000000000004</v>
      </c>
      <c r="X71" s="66"/>
      <c r="Y71" s="66"/>
      <c r="Z71" s="66"/>
      <c r="AA71" s="66"/>
      <c r="AB71" s="66"/>
      <c r="AC71" s="140"/>
    </row>
    <row r="72" spans="1:29" ht="16.5" x14ac:dyDescent="0.3">
      <c r="A72" s="2"/>
      <c r="B72" s="7" t="s">
        <v>285</v>
      </c>
      <c r="C72" s="36">
        <f t="shared" si="5"/>
        <v>0.48</v>
      </c>
      <c r="D72" s="2"/>
      <c r="E72" s="2"/>
      <c r="F72" s="2"/>
      <c r="G72" s="2"/>
      <c r="H72" s="2"/>
      <c r="I72" s="2"/>
      <c r="J72" s="2"/>
      <c r="K72" s="2"/>
      <c r="L72" s="2"/>
      <c r="M72" s="2"/>
      <c r="P72" s="66"/>
      <c r="Q72" s="143" t="s">
        <v>285</v>
      </c>
      <c r="R72" s="151">
        <f t="shared" si="6"/>
        <v>0.5</v>
      </c>
      <c r="S72" s="305">
        <f t="shared" si="7"/>
        <v>0.21</v>
      </c>
      <c r="T72" s="305">
        <f t="shared" si="8"/>
        <v>1.4095238095238094</v>
      </c>
      <c r="U72" s="66">
        <f t="shared" si="9"/>
        <v>0.96</v>
      </c>
      <c r="V72" s="306">
        <f t="shared" si="10"/>
        <v>2.0000000000000018E-2</v>
      </c>
      <c r="W72" s="306">
        <f t="shared" si="11"/>
        <v>0.48</v>
      </c>
      <c r="X72" s="66"/>
      <c r="Y72" s="66"/>
      <c r="Z72" s="66"/>
      <c r="AA72" s="66"/>
      <c r="AB72" s="66"/>
      <c r="AC72" s="140"/>
    </row>
    <row r="73" spans="1:29" ht="16.5" x14ac:dyDescent="0.3">
      <c r="A73" s="2"/>
      <c r="B73" s="7" t="s">
        <v>286</v>
      </c>
      <c r="C73" s="36">
        <f t="shared" si="5"/>
        <v>0.98</v>
      </c>
      <c r="D73" s="2"/>
      <c r="E73" s="2"/>
      <c r="F73" s="2"/>
      <c r="G73" s="2"/>
      <c r="H73" s="2"/>
      <c r="I73" s="2"/>
      <c r="J73" s="2"/>
      <c r="K73" s="2"/>
      <c r="L73" s="2"/>
      <c r="M73" s="2"/>
      <c r="P73" s="66"/>
      <c r="Q73" s="143" t="s">
        <v>286</v>
      </c>
      <c r="R73" s="151">
        <f t="shared" si="6"/>
        <v>1</v>
      </c>
      <c r="S73" s="305">
        <f t="shared" si="7"/>
        <v>0.17</v>
      </c>
      <c r="T73" s="305">
        <f t="shared" si="8"/>
        <v>1.7411764705882351</v>
      </c>
      <c r="U73" s="66">
        <f t="shared" si="9"/>
        <v>0.98499999999999999</v>
      </c>
      <c r="V73" s="306">
        <f t="shared" si="10"/>
        <v>1.5000000000000013E-2</v>
      </c>
      <c r="W73" s="306">
        <f t="shared" si="11"/>
        <v>0.98499999999999999</v>
      </c>
      <c r="X73" s="66"/>
      <c r="Y73" s="66"/>
      <c r="Z73" s="66"/>
      <c r="AA73" s="66"/>
      <c r="AB73" s="66"/>
      <c r="AC73" s="140"/>
    </row>
    <row r="74" spans="1:29" ht="16.5" x14ac:dyDescent="0.3">
      <c r="A74" s="2"/>
      <c r="B74" s="7" t="s">
        <v>299</v>
      </c>
      <c r="C74" s="36">
        <f t="shared" si="5"/>
        <v>0.4</v>
      </c>
      <c r="D74" s="2"/>
      <c r="E74" s="2"/>
      <c r="F74" s="2"/>
      <c r="G74" s="2"/>
      <c r="H74" s="2"/>
      <c r="I74" s="2"/>
      <c r="J74" s="2"/>
      <c r="K74" s="2"/>
      <c r="L74" s="2"/>
      <c r="M74" s="2"/>
      <c r="P74" s="66"/>
      <c r="Q74" s="143" t="s">
        <v>299</v>
      </c>
      <c r="R74" s="307">
        <f t="shared" si="6"/>
        <v>0.4</v>
      </c>
      <c r="S74" s="305">
        <f t="shared" si="7"/>
        <v>3.5000000000000003E-2</v>
      </c>
      <c r="T74" s="305">
        <f t="shared" si="8"/>
        <v>8.4571428571428555</v>
      </c>
      <c r="U74" s="66">
        <f t="shared" si="9"/>
        <v>1</v>
      </c>
      <c r="V74" s="308">
        <f t="shared" si="10"/>
        <v>0</v>
      </c>
      <c r="W74" s="308">
        <f t="shared" si="11"/>
        <v>0.4</v>
      </c>
      <c r="X74" s="66"/>
      <c r="Y74" s="66"/>
      <c r="Z74" s="66"/>
      <c r="AA74" s="66"/>
      <c r="AB74" s="66"/>
      <c r="AC74" s="140"/>
    </row>
    <row r="75" spans="1:29" ht="15" x14ac:dyDescent="0.25">
      <c r="A75" s="2"/>
      <c r="B75" s="2"/>
      <c r="C75" s="2"/>
      <c r="D75" s="2"/>
      <c r="E75" s="2"/>
      <c r="F75" s="2"/>
      <c r="G75" s="2"/>
      <c r="H75" s="2"/>
      <c r="I75" s="2"/>
      <c r="J75" s="2"/>
      <c r="K75" s="2"/>
      <c r="L75" s="2"/>
      <c r="M75" s="2"/>
      <c r="P75" s="66"/>
      <c r="Q75" s="66" t="s">
        <v>571</v>
      </c>
      <c r="R75" s="151">
        <f>SUM(R69:R74)</f>
        <v>100</v>
      </c>
      <c r="S75" s="151"/>
      <c r="T75" s="151"/>
      <c r="U75" s="151"/>
      <c r="V75" s="151">
        <f t="shared" ref="V75:W75" si="12">SUM(V69:V74)</f>
        <v>86.075699999999998</v>
      </c>
      <c r="W75" s="151">
        <f t="shared" si="12"/>
        <v>13.924299999999992</v>
      </c>
      <c r="X75" s="66"/>
      <c r="Y75" s="66"/>
      <c r="Z75" s="66"/>
      <c r="AA75" s="66"/>
      <c r="AB75" s="66"/>
      <c r="AC75" s="140"/>
    </row>
    <row r="76" spans="1:29" ht="15" x14ac:dyDescent="0.25">
      <c r="A76" s="2" t="s">
        <v>269</v>
      </c>
      <c r="B76" s="2"/>
      <c r="C76" s="2"/>
      <c r="D76" s="2"/>
      <c r="E76" s="2"/>
      <c r="F76" s="2"/>
      <c r="G76" s="2"/>
      <c r="H76" s="2"/>
      <c r="I76" s="2"/>
      <c r="J76" s="2"/>
      <c r="K76" s="2"/>
      <c r="L76" s="2"/>
      <c r="M76" s="2"/>
      <c r="P76" s="140"/>
      <c r="Q76" s="140"/>
      <c r="R76" s="140"/>
      <c r="S76" s="140"/>
      <c r="T76" s="140"/>
      <c r="U76" s="140"/>
      <c r="V76" s="140"/>
      <c r="W76" s="140"/>
      <c r="X76" s="66"/>
      <c r="Y76" s="66"/>
      <c r="Z76" s="66"/>
      <c r="AA76" s="66"/>
      <c r="AB76" s="66"/>
      <c r="AC76" s="140"/>
    </row>
    <row r="77" spans="1:29" ht="15" x14ac:dyDescent="0.25">
      <c r="A77" s="2"/>
      <c r="B77" s="2"/>
      <c r="C77" s="2"/>
      <c r="D77" s="2"/>
      <c r="E77" s="2"/>
      <c r="F77" s="2"/>
      <c r="G77" s="2"/>
      <c r="H77" s="2"/>
      <c r="I77" s="2"/>
      <c r="J77" s="2"/>
      <c r="K77" s="2"/>
      <c r="L77" s="2"/>
      <c r="M77" s="2"/>
      <c r="P77" s="140"/>
      <c r="Q77" s="140"/>
      <c r="R77" s="140"/>
      <c r="S77" s="140"/>
      <c r="T77" s="140"/>
      <c r="U77" s="140"/>
      <c r="V77" s="140"/>
      <c r="W77" s="140"/>
      <c r="X77" s="66"/>
      <c r="Y77" s="66"/>
      <c r="Z77" s="66"/>
      <c r="AA77" s="66"/>
      <c r="AB77" s="66"/>
      <c r="AC77" s="140"/>
    </row>
    <row r="78" spans="1:29" s="309" customFormat="1" ht="14.25" x14ac:dyDescent="0.2">
      <c r="A78" s="5"/>
      <c r="B78" s="15" t="s">
        <v>5</v>
      </c>
      <c r="C78" s="15" t="s">
        <v>262</v>
      </c>
      <c r="D78" s="15" t="s">
        <v>125</v>
      </c>
      <c r="E78" s="15" t="s">
        <v>111</v>
      </c>
      <c r="F78" s="15" t="s">
        <v>266</v>
      </c>
      <c r="G78" s="15" t="s">
        <v>270</v>
      </c>
      <c r="H78" s="15" t="s">
        <v>186</v>
      </c>
      <c r="I78" s="5"/>
      <c r="J78" s="5"/>
      <c r="K78" s="5"/>
      <c r="L78" s="5"/>
      <c r="M78" s="5"/>
      <c r="P78" s="310"/>
      <c r="Q78" s="310"/>
      <c r="R78" s="310"/>
      <c r="S78" s="310"/>
      <c r="T78" s="310"/>
      <c r="U78" s="310"/>
      <c r="V78" s="310"/>
      <c r="W78" s="310"/>
      <c r="X78" s="188"/>
      <c r="Y78" s="188"/>
      <c r="Z78" s="188"/>
      <c r="AA78" s="188"/>
      <c r="AB78" s="188"/>
      <c r="AC78" s="310"/>
    </row>
    <row r="79" spans="1:29" ht="16.5" x14ac:dyDescent="0.3">
      <c r="A79" s="2"/>
      <c r="B79" s="7" t="s">
        <v>348</v>
      </c>
      <c r="C79" s="10">
        <v>90.6</v>
      </c>
      <c r="D79" s="35">
        <v>3.25</v>
      </c>
      <c r="E79" s="35">
        <f t="shared" ref="E79:E84" si="13">$C$34/(D79*100)</f>
        <v>9.1076923076923069E-2</v>
      </c>
      <c r="F79" s="2">
        <v>9.0999999999999998E-2</v>
      </c>
      <c r="G79" s="36">
        <f t="shared" ref="G79:G84" si="14">C79*(1-F79)</f>
        <v>82.355400000000003</v>
      </c>
      <c r="H79" s="36">
        <f t="shared" ref="H79:H84" si="15">C79-G79</f>
        <v>8.2445999999999913</v>
      </c>
      <c r="I79" s="2"/>
      <c r="J79" s="2"/>
      <c r="K79" s="2"/>
      <c r="L79" s="2"/>
      <c r="M79" s="2"/>
      <c r="P79" s="140"/>
      <c r="Q79" s="140"/>
      <c r="R79" s="140"/>
      <c r="S79" s="140"/>
      <c r="T79" s="140"/>
      <c r="U79" s="140"/>
      <c r="V79" s="140"/>
      <c r="W79" s="140"/>
      <c r="X79" s="66"/>
      <c r="Y79" s="66"/>
      <c r="Z79" s="66"/>
      <c r="AA79" s="66"/>
      <c r="AB79" s="66"/>
      <c r="AC79" s="140"/>
    </row>
    <row r="80" spans="1:29" ht="16.5" x14ac:dyDescent="0.3">
      <c r="A80" s="2"/>
      <c r="B80" s="7" t="s">
        <v>283</v>
      </c>
      <c r="C80" s="10">
        <v>4.3</v>
      </c>
      <c r="D80" s="35">
        <v>0.9</v>
      </c>
      <c r="E80" s="35">
        <f t="shared" si="13"/>
        <v>0.32888888888888884</v>
      </c>
      <c r="F80" s="2">
        <v>0.32900000000000001</v>
      </c>
      <c r="G80" s="36">
        <f t="shared" si="14"/>
        <v>2.8853</v>
      </c>
      <c r="H80" s="36">
        <f t="shared" si="15"/>
        <v>1.4146999999999998</v>
      </c>
      <c r="I80" s="2"/>
      <c r="J80" s="2"/>
      <c r="K80" s="2"/>
      <c r="L80" s="2"/>
      <c r="M80" s="2"/>
      <c r="P80" s="140"/>
      <c r="Q80" s="140"/>
      <c r="R80" s="140"/>
      <c r="S80" s="140"/>
      <c r="T80" s="140"/>
      <c r="U80" s="140"/>
      <c r="V80" s="140"/>
      <c r="W80" s="140"/>
      <c r="X80" s="66"/>
      <c r="Y80" s="66"/>
      <c r="Z80" s="66"/>
      <c r="AA80" s="66"/>
      <c r="AB80" s="66"/>
      <c r="AC80" s="140"/>
    </row>
    <row r="81" spans="1:29" ht="16.5" x14ac:dyDescent="0.3">
      <c r="A81" s="2"/>
      <c r="B81" s="7" t="s">
        <v>284</v>
      </c>
      <c r="C81" s="10">
        <v>3.2</v>
      </c>
      <c r="D81" s="35">
        <v>0.37</v>
      </c>
      <c r="E81" s="35">
        <f t="shared" si="13"/>
        <v>0.79999999999999993</v>
      </c>
      <c r="F81" s="2">
        <v>0.75</v>
      </c>
      <c r="G81" s="36">
        <f t="shared" si="14"/>
        <v>0.8</v>
      </c>
      <c r="H81" s="36">
        <f t="shared" si="15"/>
        <v>2.4000000000000004</v>
      </c>
      <c r="I81" s="2"/>
      <c r="J81" s="2"/>
      <c r="K81" s="2"/>
      <c r="L81" s="2"/>
      <c r="M81" s="2"/>
      <c r="P81" s="140"/>
      <c r="Q81" s="140"/>
      <c r="R81" s="140"/>
      <c r="S81" s="140"/>
      <c r="T81" s="140"/>
      <c r="U81" s="140"/>
      <c r="V81" s="140"/>
      <c r="W81" s="140"/>
      <c r="X81" s="66"/>
      <c r="Y81" s="66"/>
      <c r="Z81" s="66"/>
      <c r="AA81" s="66"/>
      <c r="AB81" s="66"/>
      <c r="AC81" s="140"/>
    </row>
    <row r="82" spans="1:29" ht="16.5" x14ac:dyDescent="0.3">
      <c r="A82" s="2"/>
      <c r="B82" s="7" t="s">
        <v>285</v>
      </c>
      <c r="C82" s="10">
        <v>0.5</v>
      </c>
      <c r="D82" s="35">
        <v>0.1</v>
      </c>
      <c r="E82" s="35">
        <f t="shared" si="13"/>
        <v>2.96</v>
      </c>
      <c r="F82" s="2">
        <v>0.96</v>
      </c>
      <c r="G82" s="36">
        <f t="shared" si="14"/>
        <v>2.0000000000000018E-2</v>
      </c>
      <c r="H82" s="36">
        <f t="shared" si="15"/>
        <v>0.48</v>
      </c>
      <c r="I82" s="2"/>
      <c r="J82" s="2"/>
      <c r="K82" s="2"/>
      <c r="L82" s="2"/>
      <c r="M82" s="2"/>
      <c r="P82" s="140"/>
      <c r="Q82" s="140"/>
      <c r="R82" s="140"/>
      <c r="S82" s="140"/>
      <c r="T82" s="140"/>
      <c r="U82" s="140"/>
      <c r="V82" s="140"/>
      <c r="W82" s="140"/>
      <c r="X82" s="66"/>
      <c r="Y82" s="66"/>
      <c r="Z82" s="66"/>
      <c r="AA82" s="66"/>
      <c r="AB82" s="66"/>
      <c r="AC82" s="140"/>
    </row>
    <row r="83" spans="1:29" ht="16.5" x14ac:dyDescent="0.3">
      <c r="A83" s="2"/>
      <c r="B83" s="7" t="s">
        <v>286</v>
      </c>
      <c r="C83" s="10">
        <v>1</v>
      </c>
      <c r="D83" s="35">
        <v>0.17</v>
      </c>
      <c r="E83" s="35">
        <f t="shared" si="13"/>
        <v>1.7411764705882351</v>
      </c>
      <c r="F83" s="2">
        <v>0.98</v>
      </c>
      <c r="G83" s="36">
        <f t="shared" si="14"/>
        <v>2.0000000000000018E-2</v>
      </c>
      <c r="H83" s="36">
        <f t="shared" si="15"/>
        <v>0.98</v>
      </c>
      <c r="I83" s="2"/>
      <c r="J83" s="2"/>
      <c r="K83" s="2"/>
      <c r="L83" s="2"/>
      <c r="M83" s="2"/>
      <c r="P83" s="140"/>
      <c r="Q83" s="140"/>
      <c r="R83" s="140"/>
      <c r="S83" s="140"/>
      <c r="T83" s="140"/>
      <c r="U83" s="140"/>
      <c r="V83" s="140"/>
      <c r="W83" s="140"/>
      <c r="X83" s="66"/>
      <c r="Y83" s="66"/>
      <c r="Z83" s="66"/>
      <c r="AA83" s="66"/>
      <c r="AB83" s="66"/>
      <c r="AC83" s="140"/>
    </row>
    <row r="84" spans="1:29" ht="16.5" x14ac:dyDescent="0.3">
      <c r="A84" s="2"/>
      <c r="B84" s="7" t="s">
        <v>299</v>
      </c>
      <c r="C84" s="29">
        <v>0.4</v>
      </c>
      <c r="D84" s="35">
        <v>3.5000000000000003E-2</v>
      </c>
      <c r="E84" s="35">
        <f t="shared" si="13"/>
        <v>8.4571428571428555</v>
      </c>
      <c r="F84" s="2">
        <v>1</v>
      </c>
      <c r="G84" s="46">
        <f t="shared" si="14"/>
        <v>0</v>
      </c>
      <c r="H84" s="46">
        <f t="shared" si="15"/>
        <v>0.4</v>
      </c>
      <c r="I84" s="2"/>
      <c r="J84" s="2"/>
      <c r="K84" s="2"/>
      <c r="L84" s="2"/>
      <c r="M84" s="2"/>
      <c r="P84" s="140"/>
      <c r="Q84" s="140"/>
      <c r="R84" s="140"/>
      <c r="S84" s="140"/>
      <c r="T84" s="140"/>
      <c r="U84" s="140"/>
      <c r="V84" s="140"/>
      <c r="W84" s="140"/>
      <c r="X84" s="66"/>
      <c r="Y84" s="66"/>
      <c r="Z84" s="66"/>
      <c r="AA84" s="66"/>
      <c r="AB84" s="66"/>
      <c r="AC84" s="140"/>
    </row>
    <row r="85" spans="1:29" ht="15" x14ac:dyDescent="0.25">
      <c r="A85" s="54"/>
      <c r="B85" s="7" t="s">
        <v>598</v>
      </c>
      <c r="C85" s="73">
        <f>SUM(C79:C84)</f>
        <v>100</v>
      </c>
      <c r="D85" s="54"/>
      <c r="E85" s="54"/>
      <c r="F85" s="54"/>
      <c r="G85" s="74">
        <f>SUM(G79:G84)</f>
        <v>86.080699999999993</v>
      </c>
      <c r="H85" s="74">
        <f>SUM(H79:H84)</f>
        <v>13.919299999999993</v>
      </c>
      <c r="I85" s="54"/>
      <c r="J85" s="54"/>
      <c r="K85" s="54"/>
      <c r="L85" s="54"/>
      <c r="M85" s="54"/>
    </row>
    <row r="87" spans="1:29" ht="15" x14ac:dyDescent="0.25">
      <c r="A87" s="129" t="s">
        <v>723</v>
      </c>
    </row>
    <row r="88" spans="1:29" ht="15" x14ac:dyDescent="0.25">
      <c r="A88" s="129" t="s">
        <v>724</v>
      </c>
    </row>
    <row r="89" spans="1:29" ht="15" x14ac:dyDescent="0.25">
      <c r="A89" s="129" t="s">
        <v>725</v>
      </c>
    </row>
    <row r="90" spans="1:29" ht="15" x14ac:dyDescent="0.25">
      <c r="A90" s="129" t="s">
        <v>684</v>
      </c>
    </row>
    <row r="91" spans="1:29" ht="15" x14ac:dyDescent="0.25">
      <c r="A91" s="130" t="s">
        <v>726</v>
      </c>
    </row>
  </sheetData>
  <sheetProtection password="E156" sheet="1" objects="1" scenarios="1"/>
  <mergeCells count="3">
    <mergeCell ref="A6:M8"/>
    <mergeCell ref="P8:T8"/>
    <mergeCell ref="P6:Z7"/>
  </mergeCells>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Revisions</vt:lpstr>
      <vt:lpstr>Nomenclature</vt:lpstr>
      <vt:lpstr>Example 19-1</vt:lpstr>
      <vt:lpstr>Example 19-2</vt:lpstr>
      <vt:lpstr>Example 19-3</vt:lpstr>
      <vt:lpstr>Example 19-4</vt:lpstr>
      <vt:lpstr>Example 19-5</vt:lpstr>
      <vt:lpstr>Example 19-6</vt:lpstr>
      <vt:lpstr>Example 19-7</vt:lpstr>
      <vt:lpstr>Example 19-8</vt:lpstr>
      <vt:lpstr>LIMITS</vt:lpstr>
      <vt:lpstr>'Example 19-2'!Print_Area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RCE</dc:creator>
  <cp:lastModifiedBy>Hamilton, Stuart</cp:lastModifiedBy>
  <cp:lastPrinted>2016-09-28T21:36:00Z</cp:lastPrinted>
  <dcterms:created xsi:type="dcterms:W3CDTF">2009-05-18T14:59:19Z</dcterms:created>
  <dcterms:modified xsi:type="dcterms:W3CDTF">2017-04-07T20:39:14Z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