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00" windowWidth="18735" windowHeight="11685" activeTab="1"/>
  </bookViews>
  <sheets>
    <sheet name="Revisions" sheetId="6" r:id="rId1"/>
    <sheet name="Nomenclature" sheetId="7" r:id="rId2"/>
    <sheet name="Example 21-1" sheetId="2" r:id="rId3"/>
    <sheet name="Example 21-2" sheetId="3" r:id="rId4"/>
    <sheet name="LIMITS" sheetId="4" r:id="rId5"/>
  </sheets>
  <calcPr calcId="145621"/>
</workbook>
</file>

<file path=xl/calcChain.xml><?xml version="1.0" encoding="utf-8"?>
<calcChain xmlns="http://schemas.openxmlformats.org/spreadsheetml/2006/main">
  <c r="I5" i="3" l="1"/>
  <c r="I5" i="2"/>
  <c r="I11" i="2" l="1"/>
  <c r="K11" i="2"/>
  <c r="N25" i="2" l="1"/>
  <c r="K14" i="3"/>
  <c r="I15" i="3" s="1"/>
  <c r="N10" i="3"/>
  <c r="M62" i="3" s="1"/>
  <c r="M63" i="3" s="1"/>
  <c r="N27" i="2"/>
  <c r="C14" i="3"/>
  <c r="F77" i="3" s="1"/>
  <c r="F10" i="3"/>
  <c r="F103" i="3" s="1"/>
  <c r="F104" i="3" s="1"/>
  <c r="F27" i="2"/>
  <c r="F29" i="2"/>
  <c r="F32" i="2"/>
  <c r="F25" i="2"/>
  <c r="F81" i="3" l="1"/>
  <c r="F89" i="3"/>
  <c r="F97" i="3"/>
  <c r="F83" i="3"/>
  <c r="F91" i="3"/>
  <c r="F99" i="3"/>
  <c r="F106" i="3"/>
  <c r="F85" i="3"/>
  <c r="F93" i="3"/>
  <c r="F101" i="3"/>
  <c r="F79" i="3"/>
  <c r="F87" i="3"/>
  <c r="F95" i="3"/>
  <c r="M18" i="3"/>
  <c r="M42" i="3" s="1"/>
  <c r="N29" i="2"/>
  <c r="N32" i="2" s="1"/>
  <c r="E18" i="3"/>
  <c r="E62" i="3"/>
  <c r="E63" i="3" s="1"/>
  <c r="M46" i="3"/>
  <c r="M30" i="3"/>
  <c r="M36" i="3"/>
  <c r="M34" i="3"/>
  <c r="M67" i="3"/>
  <c r="F107" i="3" l="1"/>
  <c r="F109" i="3"/>
  <c r="F110" i="3" s="1"/>
  <c r="M50" i="3"/>
  <c r="M40" i="3"/>
  <c r="M54" i="3"/>
  <c r="M22" i="3"/>
  <c r="M58" i="3"/>
  <c r="M28" i="3"/>
  <c r="M24" i="3"/>
  <c r="E67" i="3"/>
  <c r="E68" i="3" s="1"/>
  <c r="E58" i="3"/>
  <c r="E50" i="3"/>
  <c r="E42" i="3"/>
  <c r="E24" i="3"/>
  <c r="E54" i="3"/>
  <c r="E46" i="3"/>
  <c r="E28" i="3"/>
  <c r="E36" i="3"/>
  <c r="E30" i="3"/>
  <c r="E40" i="3"/>
  <c r="E34" i="3"/>
  <c r="E22" i="3"/>
  <c r="M68" i="3"/>
  <c r="M72" i="3"/>
  <c r="M73" i="3" s="1"/>
  <c r="E72" i="3" l="1"/>
  <c r="E73" i="3" s="1"/>
</calcChain>
</file>

<file path=xl/sharedStrings.xml><?xml version="1.0" encoding="utf-8"?>
<sst xmlns="http://schemas.openxmlformats.org/spreadsheetml/2006/main" count="548" uniqueCount="198">
  <si>
    <t>Nomenclature</t>
  </si>
  <si>
    <t>=</t>
  </si>
  <si>
    <t>L</t>
  </si>
  <si>
    <t>FIG. 21-1</t>
  </si>
  <si>
    <t>GPM</t>
  </si>
  <si>
    <t>MW</t>
  </si>
  <si>
    <t>pH</t>
  </si>
  <si>
    <t>Subscripts</t>
  </si>
  <si>
    <t>gallons per minute</t>
  </si>
  <si>
    <t>molecular weight of the acid</t>
  </si>
  <si>
    <t>measure of the acidity of a solution</t>
  </si>
  <si>
    <t>Given Data:</t>
  </si>
  <si>
    <t>Intermediate Calculations (not shown)</t>
  </si>
  <si>
    <t>gal</t>
  </si>
  <si>
    <t>To determine solution circulation for DEA</t>
  </si>
  <si>
    <t>Eq 21-11</t>
  </si>
  <si>
    <t>To determine Reboiler heat duty and area</t>
  </si>
  <si>
    <t>72000 • GPM</t>
  </si>
  <si>
    <t>11.3 • GPM</t>
  </si>
  <si>
    <t>To determine Rich-Lean amine exchanger heat duty and area</t>
  </si>
  <si>
    <t>45000 • GPM</t>
  </si>
  <si>
    <t>11.25 • GPM</t>
  </si>
  <si>
    <t>To determine Amine Cooler heat duty and area</t>
  </si>
  <si>
    <t>15000 • GPM</t>
  </si>
  <si>
    <t>10.2 • GPM</t>
  </si>
  <si>
    <t>To determine Reflux Condenser heat duty and area</t>
  </si>
  <si>
    <t>30000 • GPM</t>
  </si>
  <si>
    <t>5.2 • GPM</t>
  </si>
  <si>
    <t>To determine Main amine pump power</t>
  </si>
  <si>
    <t>To determine Amine booster pump power</t>
  </si>
  <si>
    <t>GPM • 0.06</t>
  </si>
  <si>
    <t>To determine Reflux pump power</t>
  </si>
  <si>
    <t>To determine Aerial cooler power</t>
  </si>
  <si>
    <t>GPM • 0.36</t>
  </si>
  <si>
    <t>psig</t>
  </si>
  <si>
    <t>MMscfd</t>
  </si>
  <si>
    <t>45 • (Q • y/x)</t>
  </si>
  <si>
    <t>%</t>
  </si>
  <si>
    <t>gpm</t>
  </si>
  <si>
    <t>GPM of DEA solution</t>
  </si>
  <si>
    <t>45 • [3 • (3.4/20)]</t>
  </si>
  <si>
    <r>
      <t>A</t>
    </r>
    <r>
      <rPr>
        <vertAlign val="subscript"/>
        <sz val="11"/>
        <rFont val="Times New Roman"/>
        <family val="1"/>
      </rPr>
      <t>r</t>
    </r>
  </si>
  <si>
    <r>
      <t>A</t>
    </r>
    <r>
      <rPr>
        <vertAlign val="subscript"/>
        <sz val="11"/>
        <rFont val="Times New Roman"/>
        <family val="1"/>
      </rPr>
      <t>rle</t>
    </r>
  </si>
  <si>
    <r>
      <t>A</t>
    </r>
    <r>
      <rPr>
        <vertAlign val="subscript"/>
        <sz val="11"/>
        <rFont val="Times New Roman"/>
        <family val="1"/>
      </rPr>
      <t>ac</t>
    </r>
  </si>
  <si>
    <r>
      <t>A</t>
    </r>
    <r>
      <rPr>
        <vertAlign val="subscript"/>
        <sz val="11"/>
        <rFont val="Times New Roman"/>
        <family val="1"/>
      </rPr>
      <t>rc</t>
    </r>
  </si>
  <si>
    <r>
      <t>HP</t>
    </r>
    <r>
      <rPr>
        <vertAlign val="subscript"/>
        <sz val="11"/>
        <rFont val="Times New Roman"/>
        <family val="1"/>
      </rPr>
      <t>map</t>
    </r>
  </si>
  <si>
    <r>
      <t>HP</t>
    </r>
    <r>
      <rPr>
        <vertAlign val="subscript"/>
        <sz val="11"/>
        <rFont val="Times New Roman"/>
        <family val="1"/>
      </rPr>
      <t>abp</t>
    </r>
  </si>
  <si>
    <r>
      <t>HP</t>
    </r>
    <r>
      <rPr>
        <vertAlign val="subscript"/>
        <sz val="11"/>
        <rFont val="Times New Roman"/>
        <family val="1"/>
      </rPr>
      <t>rp</t>
    </r>
  </si>
  <si>
    <r>
      <t>HP</t>
    </r>
    <r>
      <rPr>
        <vertAlign val="subscript"/>
        <sz val="11"/>
        <rFont val="Times New Roman"/>
        <family val="1"/>
      </rPr>
      <t>ac</t>
    </r>
  </si>
  <si>
    <r>
      <t>A</t>
    </r>
    <r>
      <rPr>
        <vertAlign val="subscript"/>
        <sz val="11"/>
        <color indexed="18"/>
        <rFont val="Times New Roman"/>
        <family val="1"/>
      </rPr>
      <t>r</t>
    </r>
  </si>
  <si>
    <t>Btu/hr</t>
  </si>
  <si>
    <r>
      <t>ft</t>
    </r>
    <r>
      <rPr>
        <b/>
        <vertAlign val="superscript"/>
        <sz val="11"/>
        <color indexed="18"/>
        <rFont val="Times New Roman"/>
        <family val="1"/>
      </rPr>
      <t>2</t>
    </r>
  </si>
  <si>
    <r>
      <t>A</t>
    </r>
    <r>
      <rPr>
        <vertAlign val="subscript"/>
        <sz val="11"/>
        <color indexed="18"/>
        <rFont val="Times New Roman"/>
        <family val="1"/>
      </rPr>
      <t>rle</t>
    </r>
  </si>
  <si>
    <r>
      <t>A</t>
    </r>
    <r>
      <rPr>
        <vertAlign val="subscript"/>
        <sz val="11"/>
        <color indexed="18"/>
        <rFont val="Times New Roman"/>
        <family val="1"/>
      </rPr>
      <t>ac</t>
    </r>
  </si>
  <si>
    <r>
      <t>A</t>
    </r>
    <r>
      <rPr>
        <vertAlign val="subscript"/>
        <sz val="11"/>
        <color indexed="18"/>
        <rFont val="Times New Roman"/>
        <family val="1"/>
      </rPr>
      <t>rc</t>
    </r>
  </si>
  <si>
    <r>
      <t>HP</t>
    </r>
    <r>
      <rPr>
        <vertAlign val="subscript"/>
        <sz val="11"/>
        <color indexed="18"/>
        <rFont val="Times New Roman"/>
        <family val="1"/>
      </rPr>
      <t>map</t>
    </r>
  </si>
  <si>
    <r>
      <t>HP</t>
    </r>
    <r>
      <rPr>
        <vertAlign val="subscript"/>
        <sz val="11"/>
        <color indexed="18"/>
        <rFont val="Times New Roman"/>
        <family val="1"/>
      </rPr>
      <t>abp</t>
    </r>
  </si>
  <si>
    <r>
      <t>HP</t>
    </r>
    <r>
      <rPr>
        <vertAlign val="subscript"/>
        <sz val="11"/>
        <color indexed="18"/>
        <rFont val="Times New Roman"/>
        <family val="1"/>
      </rPr>
      <t>rp</t>
    </r>
  </si>
  <si>
    <r>
      <t>HP</t>
    </r>
    <r>
      <rPr>
        <vertAlign val="subscript"/>
        <sz val="11"/>
        <color indexed="18"/>
        <rFont val="Times New Roman"/>
        <family val="1"/>
      </rPr>
      <t>ac</t>
    </r>
  </si>
  <si>
    <t>hp</t>
  </si>
  <si>
    <t>Conversions:</t>
  </si>
  <si>
    <t>1 gal</t>
  </si>
  <si>
    <t>1 lb</t>
  </si>
  <si>
    <t>To determine the total requirement of HCl</t>
  </si>
  <si>
    <r>
      <t xml:space="preserve">amine solution • </t>
    </r>
    <r>
      <rPr>
        <sz val="11"/>
        <rFont val="Calibri"/>
        <family val="2"/>
      </rPr>
      <t>Δ</t>
    </r>
    <r>
      <rPr>
        <sz val="11"/>
        <rFont val="Times New Roman"/>
        <family val="1"/>
      </rPr>
      <t>OH</t>
    </r>
    <r>
      <rPr>
        <vertAlign val="superscript"/>
        <sz val="11"/>
        <rFont val="Times New Roman"/>
        <family val="1"/>
      </rPr>
      <t>-</t>
    </r>
    <r>
      <rPr>
        <sz val="11"/>
        <rFont val="Times New Roman"/>
        <family val="1"/>
      </rPr>
      <t>(H</t>
    </r>
    <r>
      <rPr>
        <vertAlign val="superscript"/>
        <sz val="11"/>
        <rFont val="Times New Roman"/>
        <family val="1"/>
      </rPr>
      <t>+</t>
    </r>
    <r>
      <rPr>
        <sz val="11"/>
        <rFont val="Times New Roman"/>
        <family val="1"/>
      </rPr>
      <t>)</t>
    </r>
  </si>
  <si>
    <t>Converting to pounds</t>
  </si>
  <si>
    <t>lb</t>
  </si>
  <si>
    <t>5000 • 3.79</t>
  </si>
  <si>
    <t>g</t>
  </si>
  <si>
    <t>1.9E4 • 1.00E-2</t>
  </si>
  <si>
    <r>
      <t>MW</t>
    </r>
    <r>
      <rPr>
        <vertAlign val="subscript"/>
        <sz val="11"/>
        <rFont val="Times New Roman"/>
        <family val="1"/>
      </rPr>
      <t>HCl</t>
    </r>
  </si>
  <si>
    <r>
      <t>OH</t>
    </r>
    <r>
      <rPr>
        <vertAlign val="subscript"/>
        <sz val="11"/>
        <rFont val="Times New Roman"/>
        <family val="1"/>
      </rPr>
      <t>conc</t>
    </r>
    <r>
      <rPr>
        <vertAlign val="superscript"/>
        <sz val="11"/>
        <rFont val="Times New Roman"/>
        <family val="1"/>
      </rPr>
      <t>-</t>
    </r>
    <r>
      <rPr>
        <sz val="11"/>
        <rFont val="Times New Roman"/>
        <family val="1"/>
      </rPr>
      <t xml:space="preserve"> for pH 12</t>
    </r>
  </si>
  <si>
    <r>
      <t>OH</t>
    </r>
    <r>
      <rPr>
        <vertAlign val="subscript"/>
        <sz val="11"/>
        <rFont val="Times New Roman"/>
        <family val="1"/>
      </rPr>
      <t>conc</t>
    </r>
    <r>
      <rPr>
        <vertAlign val="superscript"/>
        <sz val="11"/>
        <rFont val="Times New Roman"/>
        <family val="1"/>
      </rPr>
      <t>-</t>
    </r>
    <r>
      <rPr>
        <sz val="11"/>
        <rFont val="Times New Roman"/>
        <family val="1"/>
      </rPr>
      <t xml:space="preserve"> for pH 7</t>
    </r>
  </si>
  <si>
    <t>gmol/L</t>
  </si>
  <si>
    <t>gmol</t>
  </si>
  <si>
    <t>g/gmol</t>
  </si>
  <si>
    <r>
      <t>HCl</t>
    </r>
    <r>
      <rPr>
        <vertAlign val="subscript"/>
        <sz val="11"/>
        <rFont val="Times New Roman"/>
        <family val="1"/>
      </rPr>
      <t>amount</t>
    </r>
  </si>
  <si>
    <t>A</t>
  </si>
  <si>
    <t>Q</t>
  </si>
  <si>
    <t>HP</t>
  </si>
  <si>
    <t>r</t>
  </si>
  <si>
    <t>GPM • P • 0.00065</t>
  </si>
  <si>
    <r>
      <t>Total Mole % H</t>
    </r>
    <r>
      <rPr>
        <vertAlign val="subscript"/>
        <sz val="11"/>
        <rFont val="Times New Roman"/>
        <family val="1"/>
      </rPr>
      <t>2</t>
    </r>
    <r>
      <rPr>
        <sz val="11"/>
        <rFont val="Times New Roman"/>
        <family val="1"/>
      </rPr>
      <t>S and CO</t>
    </r>
    <r>
      <rPr>
        <vertAlign val="subscript"/>
        <sz val="11"/>
        <rFont val="Times New Roman"/>
        <family val="1"/>
      </rPr>
      <t xml:space="preserve">2 </t>
    </r>
    <r>
      <rPr>
        <sz val="11"/>
        <rFont val="Times New Roman"/>
        <family val="1"/>
      </rPr>
      <t xml:space="preserve"> y</t>
    </r>
  </si>
  <si>
    <t>Weight % solution     DEA   x</t>
  </si>
  <si>
    <r>
      <t>Mole %                          CO</t>
    </r>
    <r>
      <rPr>
        <vertAlign val="subscript"/>
        <sz val="11"/>
        <rFont val="Times New Roman"/>
        <family val="1"/>
      </rPr>
      <t>2</t>
    </r>
  </si>
  <si>
    <r>
      <t>Mole %                          H</t>
    </r>
    <r>
      <rPr>
        <vertAlign val="subscript"/>
        <sz val="11"/>
        <rFont val="Times New Roman"/>
        <family val="1"/>
      </rPr>
      <t>2</t>
    </r>
    <r>
      <rPr>
        <sz val="11"/>
        <rFont val="Times New Roman"/>
        <family val="1"/>
      </rPr>
      <t>S</t>
    </r>
  </si>
  <si>
    <t>Pressure                            P</t>
  </si>
  <si>
    <t>Flow Rate                         Q</t>
  </si>
  <si>
    <t xml:space="preserve"> </t>
  </si>
  <si>
    <t>Eq 21-7</t>
  </si>
  <si>
    <t>To determine Diameter of Contactor</t>
  </si>
  <si>
    <r>
      <t>D</t>
    </r>
    <r>
      <rPr>
        <vertAlign val="subscript"/>
        <sz val="11"/>
        <rFont val="Times New Roman"/>
        <family val="1"/>
      </rPr>
      <t>c</t>
    </r>
  </si>
  <si>
    <r>
      <t>44 • (Q/(P)</t>
    </r>
    <r>
      <rPr>
        <vertAlign val="superscript"/>
        <sz val="11"/>
        <rFont val="Times New Roman"/>
        <family val="1"/>
      </rPr>
      <t>1/2</t>
    </r>
    <r>
      <rPr>
        <sz val="11"/>
        <rFont val="Times New Roman"/>
        <family val="1"/>
      </rPr>
      <t>)</t>
    </r>
    <r>
      <rPr>
        <vertAlign val="superscript"/>
        <sz val="11"/>
        <rFont val="Times New Roman"/>
        <family val="1"/>
      </rPr>
      <t>1/2</t>
    </r>
  </si>
  <si>
    <r>
      <t>D</t>
    </r>
    <r>
      <rPr>
        <vertAlign val="subscript"/>
        <sz val="11"/>
        <rFont val="Times New Roman"/>
        <family val="1"/>
      </rPr>
      <t>r</t>
    </r>
  </si>
  <si>
    <r>
      <t>3.0 • (GPM)</t>
    </r>
    <r>
      <rPr>
        <vertAlign val="superscript"/>
        <sz val="11"/>
        <rFont val="Times New Roman"/>
        <family val="1"/>
      </rPr>
      <t>1/2</t>
    </r>
  </si>
  <si>
    <t>To determine Diameter of Regenerator Above Feed Point</t>
  </si>
  <si>
    <r>
      <t>D</t>
    </r>
    <r>
      <rPr>
        <vertAlign val="subscript"/>
        <sz val="11"/>
        <rFont val="Times New Roman"/>
        <family val="1"/>
      </rPr>
      <t>ra</t>
    </r>
  </si>
  <si>
    <r>
      <t>0.67 • D</t>
    </r>
    <r>
      <rPr>
        <vertAlign val="subscript"/>
        <sz val="11"/>
        <rFont val="Times New Roman"/>
        <family val="1"/>
      </rPr>
      <t>r</t>
    </r>
  </si>
  <si>
    <r>
      <t>D</t>
    </r>
    <r>
      <rPr>
        <vertAlign val="subscript"/>
        <sz val="11"/>
        <color indexed="18"/>
        <rFont val="Times New Roman"/>
        <family val="1"/>
      </rPr>
      <t>c</t>
    </r>
  </si>
  <si>
    <r>
      <t>44 • (30/(865)</t>
    </r>
    <r>
      <rPr>
        <vertAlign val="superscript"/>
        <sz val="11"/>
        <color indexed="18"/>
        <rFont val="Times New Roman"/>
        <family val="1"/>
      </rPr>
      <t>1/2</t>
    </r>
    <r>
      <rPr>
        <sz val="11"/>
        <color indexed="18"/>
        <rFont val="Times New Roman"/>
        <family val="1"/>
      </rPr>
      <t>)</t>
    </r>
    <r>
      <rPr>
        <vertAlign val="superscript"/>
        <sz val="11"/>
        <color indexed="18"/>
        <rFont val="Times New Roman"/>
        <family val="1"/>
      </rPr>
      <t>1/2</t>
    </r>
  </si>
  <si>
    <t>72000 • 230</t>
  </si>
  <si>
    <t>11.30 • 230</t>
  </si>
  <si>
    <t>45000 • 230</t>
  </si>
  <si>
    <t>11.25 • 230</t>
  </si>
  <si>
    <t>15000 • 230</t>
  </si>
  <si>
    <t>10.2 • 230</t>
  </si>
  <si>
    <t>30000 • 230</t>
  </si>
  <si>
    <t>5.2 • 230</t>
  </si>
  <si>
    <t>230 • 850 • 0.00065</t>
  </si>
  <si>
    <t>230 • 0.06</t>
  </si>
  <si>
    <t>230 • 0.36</t>
  </si>
  <si>
    <t>psia</t>
  </si>
  <si>
    <t>in</t>
  </si>
  <si>
    <r>
      <t>D</t>
    </r>
    <r>
      <rPr>
        <vertAlign val="subscript"/>
        <sz val="11"/>
        <color indexed="18"/>
        <rFont val="Times New Roman"/>
        <family val="1"/>
      </rPr>
      <t>r</t>
    </r>
  </si>
  <si>
    <r>
      <t>3.0 • (30)</t>
    </r>
    <r>
      <rPr>
        <vertAlign val="superscript"/>
        <sz val="11"/>
        <color indexed="18"/>
        <rFont val="Times New Roman"/>
        <family val="1"/>
      </rPr>
      <t>1/2</t>
    </r>
  </si>
  <si>
    <r>
      <t>D</t>
    </r>
    <r>
      <rPr>
        <vertAlign val="subscript"/>
        <sz val="11"/>
        <color indexed="18"/>
        <rFont val="Times New Roman"/>
        <family val="1"/>
      </rPr>
      <t>ra</t>
    </r>
  </si>
  <si>
    <t>0.67 • 48</t>
  </si>
  <si>
    <t>Rounded to nearest 6"</t>
  </si>
  <si>
    <t>lb HCl</t>
  </si>
  <si>
    <t>Fig 21-15</t>
  </si>
  <si>
    <t>LIMITS</t>
  </si>
  <si>
    <t xml:space="preserve"> =</t>
  </si>
  <si>
    <t>x</t>
  </si>
  <si>
    <t>y</t>
  </si>
  <si>
    <t>Calculation results diameters are for vessel INSIDE diameters.</t>
  </si>
  <si>
    <t>The sample calculations, equations and spreadsheets presented herein were developed using examples published in the Engineering Data Book as published by the Gas Processor Suppliers Association as a service to the gas processing industry.  All information and calculation formulae has been compiled and edited in cooperation with Gas Processors Association (GPA).</t>
  </si>
  <si>
    <t>While every effort has been made to present accurate and reliable technical information and calculation spreadsheets based on the GPSA Engineering Data Book sample calculations, the use of such information is voluntary and the GPA and GPSA do not guarantee the accuracy, completeness, efficacy or timeliness of such information.  Reference herein to any specific commercial product, calculation method, process, or service by trade-name, trademark, and service mark manufacturer or otherwise does not constitute or imply endorsement, recommendation or favoring by the GPA and/or GPSA.</t>
  </si>
  <si>
    <t>The Calculation Spreadsheets are provided without warranty of any kind including warranties of accuracy or reasonableness of factual or scientific assumptions, studies or conclusions, or merchantability, fitness for a particular purpose or non-infringement of intellectual property.</t>
  </si>
  <si>
    <t>(190 • 36.5)/454</t>
  </si>
  <si>
    <t>=K7-K8</t>
  </si>
  <si>
    <t>=K6*K13</t>
  </si>
  <si>
    <t>=N24*N22</t>
  </si>
  <si>
    <t>Horsepower</t>
  </si>
  <si>
    <t>inches</t>
  </si>
  <si>
    <t>72000 * GPM</t>
  </si>
  <si>
    <t>11.3 * GPM</t>
  </si>
  <si>
    <t>4500 * GPM</t>
  </si>
  <si>
    <t>11.25 * GPM</t>
  </si>
  <si>
    <t>=(N26*K9)/K14</t>
  </si>
  <si>
    <t>amine solution volume</t>
  </si>
  <si>
    <t>Gas Flow Rate                         Q</t>
  </si>
  <si>
    <t>=45 * (Q * y/x)</t>
  </si>
  <si>
    <t>Fig 21-16</t>
  </si>
  <si>
    <t>Eq 21-10</t>
  </si>
  <si>
    <t>To determine Diameter of Regenerator Below Feed Point</t>
  </si>
  <si>
    <t>** Round up to next larger "Standard" diameter (typically 6" increment) if non-standard size is calculated</t>
  </si>
  <si>
    <t>**"Standard" diameter</t>
  </si>
  <si>
    <t>gas flow to contactor, MMscfd</t>
  </si>
  <si>
    <t>P</t>
  </si>
  <si>
    <t>horsepower, bhp</t>
  </si>
  <si>
    <t>Note that at a pH of 7, all of a weak acid (base) would probably not be neutralized. The pH required to have all of a weak acid (base) neutralized will vary with the acid but will usually be less (greater) than 7. In the example all of the HCl is neutralized because it is completely ionized in the water solution.</t>
  </si>
  <si>
    <t>In no event will the GPA or GPSA and their members be liable for any damages whatsoever (including without limitation, those resulting from lost profits, lost data or business interruption) arising from the use, inability to , reference to or reliance on the information in these Publication, whether based on warranty, contract, tort or any other legal theory and whether or not advised of the possibility of such damages.</t>
  </si>
  <si>
    <t>These calculation spreadsheets are provided to provide an “Operational level” of accuracy calculation based on rather broad assumptions (including but not limited to; temperatures, pressures, compositions, imperial curves, site conditions etc.) and do not replace detailed and accurate Design Engineering taking into account actual process conditions, fluid properties, equipment condition or fowling and actual control set-point dead-band limitations.</t>
  </si>
  <si>
    <t>In no event will the GPA or GPSA and their members be liable for any damages whatsoever (including without limitation, those resulting from lost profits, lost data or business interruption) arising from the use, inability to , reference to or reliance on the information in this Publication, whether based on warranty, contract, tort or any other legal theory and whether or not advised of the possibility of such damages.</t>
  </si>
  <si>
    <t>For Application 21-2, the method provides conservative (high) estimates of the required circulation rate. This should NOT be used if the combined H2S plus CO2 concentrations in the gas is above 5%. They also are limited to a maximum amine concentration of about 30% by weight</t>
  </si>
  <si>
    <r>
      <t>area, ft</t>
    </r>
    <r>
      <rPr>
        <vertAlign val="superscript"/>
        <sz val="11"/>
        <rFont val="Times New Roman"/>
        <family val="1"/>
      </rPr>
      <t>2</t>
    </r>
  </si>
  <si>
    <r>
      <t>ft</t>
    </r>
    <r>
      <rPr>
        <vertAlign val="superscript"/>
        <sz val="11"/>
        <rFont val="Times New Roman"/>
        <family val="1"/>
      </rPr>
      <t>2</t>
    </r>
  </si>
  <si>
    <r>
      <t>ΔOH</t>
    </r>
    <r>
      <rPr>
        <vertAlign val="superscript"/>
        <sz val="11"/>
        <rFont val="Times New Roman"/>
        <family val="1"/>
      </rPr>
      <t>-</t>
    </r>
    <r>
      <rPr>
        <sz val="11"/>
        <rFont val="Times New Roman"/>
        <family val="1"/>
      </rPr>
      <t>(H</t>
    </r>
    <r>
      <rPr>
        <vertAlign val="superscript"/>
        <sz val="11"/>
        <rFont val="Times New Roman"/>
        <family val="1"/>
      </rPr>
      <t>+</t>
    </r>
    <r>
      <rPr>
        <sz val="11"/>
        <rFont val="Times New Roman"/>
        <family val="1"/>
      </rPr>
      <t>)</t>
    </r>
  </si>
  <si>
    <r>
      <t>amine solution • ΔOH</t>
    </r>
    <r>
      <rPr>
        <vertAlign val="superscript"/>
        <sz val="11"/>
        <rFont val="Times New Roman"/>
        <family val="1"/>
      </rPr>
      <t>-</t>
    </r>
    <r>
      <rPr>
        <sz val="11"/>
        <rFont val="Times New Roman"/>
        <family val="1"/>
      </rPr>
      <t>(H</t>
    </r>
    <r>
      <rPr>
        <vertAlign val="superscript"/>
        <sz val="11"/>
        <rFont val="Times New Roman"/>
        <family val="1"/>
      </rPr>
      <t>+</t>
    </r>
    <r>
      <rPr>
        <sz val="11"/>
        <rFont val="Times New Roman"/>
        <family val="1"/>
      </rPr>
      <t>)</t>
    </r>
  </si>
  <si>
    <r>
      <t>(1.0•10</t>
    </r>
    <r>
      <rPr>
        <vertAlign val="superscript"/>
        <sz val="11"/>
        <rFont val="Times New Roman"/>
        <family val="1"/>
      </rPr>
      <t>-2</t>
    </r>
    <r>
      <rPr>
        <sz val="11"/>
        <rFont val="Times New Roman"/>
        <family val="1"/>
      </rPr>
      <t>)-(1.0•10</t>
    </r>
    <r>
      <rPr>
        <vertAlign val="superscript"/>
        <sz val="11"/>
        <rFont val="Times New Roman"/>
        <family val="1"/>
      </rPr>
      <t>-7</t>
    </r>
    <r>
      <rPr>
        <sz val="11"/>
        <rFont val="Times New Roman"/>
        <family val="1"/>
      </rPr>
      <t>)</t>
    </r>
  </si>
  <si>
    <t>Example 21-1 -- 5,000 gallons of amine solution with a pH of 12 is to be neutralized by the addition of hydrochloric acid (HCl).  How many pounds of pure HCl will be required?</t>
  </si>
  <si>
    <r>
      <t>Example 21-2 -- 30.0 MMscfd of gas available at 850 psig and containing 0.6% H</t>
    </r>
    <r>
      <rPr>
        <vertAlign val="subscript"/>
        <sz val="11"/>
        <rFont val="Times New Roman"/>
        <family val="1"/>
      </rPr>
      <t>2</t>
    </r>
    <r>
      <rPr>
        <sz val="11"/>
        <rFont val="Times New Roman"/>
        <family val="1"/>
      </rPr>
      <t>S and 2.8% CO</t>
    </r>
    <r>
      <rPr>
        <vertAlign val="subscript"/>
        <sz val="11"/>
        <rFont val="Times New Roman"/>
        <family val="1"/>
      </rPr>
      <t>2</t>
    </r>
    <r>
      <rPr>
        <sz val="11"/>
        <rFont val="Times New Roman"/>
        <family val="1"/>
      </rPr>
      <t xml:space="preserve"> is to be sweetened using 20%, by weight, DEA solution.  If a conventional DEA system is to be used, what amine circulation rate is required, and what will be the principal parameters for the DEA treating system?</t>
    </r>
  </si>
  <si>
    <t>GPSA Engineering Data Book 14th Edition</t>
  </si>
  <si>
    <t>REVISION</t>
  </si>
  <si>
    <t>DATE</t>
  </si>
  <si>
    <t>REASON(S) FOR REVISION</t>
  </si>
  <si>
    <t xml:space="preserve">Initial release </t>
  </si>
  <si>
    <t>amine concentration in liquid solution</t>
  </si>
  <si>
    <t>acid gas concentration in sour gas, mole %</t>
  </si>
  <si>
    <r>
      <t>H</t>
    </r>
    <r>
      <rPr>
        <vertAlign val="subscript"/>
        <sz val="11"/>
        <rFont val="Times New Roman"/>
        <family val="1"/>
      </rPr>
      <t>r</t>
    </r>
  </si>
  <si>
    <r>
      <t>H</t>
    </r>
    <r>
      <rPr>
        <vertAlign val="subscript"/>
        <sz val="11"/>
        <rFont val="Times New Roman"/>
        <family val="1"/>
      </rPr>
      <t>rle</t>
    </r>
  </si>
  <si>
    <r>
      <t>H</t>
    </r>
    <r>
      <rPr>
        <vertAlign val="subscript"/>
        <sz val="11"/>
        <rFont val="Times New Roman"/>
        <family val="1"/>
      </rPr>
      <t>ac</t>
    </r>
  </si>
  <si>
    <r>
      <t>H</t>
    </r>
    <r>
      <rPr>
        <vertAlign val="subscript"/>
        <sz val="11"/>
        <rFont val="Times New Roman"/>
        <family val="1"/>
      </rPr>
      <t>rc</t>
    </r>
  </si>
  <si>
    <t>H</t>
  </si>
  <si>
    <t>heat rate, BTU/hr</t>
  </si>
  <si>
    <t>c</t>
  </si>
  <si>
    <t>contactor</t>
  </si>
  <si>
    <r>
      <t>H</t>
    </r>
    <r>
      <rPr>
        <vertAlign val="subscript"/>
        <sz val="11"/>
        <color indexed="18"/>
        <rFont val="Times New Roman"/>
        <family val="1"/>
      </rPr>
      <t>r</t>
    </r>
  </si>
  <si>
    <r>
      <t>H</t>
    </r>
    <r>
      <rPr>
        <vertAlign val="subscript"/>
        <sz val="11"/>
        <color indexed="18"/>
        <rFont val="Times New Roman"/>
        <family val="1"/>
      </rPr>
      <t>rle</t>
    </r>
  </si>
  <si>
    <r>
      <t>H</t>
    </r>
    <r>
      <rPr>
        <vertAlign val="subscript"/>
        <sz val="11"/>
        <color indexed="18"/>
        <rFont val="Times New Roman"/>
        <family val="1"/>
      </rPr>
      <t>ac</t>
    </r>
  </si>
  <si>
    <r>
      <t>H</t>
    </r>
    <r>
      <rPr>
        <vertAlign val="subscript"/>
        <sz val="11"/>
        <color indexed="18"/>
        <rFont val="Times New Roman"/>
        <family val="1"/>
      </rPr>
      <t>rc</t>
    </r>
  </si>
  <si>
    <t>ac</t>
  </si>
  <si>
    <t>abp</t>
  </si>
  <si>
    <t>map</t>
  </si>
  <si>
    <t>ra</t>
  </si>
  <si>
    <t>rc</t>
  </si>
  <si>
    <t>rle</t>
  </si>
  <si>
    <t>rp</t>
  </si>
  <si>
    <t>amine booster pump</t>
  </si>
  <si>
    <t>amine cooler</t>
  </si>
  <si>
    <t>main amine pump</t>
  </si>
  <si>
    <t>regenerator</t>
  </si>
  <si>
    <t>regenerator (above feed point)</t>
  </si>
  <si>
    <t>reflux pump</t>
  </si>
  <si>
    <t>rich-lean exchanger</t>
  </si>
  <si>
    <t>reflux condenser</t>
  </si>
  <si>
    <t>dimater, ft</t>
  </si>
  <si>
    <t>absolute pressure, psia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</si>
</sst>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0"/>
    <numFmt numFmtId="165" formatCode="0.0E+00"/>
    <numFmt numFmtId="166" formatCode="0.0"/>
    <numFmt numFmtId="167" formatCode="0_);[Red]\(0\)"/>
    <numFmt numFmtId="168" formatCode="#,##0.00\ ;&quot; (&quot;#,##0.00\);&quot; -&quot;#\ ;@\ "/>
  </numFmts>
  <fonts count="22">
    <font>
      <sz val="11"/>
      <color theme="1"/>
      <name val="Calibri"/>
      <family val="2"/>
      <scheme val="minor"/>
    </font>
    <font>
      <sz val="10"/>
      <name val="Times New Roman"/>
      <family val="1"/>
    </font>
    <font>
      <b/>
      <sz val="11"/>
      <name val="Times New Roman"/>
      <family val="1"/>
    </font>
    <font>
      <sz val="11"/>
      <name val="Times New Roman"/>
      <family val="1"/>
    </font>
    <font>
      <sz val="11"/>
      <color indexed="18"/>
      <name val="Times New Roman"/>
      <family val="1"/>
    </font>
    <font>
      <sz val="11"/>
      <name val="Arial"/>
      <family val="2"/>
    </font>
    <font>
      <vertAlign val="subscript"/>
      <sz val="11"/>
      <name val="Times New Roman"/>
      <family val="1"/>
    </font>
    <font>
      <vertAlign val="superscript"/>
      <sz val="11"/>
      <name val="Times New Roman"/>
      <family val="1"/>
    </font>
    <font>
      <vertAlign val="subscript"/>
      <sz val="11"/>
      <color indexed="18"/>
      <name val="Times New Roman"/>
      <family val="1"/>
    </font>
    <font>
      <b/>
      <sz val="11"/>
      <color indexed="18"/>
      <name val="Times New Roman"/>
      <family val="1"/>
    </font>
    <font>
      <vertAlign val="superscript"/>
      <sz val="11"/>
      <color indexed="18"/>
      <name val="Times New Roman"/>
      <family val="1"/>
    </font>
    <font>
      <b/>
      <vertAlign val="superscript"/>
      <sz val="11"/>
      <color indexed="18"/>
      <name val="Times New Roman"/>
      <family val="1"/>
    </font>
    <font>
      <sz val="11"/>
      <name val="Calibri"/>
      <family val="2"/>
    </font>
    <font>
      <sz val="11"/>
      <color theme="5" tint="-0.249977111117893"/>
      <name val="Times New Roman"/>
      <family val="1"/>
    </font>
    <font>
      <sz val="11"/>
      <color theme="1"/>
      <name val="Times Roman"/>
      <family val="1"/>
    </font>
    <font>
      <b/>
      <sz val="11"/>
      <color theme="0"/>
      <name val="Calibri"/>
      <family val="2"/>
      <scheme val="minor"/>
    </font>
    <font>
      <sz val="10"/>
      <name val="Arial"/>
      <family val="2"/>
    </font>
    <font>
      <sz val="11"/>
      <name val="Calibri"/>
      <family val="2"/>
      <scheme val="minor"/>
    </font>
    <font>
      <sz val="11"/>
      <color indexed="8"/>
      <name val="Calibri"/>
      <family val="2"/>
    </font>
    <font>
      <b/>
      <sz val="10"/>
      <name val="Times New Roman"/>
      <family val="1"/>
    </font>
    <font>
      <b/>
      <sz val="11"/>
      <color theme="1"/>
      <name val="Times Roman"/>
    </font>
    <font>
      <sz val="11"/>
      <color theme="1"/>
      <name val="Times New Roman"/>
      <family val="1"/>
    </font>
  </fonts>
  <fills count="8">
    <fill>
      <patternFill patternType="none"/>
    </fill>
    <fill>
      <patternFill patternType="gray125"/>
    </fill>
    <fill>
      <patternFill patternType="solid">
        <fgColor theme="6" tint="0.59999389629810485"/>
        <bgColor indexed="64"/>
      </patternFill>
    </fill>
    <fill>
      <patternFill patternType="solid">
        <fgColor rgb="FFA5A5A5"/>
      </patternFill>
    </fill>
    <fill>
      <patternFill patternType="solid">
        <fgColor theme="9" tint="0.59996337778862885"/>
        <bgColor indexed="64"/>
      </patternFill>
    </fill>
    <fill>
      <patternFill patternType="solid">
        <fgColor theme="6" tint="0.59996337778862885"/>
        <bgColor indexed="64"/>
      </patternFill>
    </fill>
    <fill>
      <patternFill patternType="solid">
        <fgColor theme="0" tint="-0.14999847407452621"/>
        <bgColor indexed="64"/>
      </patternFill>
    </fill>
    <fill>
      <patternFill patternType="solid">
        <fgColor theme="9" tint="0.59999389629810485"/>
        <bgColor indexed="64"/>
      </patternFill>
    </fill>
  </fills>
  <borders count="4">
    <border>
      <left/>
      <right/>
      <top/>
      <bottom/>
      <diagonal/>
    </border>
    <border>
      <left/>
      <right/>
      <top/>
      <bottom style="medium">
        <color indexed="64"/>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5" fillId="3" borderId="2" applyNumberFormat="0" applyAlignment="0" applyProtection="0"/>
    <xf numFmtId="0" fontId="16" fillId="0" borderId="0"/>
    <xf numFmtId="168" fontId="18" fillId="0" borderId="0"/>
    <xf numFmtId="0" fontId="18" fillId="0" borderId="0"/>
  </cellStyleXfs>
  <cellXfs count="128">
    <xf numFmtId="0" fontId="0" fillId="0" borderId="0" xfId="0"/>
    <xf numFmtId="0" fontId="4" fillId="2" borderId="0" xfId="0" applyFont="1" applyFill="1" applyBorder="1" applyAlignment="1" applyProtection="1">
      <alignment horizontal="left"/>
    </xf>
    <xf numFmtId="0" fontId="3" fillId="0" borderId="0" xfId="0" applyFont="1" applyProtection="1"/>
    <xf numFmtId="0" fontId="3" fillId="2" borderId="0" xfId="0" applyFont="1" applyFill="1" applyBorder="1" applyProtection="1"/>
    <xf numFmtId="0" fontId="4" fillId="2" borderId="0" xfId="0" applyFont="1" applyFill="1" applyBorder="1" applyProtection="1"/>
    <xf numFmtId="0" fontId="3" fillId="2" borderId="0" xfId="0" applyFont="1" applyFill="1" applyBorder="1" applyAlignment="1" applyProtection="1">
      <alignment horizontal="right"/>
    </xf>
    <xf numFmtId="164" fontId="3" fillId="2" borderId="0" xfId="0" applyNumberFormat="1" applyFont="1" applyFill="1" applyBorder="1" applyAlignment="1" applyProtection="1">
      <alignment horizontal="left"/>
    </xf>
    <xf numFmtId="164" fontId="4" fillId="2" borderId="0" xfId="0" applyNumberFormat="1" applyFont="1" applyFill="1" applyBorder="1" applyAlignment="1" applyProtection="1">
      <alignment horizontal="center"/>
    </xf>
    <xf numFmtId="164" fontId="9" fillId="2" borderId="0" xfId="0" applyNumberFormat="1" applyFont="1" applyFill="1" applyBorder="1" applyAlignment="1" applyProtection="1">
      <alignment horizontal="center"/>
    </xf>
    <xf numFmtId="164" fontId="3" fillId="2" borderId="0" xfId="0" applyNumberFormat="1" applyFont="1" applyFill="1" applyBorder="1" applyAlignment="1" applyProtection="1">
      <alignment horizontal="center"/>
    </xf>
    <xf numFmtId="0" fontId="4" fillId="2" borderId="0" xfId="0" applyFont="1" applyFill="1" applyBorder="1" applyAlignment="1" applyProtection="1">
      <alignment horizontal="right"/>
    </xf>
    <xf numFmtId="1" fontId="9" fillId="2" borderId="0" xfId="0" applyNumberFormat="1" applyFont="1" applyFill="1" applyBorder="1" applyAlignment="1" applyProtection="1">
      <alignment horizontal="center"/>
    </xf>
    <xf numFmtId="3" fontId="4" fillId="2" borderId="0" xfId="0" applyNumberFormat="1" applyFont="1" applyFill="1" applyBorder="1" applyAlignment="1" applyProtection="1"/>
    <xf numFmtId="11" fontId="9" fillId="2" borderId="0" xfId="0" applyNumberFormat="1" applyFont="1" applyFill="1" applyBorder="1" applyAlignment="1" applyProtection="1">
      <alignment horizontal="center"/>
    </xf>
    <xf numFmtId="165" fontId="9" fillId="2" borderId="0" xfId="0" applyNumberFormat="1" applyFont="1" applyFill="1" applyBorder="1" applyAlignment="1" applyProtection="1">
      <alignment horizontal="center"/>
    </xf>
    <xf numFmtId="0" fontId="9" fillId="2" borderId="0" xfId="0" applyFont="1" applyFill="1" applyBorder="1" applyAlignment="1" applyProtection="1">
      <alignment horizontal="center"/>
    </xf>
    <xf numFmtId="166" fontId="9" fillId="2" borderId="0" xfId="0" applyNumberFormat="1" applyFont="1" applyFill="1" applyBorder="1" applyAlignment="1" applyProtection="1">
      <alignment horizontal="center"/>
    </xf>
    <xf numFmtId="0" fontId="3" fillId="0" borderId="0" xfId="0" applyFont="1" applyAlignment="1" applyProtection="1">
      <alignment horizontal="center"/>
      <protection locked="0"/>
    </xf>
    <xf numFmtId="0" fontId="3" fillId="0" borderId="0" xfId="0" applyFont="1" applyProtection="1">
      <protection locked="0"/>
    </xf>
    <xf numFmtId="0" fontId="3" fillId="2" borderId="0" xfId="0" applyFont="1" applyFill="1" applyBorder="1" applyAlignment="1" applyProtection="1">
      <alignment horizontal="center"/>
    </xf>
    <xf numFmtId="0" fontId="3" fillId="2" borderId="0" xfId="0" applyFont="1" applyFill="1" applyBorder="1" applyAlignment="1" applyProtection="1">
      <alignment horizontal="left"/>
    </xf>
    <xf numFmtId="0" fontId="4" fillId="2" borderId="0" xfId="0" applyFont="1" applyFill="1" applyBorder="1" applyAlignment="1" applyProtection="1">
      <alignment horizontal="center"/>
    </xf>
    <xf numFmtId="0" fontId="3" fillId="4" borderId="0" xfId="0" applyFont="1" applyFill="1" applyBorder="1" applyAlignment="1" applyProtection="1">
      <alignment horizontal="center"/>
      <protection locked="0"/>
    </xf>
    <xf numFmtId="2" fontId="3" fillId="4" borderId="0" xfId="0" applyNumberFormat="1" applyFont="1" applyFill="1" applyBorder="1" applyAlignment="1" applyProtection="1">
      <alignment horizontal="center"/>
      <protection locked="0"/>
    </xf>
    <xf numFmtId="0" fontId="3" fillId="4" borderId="0" xfId="0" applyFont="1" applyFill="1" applyBorder="1" applyProtection="1">
      <protection locked="0"/>
    </xf>
    <xf numFmtId="11" fontId="3" fillId="4" borderId="0" xfId="0" applyNumberFormat="1" applyFont="1" applyFill="1" applyBorder="1" applyAlignment="1" applyProtection="1">
      <alignment horizontal="center"/>
      <protection locked="0"/>
    </xf>
    <xf numFmtId="11" fontId="3" fillId="2" borderId="0" xfId="0" applyNumberFormat="1" applyFont="1" applyFill="1" applyBorder="1" applyAlignment="1" applyProtection="1">
      <alignment horizontal="center"/>
    </xf>
    <xf numFmtId="165" fontId="3" fillId="2" borderId="0" xfId="0" applyNumberFormat="1" applyFont="1" applyFill="1" applyBorder="1" applyAlignment="1" applyProtection="1">
      <alignment horizontal="center"/>
    </xf>
    <xf numFmtId="1" fontId="3" fillId="2" borderId="0" xfId="0" applyNumberFormat="1" applyFont="1" applyFill="1" applyBorder="1" applyAlignment="1" applyProtection="1">
      <alignment horizontal="center"/>
    </xf>
    <xf numFmtId="0" fontId="16" fillId="2" borderId="0" xfId="0" applyFont="1" applyFill="1" applyBorder="1" applyAlignment="1" applyProtection="1">
      <alignment horizontal="left"/>
    </xf>
    <xf numFmtId="166" fontId="3" fillId="2" borderId="0" xfId="0" applyNumberFormat="1" applyFont="1" applyFill="1" applyBorder="1" applyAlignment="1" applyProtection="1">
      <alignment horizontal="center"/>
    </xf>
    <xf numFmtId="0" fontId="3" fillId="4" borderId="0" xfId="1" applyFont="1" applyFill="1" applyBorder="1" applyAlignment="1" applyProtection="1">
      <alignment horizontal="center"/>
      <protection locked="0"/>
    </xf>
    <xf numFmtId="11" fontId="3" fillId="4" borderId="0" xfId="1" applyNumberFormat="1" applyFont="1" applyFill="1" applyBorder="1" applyAlignment="1" applyProtection="1">
      <alignment horizontal="center"/>
      <protection locked="0"/>
    </xf>
    <xf numFmtId="0" fontId="3" fillId="5" borderId="0" xfId="0" applyFont="1" applyFill="1" applyBorder="1" applyProtection="1"/>
    <xf numFmtId="0" fontId="3" fillId="5" borderId="0" xfId="0" applyFont="1" applyFill="1" applyBorder="1" applyAlignment="1" applyProtection="1">
      <alignment horizontal="center"/>
    </xf>
    <xf numFmtId="0" fontId="3" fillId="5" borderId="0" xfId="0" applyFont="1" applyFill="1" applyBorder="1" applyAlignment="1" applyProtection="1">
      <alignment wrapText="1"/>
    </xf>
    <xf numFmtId="2" fontId="3" fillId="5" borderId="0" xfId="0" applyNumberFormat="1" applyFont="1" applyFill="1" applyBorder="1" applyAlignment="1" applyProtection="1">
      <alignment horizontal="center"/>
    </xf>
    <xf numFmtId="0" fontId="5" fillId="5" borderId="0" xfId="0" applyFont="1" applyFill="1" applyBorder="1" applyAlignment="1" applyProtection="1"/>
    <xf numFmtId="0" fontId="3" fillId="5" borderId="0" xfId="0" applyFont="1" applyFill="1" applyBorder="1" applyAlignment="1" applyProtection="1">
      <alignment horizontal="right"/>
    </xf>
    <xf numFmtId="0" fontId="3" fillId="5" borderId="0" xfId="0" applyFont="1" applyFill="1" applyBorder="1" applyAlignment="1" applyProtection="1">
      <alignment horizontal="left"/>
    </xf>
    <xf numFmtId="164" fontId="3" fillId="5" borderId="0" xfId="0" applyNumberFormat="1" applyFont="1" applyFill="1" applyBorder="1" applyAlignment="1" applyProtection="1">
      <alignment horizontal="center"/>
    </xf>
    <xf numFmtId="0" fontId="17" fillId="5" borderId="0" xfId="1" applyFont="1" applyFill="1" applyBorder="1" applyAlignment="1" applyProtection="1">
      <alignment horizontal="center"/>
    </xf>
    <xf numFmtId="0" fontId="17" fillId="5" borderId="0" xfId="1" applyFont="1" applyFill="1" applyBorder="1" applyProtection="1"/>
    <xf numFmtId="1" fontId="17" fillId="5" borderId="0" xfId="1" applyNumberFormat="1" applyFont="1" applyFill="1" applyBorder="1" applyAlignment="1" applyProtection="1">
      <alignment horizontal="center"/>
    </xf>
    <xf numFmtId="11" fontId="3" fillId="5" borderId="0" xfId="0" applyNumberFormat="1" applyFont="1" applyFill="1" applyBorder="1" applyAlignment="1" applyProtection="1">
      <alignment horizontal="center"/>
    </xf>
    <xf numFmtId="164" fontId="17" fillId="5" borderId="0" xfId="1" applyNumberFormat="1" applyFont="1" applyFill="1" applyBorder="1" applyAlignment="1" applyProtection="1">
      <alignment horizontal="center"/>
    </xf>
    <xf numFmtId="1" fontId="3" fillId="5" borderId="0" xfId="0" applyNumberFormat="1" applyFont="1" applyFill="1" applyBorder="1" applyAlignment="1" applyProtection="1">
      <alignment horizontal="center"/>
    </xf>
    <xf numFmtId="165" fontId="3" fillId="5" borderId="0" xfId="0" applyNumberFormat="1" applyFont="1" applyFill="1" applyBorder="1" applyAlignment="1" applyProtection="1">
      <alignment horizontal="center"/>
    </xf>
    <xf numFmtId="0" fontId="17" fillId="5" borderId="0" xfId="1" applyFont="1" applyFill="1" applyBorder="1" applyAlignment="1" applyProtection="1">
      <alignment horizontal="left"/>
    </xf>
    <xf numFmtId="166" fontId="3" fillId="5" borderId="0" xfId="0" applyNumberFormat="1" applyFont="1" applyFill="1" applyBorder="1" applyAlignment="1" applyProtection="1">
      <alignment horizontal="center"/>
    </xf>
    <xf numFmtId="0" fontId="3" fillId="2" borderId="0" xfId="0" applyFont="1" applyFill="1" applyBorder="1" applyAlignment="1" applyProtection="1">
      <alignment horizontal="left" vertical="top" wrapText="1"/>
    </xf>
    <xf numFmtId="3" fontId="3" fillId="2" borderId="0" xfId="0" applyNumberFormat="1" applyFont="1" applyFill="1" applyBorder="1" applyAlignment="1" applyProtection="1">
      <alignment horizontal="center"/>
    </xf>
    <xf numFmtId="0" fontId="16" fillId="2" borderId="0" xfId="0" applyFont="1" applyFill="1" applyBorder="1" applyAlignment="1" applyProtection="1"/>
    <xf numFmtId="0" fontId="3" fillId="2" borderId="0" xfId="0" applyFont="1" applyFill="1" applyBorder="1" applyAlignment="1" applyProtection="1">
      <alignment horizontal="center"/>
    </xf>
    <xf numFmtId="0" fontId="3" fillId="2" borderId="0" xfId="0" applyFont="1" applyFill="1" applyBorder="1" applyAlignment="1" applyProtection="1">
      <alignment horizontal="left"/>
    </xf>
    <xf numFmtId="0" fontId="17" fillId="5" borderId="0" xfId="1" applyFont="1" applyFill="1" applyBorder="1" applyAlignment="1" applyProtection="1">
      <alignment horizontal="left"/>
    </xf>
    <xf numFmtId="0" fontId="3" fillId="5" borderId="0" xfId="0" applyFont="1" applyFill="1" applyBorder="1" applyAlignment="1" applyProtection="1">
      <alignment horizontal="left"/>
    </xf>
    <xf numFmtId="0" fontId="3" fillId="5" borderId="0" xfId="0" applyFont="1" applyFill="1" applyBorder="1" applyAlignment="1" applyProtection="1">
      <alignment horizontal="left" vertical="top" wrapText="1"/>
    </xf>
    <xf numFmtId="3" fontId="4" fillId="2" borderId="0" xfId="0" applyNumberFormat="1" applyFont="1" applyFill="1" applyBorder="1" applyAlignment="1" applyProtection="1">
      <alignment horizontal="center"/>
    </xf>
    <xf numFmtId="0" fontId="4" fillId="2" borderId="0" xfId="0" applyFont="1" applyFill="1" applyBorder="1" applyAlignment="1" applyProtection="1">
      <alignment horizontal="center"/>
    </xf>
    <xf numFmtId="0" fontId="3" fillId="0" borderId="0" xfId="2" applyFont="1" applyProtection="1"/>
    <xf numFmtId="0" fontId="16" fillId="0" borderId="0" xfId="2" applyProtection="1"/>
    <xf numFmtId="0" fontId="19" fillId="6" borderId="3" xfId="2" applyFont="1" applyFill="1" applyBorder="1" applyAlignment="1" applyProtection="1">
      <alignment horizontal="center"/>
    </xf>
    <xf numFmtId="0" fontId="19" fillId="6" borderId="3" xfId="2" applyFont="1" applyFill="1" applyBorder="1" applyAlignment="1" applyProtection="1">
      <alignment horizontal="left"/>
    </xf>
    <xf numFmtId="0" fontId="3" fillId="0" borderId="3" xfId="2" applyFont="1" applyBorder="1" applyAlignment="1" applyProtection="1">
      <alignment horizontal="center"/>
    </xf>
    <xf numFmtId="14" fontId="3" fillId="0" borderId="3" xfId="2" applyNumberFormat="1" applyFont="1" applyBorder="1" applyAlignment="1" applyProtection="1">
      <alignment horizontal="center"/>
    </xf>
    <xf numFmtId="0" fontId="3" fillId="0" borderId="3" xfId="2" applyFont="1" applyBorder="1" applyProtection="1"/>
    <xf numFmtId="0" fontId="1" fillId="0" borderId="3" xfId="2" applyFont="1" applyBorder="1" applyProtection="1"/>
    <xf numFmtId="0" fontId="3" fillId="0" borderId="0" xfId="2" applyFont="1" applyProtection="1">
      <protection locked="0"/>
    </xf>
    <xf numFmtId="0" fontId="0" fillId="0" borderId="0" xfId="0" applyProtection="1"/>
    <xf numFmtId="0" fontId="3" fillId="0" borderId="0" xfId="0" applyFont="1" applyAlignment="1" applyProtection="1">
      <alignment horizontal="left"/>
      <protection locked="0"/>
    </xf>
    <xf numFmtId="0" fontId="3" fillId="4" borderId="0" xfId="1" applyFont="1" applyFill="1" applyBorder="1" applyAlignment="1" applyProtection="1">
      <alignment horizontal="left" vertical="top" wrapText="1"/>
      <protection locked="0"/>
    </xf>
    <xf numFmtId="0" fontId="3" fillId="4" borderId="0" xfId="0" applyFont="1" applyFill="1" applyBorder="1" applyAlignment="1" applyProtection="1">
      <alignment horizontal="left"/>
      <protection locked="0"/>
    </xf>
    <xf numFmtId="0" fontId="3" fillId="4" borderId="0" xfId="0" applyFont="1" applyFill="1" applyBorder="1" applyAlignment="1" applyProtection="1">
      <alignment horizontal="right"/>
      <protection locked="0"/>
    </xf>
    <xf numFmtId="0" fontId="3" fillId="4" borderId="0" xfId="1" applyFont="1" applyFill="1" applyBorder="1" applyAlignment="1" applyProtection="1">
      <alignment vertical="top" wrapText="1"/>
      <protection locked="0"/>
    </xf>
    <xf numFmtId="0" fontId="3" fillId="4" borderId="0" xfId="1" applyFont="1" applyFill="1" applyBorder="1" applyAlignment="1" applyProtection="1">
      <alignment horizontal="right"/>
      <protection locked="0"/>
    </xf>
    <xf numFmtId="0" fontId="3" fillId="4" borderId="0" xfId="1" applyFont="1" applyFill="1" applyBorder="1" applyAlignment="1" applyProtection="1">
      <alignment wrapText="1"/>
      <protection locked="0"/>
    </xf>
    <xf numFmtId="164" fontId="3" fillId="4" borderId="0" xfId="0" applyNumberFormat="1" applyFont="1" applyFill="1" applyBorder="1" applyAlignment="1" applyProtection="1">
      <alignment horizontal="left"/>
      <protection locked="0"/>
    </xf>
    <xf numFmtId="0" fontId="3" fillId="4" borderId="0" xfId="0" applyFont="1" applyFill="1" applyBorder="1" applyAlignment="1" applyProtection="1">
      <alignment horizontal="left"/>
      <protection locked="0"/>
    </xf>
    <xf numFmtId="11" fontId="3" fillId="0" borderId="0" xfId="0" applyNumberFormat="1" applyFont="1" applyProtection="1">
      <protection locked="0"/>
    </xf>
    <xf numFmtId="0" fontId="3" fillId="4" borderId="0" xfId="0" applyFont="1" applyFill="1" applyBorder="1" applyAlignment="1" applyProtection="1">
      <alignment horizontal="center"/>
      <protection locked="0"/>
    </xf>
    <xf numFmtId="11" fontId="3" fillId="4" borderId="0" xfId="0" quotePrefix="1" applyNumberFormat="1" applyFont="1" applyFill="1" applyBorder="1" applyAlignment="1" applyProtection="1">
      <alignment horizontal="center"/>
      <protection locked="0"/>
    </xf>
    <xf numFmtId="164" fontId="3" fillId="4" borderId="0" xfId="0" applyNumberFormat="1" applyFont="1" applyFill="1" applyBorder="1" applyAlignment="1" applyProtection="1">
      <alignment horizontal="center"/>
      <protection locked="0"/>
    </xf>
    <xf numFmtId="0" fontId="3" fillId="4" borderId="0" xfId="0" quotePrefix="1" applyFont="1" applyFill="1" applyBorder="1" applyAlignment="1" applyProtection="1">
      <alignment horizontal="center"/>
      <protection locked="0"/>
    </xf>
    <xf numFmtId="3" fontId="3" fillId="4" borderId="0" xfId="0" applyNumberFormat="1" applyFont="1" applyFill="1" applyBorder="1" applyAlignment="1" applyProtection="1">
      <alignment horizontal="center"/>
      <protection locked="0"/>
    </xf>
    <xf numFmtId="0" fontId="1" fillId="4" borderId="0" xfId="0" applyFont="1" applyFill="1" applyBorder="1" applyAlignment="1" applyProtection="1">
      <protection locked="0"/>
    </xf>
    <xf numFmtId="0" fontId="3" fillId="4" borderId="0" xfId="1" quotePrefix="1" applyFont="1" applyFill="1" applyBorder="1" applyAlignment="1" applyProtection="1">
      <alignment horizontal="center"/>
      <protection locked="0"/>
    </xf>
    <xf numFmtId="0" fontId="1" fillId="4" borderId="0" xfId="0" applyFont="1" applyFill="1" applyBorder="1" applyAlignment="1" applyProtection="1">
      <alignment horizontal="left"/>
      <protection locked="0"/>
    </xf>
    <xf numFmtId="0" fontId="13" fillId="0" borderId="0" xfId="0" applyFont="1" applyProtection="1">
      <protection locked="0"/>
    </xf>
    <xf numFmtId="0" fontId="3" fillId="0" borderId="0" xfId="0" applyFont="1" applyBorder="1" applyProtection="1">
      <protection locked="0"/>
    </xf>
    <xf numFmtId="0" fontId="3" fillId="4" borderId="0" xfId="1" applyFont="1" applyFill="1" applyBorder="1" applyProtection="1">
      <protection locked="0"/>
    </xf>
    <xf numFmtId="0" fontId="3" fillId="4" borderId="0" xfId="0" applyFont="1" applyFill="1" applyBorder="1" applyAlignment="1" applyProtection="1">
      <alignment wrapText="1"/>
      <protection locked="0"/>
    </xf>
    <xf numFmtId="0" fontId="3" fillId="4" borderId="0" xfId="1" applyFont="1" applyFill="1" applyBorder="1" applyAlignment="1" applyProtection="1">
      <alignment vertical="center" wrapText="1"/>
      <protection locked="0"/>
    </xf>
    <xf numFmtId="0" fontId="3" fillId="4" borderId="0" xfId="0" applyFont="1" applyFill="1" applyBorder="1" applyAlignment="1" applyProtection="1">
      <protection locked="0"/>
    </xf>
    <xf numFmtId="0" fontId="3" fillId="4" borderId="0" xfId="1" quotePrefix="1" applyFont="1" applyFill="1" applyBorder="1" applyAlignment="1" applyProtection="1">
      <alignment horizontal="left"/>
      <protection locked="0"/>
    </xf>
    <xf numFmtId="1" fontId="3" fillId="4" borderId="0" xfId="0" applyNumberFormat="1" applyFont="1" applyFill="1" applyBorder="1" applyProtection="1">
      <protection locked="0"/>
    </xf>
    <xf numFmtId="11" fontId="3" fillId="4" borderId="0" xfId="1" quotePrefix="1" applyNumberFormat="1" applyFont="1" applyFill="1" applyBorder="1" applyAlignment="1" applyProtection="1">
      <alignment horizontal="left"/>
      <protection locked="0"/>
    </xf>
    <xf numFmtId="11" fontId="3" fillId="4" borderId="0" xfId="0" applyNumberFormat="1" applyFont="1" applyFill="1" applyBorder="1" applyProtection="1">
      <protection locked="0"/>
    </xf>
    <xf numFmtId="164" fontId="3" fillId="4" borderId="0" xfId="1" applyNumberFormat="1" applyFont="1" applyFill="1" applyBorder="1" applyAlignment="1" applyProtection="1">
      <alignment horizontal="center"/>
      <protection locked="0"/>
    </xf>
    <xf numFmtId="0" fontId="3" fillId="4" borderId="0" xfId="0" quotePrefix="1" applyFont="1" applyFill="1" applyBorder="1" applyAlignment="1" applyProtection="1">
      <alignment horizontal="left"/>
      <protection locked="0"/>
    </xf>
    <xf numFmtId="167" fontId="3" fillId="4" borderId="0" xfId="0" applyNumberFormat="1" applyFont="1" applyFill="1" applyBorder="1" applyProtection="1">
      <protection locked="0"/>
    </xf>
    <xf numFmtId="0" fontId="3" fillId="4" borderId="0" xfId="1" applyFont="1" applyFill="1" applyBorder="1" applyAlignment="1" applyProtection="1">
      <alignment horizontal="left"/>
      <protection locked="0"/>
    </xf>
    <xf numFmtId="0" fontId="4" fillId="0" borderId="0" xfId="0" applyFont="1" applyFill="1" applyBorder="1" applyProtection="1">
      <protection locked="0"/>
    </xf>
    <xf numFmtId="0" fontId="4" fillId="0" borderId="0" xfId="0" applyFont="1" applyFill="1" applyBorder="1" applyAlignment="1" applyProtection="1">
      <alignment horizontal="center"/>
      <protection locked="0"/>
    </xf>
    <xf numFmtId="0" fontId="4" fillId="0" borderId="0" xfId="0" applyFont="1" applyFill="1" applyBorder="1" applyAlignment="1" applyProtection="1">
      <protection locked="0"/>
    </xf>
    <xf numFmtId="166" fontId="9" fillId="0" borderId="0" xfId="0" applyNumberFormat="1" applyFont="1" applyFill="1" applyBorder="1" applyAlignment="1" applyProtection="1">
      <alignment horizontal="center"/>
      <protection locked="0"/>
    </xf>
    <xf numFmtId="0" fontId="9" fillId="0" borderId="0" xfId="0" applyFont="1" applyFill="1" applyBorder="1" applyAlignment="1" applyProtection="1">
      <alignment horizontal="center"/>
      <protection locked="0"/>
    </xf>
    <xf numFmtId="0" fontId="20" fillId="0" borderId="0" xfId="0" applyFont="1" applyProtection="1"/>
    <xf numFmtId="0" fontId="14" fillId="0" borderId="0" xfId="0" applyFont="1" applyProtection="1"/>
    <xf numFmtId="0" fontId="14" fillId="0" borderId="0" xfId="0" applyFont="1" applyAlignment="1" applyProtection="1">
      <alignment horizontal="left"/>
    </xf>
    <xf numFmtId="0" fontId="3" fillId="5" borderId="0" xfId="1" applyFont="1" applyFill="1" applyBorder="1" applyAlignment="1" applyProtection="1">
      <alignment horizontal="left"/>
    </xf>
    <xf numFmtId="0" fontId="0" fillId="0" borderId="0" xfId="0" applyFont="1" applyAlignment="1" applyProtection="1">
      <alignment horizontal="center" vertical="top"/>
    </xf>
    <xf numFmtId="0" fontId="3" fillId="0" borderId="0" xfId="0" applyFont="1" applyAlignment="1" applyProtection="1">
      <alignment vertical="top" wrapText="1"/>
    </xf>
    <xf numFmtId="0" fontId="3" fillId="0" borderId="0" xfId="0" applyFont="1" applyAlignment="1" applyProtection="1">
      <alignment horizontal="center" vertical="top"/>
    </xf>
    <xf numFmtId="0" fontId="1" fillId="0" borderId="0" xfId="0" applyFont="1" applyProtection="1"/>
    <xf numFmtId="0" fontId="2" fillId="0" borderId="0" xfId="0" applyFont="1" applyAlignment="1" applyProtection="1">
      <alignment horizontal="center" vertical="top" wrapText="1"/>
    </xf>
    <xf numFmtId="0" fontId="21" fillId="0" borderId="0" xfId="0" applyFont="1" applyAlignment="1" applyProtection="1">
      <alignment horizontal="center"/>
    </xf>
    <xf numFmtId="0" fontId="2" fillId="0" borderId="1" xfId="0" applyFont="1" applyBorder="1" applyAlignment="1" applyProtection="1">
      <alignment horizontal="center" vertical="top" wrapText="1"/>
    </xf>
    <xf numFmtId="0" fontId="21" fillId="0" borderId="1" xfId="0" applyFont="1" applyBorder="1" applyAlignment="1" applyProtection="1">
      <alignment horizontal="center"/>
    </xf>
    <xf numFmtId="0" fontId="3" fillId="0" borderId="0" xfId="0" applyFont="1" applyFill="1" applyAlignment="1" applyProtection="1">
      <alignment horizontal="center" vertical="center"/>
    </xf>
    <xf numFmtId="0" fontId="3" fillId="0" borderId="0" xfId="0" applyFont="1" applyFill="1" applyAlignment="1" applyProtection="1">
      <alignment vertical="center" wrapText="1"/>
    </xf>
    <xf numFmtId="0" fontId="3" fillId="0" borderId="0" xfId="0" applyFont="1" applyAlignment="1" applyProtection="1">
      <alignment horizontal="center" vertical="center"/>
    </xf>
    <xf numFmtId="0" fontId="2"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vertical="center" wrapText="1"/>
    </xf>
    <xf numFmtId="0" fontId="3" fillId="0" borderId="0" xfId="0" applyFont="1" applyFill="1" applyAlignment="1" applyProtection="1">
      <alignment vertical="center"/>
    </xf>
    <xf numFmtId="0" fontId="3" fillId="0" borderId="0" xfId="0" applyFont="1" applyFill="1" applyAlignment="1" applyProtection="1">
      <alignment horizontal="left" vertical="center"/>
    </xf>
    <xf numFmtId="0" fontId="3" fillId="7" borderId="0" xfId="0" applyFont="1" applyFill="1" applyBorder="1" applyAlignment="1" applyProtection="1">
      <alignment horizontal="right"/>
      <protection locked="0"/>
    </xf>
  </cellXfs>
  <cellStyles count="5">
    <cellStyle name="Check Cell" xfId="1" builtinId="23"/>
    <cellStyle name="Comma 2" xfId="3"/>
    <cellStyle name="Excel Built-in Normal" xfId="4"/>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cols>
    <col min="1" max="2" width="9.140625" style="69"/>
    <col min="3" max="3" width="26" style="69" customWidth="1"/>
    <col min="4" max="16384" width="9.140625" style="69"/>
  </cols>
  <sheetData>
    <row r="1" spans="1:3">
      <c r="A1" s="60" t="s">
        <v>162</v>
      </c>
      <c r="B1" s="61"/>
      <c r="C1" s="61"/>
    </row>
    <row r="4" spans="1:3">
      <c r="A4" s="62" t="s">
        <v>163</v>
      </c>
      <c r="B4" s="62" t="s">
        <v>164</v>
      </c>
      <c r="C4" s="63" t="s">
        <v>165</v>
      </c>
    </row>
    <row r="5" spans="1:3">
      <c r="A5" s="64">
        <v>0</v>
      </c>
      <c r="B5" s="65">
        <v>42826</v>
      </c>
      <c r="C5" s="66" t="s">
        <v>166</v>
      </c>
    </row>
    <row r="6" spans="1:3">
      <c r="A6" s="66"/>
      <c r="B6" s="66"/>
      <c r="C6" s="66"/>
    </row>
    <row r="7" spans="1:3">
      <c r="A7" s="67"/>
      <c r="B7" s="67"/>
      <c r="C7" s="67"/>
    </row>
  </sheetData>
  <sheetProtection password="E156"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tabSelected="1" workbookViewId="0">
      <selection activeCell="C25" sqref="C25"/>
    </sheetView>
  </sheetViews>
  <sheetFormatPr defaultColWidth="9.140625" defaultRowHeight="15"/>
  <cols>
    <col min="1" max="1" width="6.7109375" style="113" bestFit="1" customWidth="1"/>
    <col min="2" max="2" width="2" style="111" bestFit="1" customWidth="1"/>
    <col min="3" max="3" width="36.42578125" style="112" bestFit="1" customWidth="1"/>
    <col min="4" max="4" width="9.140625" style="2"/>
    <col min="5" max="5" width="6.7109375" style="113" bestFit="1" customWidth="1"/>
    <col min="6" max="6" width="2" style="111" bestFit="1" customWidth="1"/>
    <col min="7" max="7" width="36.42578125" style="112" bestFit="1" customWidth="1"/>
    <col min="8" max="16384" width="9.140625" style="114"/>
  </cols>
  <sheetData>
    <row r="1" spans="1:7">
      <c r="A1" s="60" t="s">
        <v>162</v>
      </c>
    </row>
    <row r="5" spans="1:7" s="2" customFormat="1">
      <c r="A5" s="115" t="s">
        <v>3</v>
      </c>
      <c r="B5" s="116"/>
      <c r="C5" s="116"/>
      <c r="D5" s="116"/>
      <c r="E5" s="116"/>
      <c r="F5" s="116"/>
      <c r="G5" s="116"/>
    </row>
    <row r="6" spans="1:7" s="2" customFormat="1" ht="15.75" thickBot="1">
      <c r="A6" s="117" t="s">
        <v>0</v>
      </c>
      <c r="B6" s="118"/>
      <c r="C6" s="118"/>
      <c r="D6" s="118"/>
      <c r="E6" s="118"/>
      <c r="F6" s="118"/>
      <c r="G6" s="118"/>
    </row>
    <row r="7" spans="1:7" ht="20.25" customHeight="1">
      <c r="A7" s="119" t="s">
        <v>77</v>
      </c>
      <c r="B7" s="119" t="s">
        <v>1</v>
      </c>
      <c r="C7" s="120" t="s">
        <v>155</v>
      </c>
      <c r="D7" s="121"/>
      <c r="E7" s="122" t="s">
        <v>7</v>
      </c>
      <c r="F7" s="122"/>
      <c r="G7" s="122"/>
    </row>
    <row r="8" spans="1:7" ht="15" customHeight="1">
      <c r="A8" s="119" t="s">
        <v>91</v>
      </c>
      <c r="B8" s="119" t="s">
        <v>1</v>
      </c>
      <c r="C8" s="120" t="s">
        <v>196</v>
      </c>
      <c r="D8" s="123"/>
      <c r="E8" s="121" t="s">
        <v>182</v>
      </c>
      <c r="F8" s="121" t="s">
        <v>1</v>
      </c>
      <c r="G8" s="124" t="s">
        <v>188</v>
      </c>
    </row>
    <row r="9" spans="1:7" ht="15" customHeight="1">
      <c r="A9" s="119" t="s">
        <v>4</v>
      </c>
      <c r="B9" s="119" t="s">
        <v>1</v>
      </c>
      <c r="C9" s="120" t="s">
        <v>8</v>
      </c>
      <c r="D9" s="123"/>
      <c r="E9" s="113" t="s">
        <v>181</v>
      </c>
      <c r="F9" s="121" t="s">
        <v>1</v>
      </c>
      <c r="G9" s="112" t="s">
        <v>189</v>
      </c>
    </row>
    <row r="10" spans="1:7" ht="15" customHeight="1">
      <c r="A10" s="119" t="s">
        <v>173</v>
      </c>
      <c r="B10" s="119" t="s">
        <v>1</v>
      </c>
      <c r="C10" s="120" t="s">
        <v>174</v>
      </c>
      <c r="D10" s="123"/>
      <c r="E10" s="121" t="s">
        <v>175</v>
      </c>
      <c r="F10" s="121" t="s">
        <v>1</v>
      </c>
      <c r="G10" s="124" t="s">
        <v>176</v>
      </c>
    </row>
    <row r="11" spans="1:7" ht="15" customHeight="1">
      <c r="A11" s="119" t="s">
        <v>79</v>
      </c>
      <c r="B11" s="119" t="s">
        <v>1</v>
      </c>
      <c r="C11" s="125" t="s">
        <v>149</v>
      </c>
      <c r="D11" s="123"/>
      <c r="E11" s="121" t="s">
        <v>183</v>
      </c>
      <c r="F11" s="121" t="s">
        <v>1</v>
      </c>
      <c r="G11" s="124" t="s">
        <v>190</v>
      </c>
    </row>
    <row r="12" spans="1:7" ht="15" customHeight="1">
      <c r="A12" s="119" t="s">
        <v>5</v>
      </c>
      <c r="B12" s="119" t="s">
        <v>1</v>
      </c>
      <c r="C12" s="120" t="s">
        <v>9</v>
      </c>
      <c r="D12" s="123"/>
      <c r="E12" s="121" t="s">
        <v>80</v>
      </c>
      <c r="F12" s="121" t="s">
        <v>1</v>
      </c>
      <c r="G12" s="124" t="s">
        <v>191</v>
      </c>
    </row>
    <row r="13" spans="1:7" ht="15" customHeight="1">
      <c r="A13" s="119" t="s">
        <v>148</v>
      </c>
      <c r="B13" s="119" t="s">
        <v>1</v>
      </c>
      <c r="C13" s="120" t="s">
        <v>197</v>
      </c>
      <c r="D13" s="123"/>
      <c r="E13" s="121" t="s">
        <v>184</v>
      </c>
      <c r="F13" s="121" t="s">
        <v>1</v>
      </c>
      <c r="G13" s="124" t="s">
        <v>192</v>
      </c>
    </row>
    <row r="14" spans="1:7" ht="15" customHeight="1">
      <c r="A14" s="119" t="s">
        <v>6</v>
      </c>
      <c r="B14" s="119" t="s">
        <v>1</v>
      </c>
      <c r="C14" s="120" t="s">
        <v>10</v>
      </c>
      <c r="D14" s="123"/>
      <c r="E14" s="121" t="s">
        <v>185</v>
      </c>
      <c r="F14" s="121" t="s">
        <v>1</v>
      </c>
      <c r="G14" s="124" t="s">
        <v>195</v>
      </c>
    </row>
    <row r="15" spans="1:7" ht="15" customHeight="1">
      <c r="A15" s="119" t="s">
        <v>78</v>
      </c>
      <c r="B15" s="119" t="s">
        <v>1</v>
      </c>
      <c r="C15" s="126" t="s">
        <v>147</v>
      </c>
      <c r="D15" s="123"/>
      <c r="E15" s="121" t="s">
        <v>186</v>
      </c>
      <c r="F15" s="121" t="s">
        <v>1</v>
      </c>
      <c r="G15" s="123" t="s">
        <v>194</v>
      </c>
    </row>
    <row r="16" spans="1:7" ht="15" customHeight="1">
      <c r="A16" s="119" t="s">
        <v>122</v>
      </c>
      <c r="B16" s="125" t="s">
        <v>121</v>
      </c>
      <c r="C16" s="120" t="s">
        <v>167</v>
      </c>
      <c r="D16" s="123"/>
      <c r="E16" s="121" t="s">
        <v>187</v>
      </c>
      <c r="F16" s="121" t="s">
        <v>1</v>
      </c>
      <c r="G16" s="123" t="s">
        <v>193</v>
      </c>
    </row>
    <row r="17" spans="1:7" ht="15" customHeight="1">
      <c r="A17" s="119" t="s">
        <v>123</v>
      </c>
      <c r="B17" s="125" t="s">
        <v>121</v>
      </c>
      <c r="C17" s="120" t="s">
        <v>168</v>
      </c>
      <c r="D17" s="123"/>
      <c r="E17" s="114"/>
      <c r="F17" s="114"/>
      <c r="G17" s="114"/>
    </row>
    <row r="18" spans="1:7" ht="15" customHeight="1">
      <c r="A18" s="114"/>
      <c r="B18" s="114"/>
      <c r="C18" s="114"/>
      <c r="D18" s="123"/>
      <c r="E18" s="114"/>
      <c r="F18" s="114"/>
      <c r="G18" s="114"/>
    </row>
    <row r="19" spans="1:7" ht="15" customHeight="1">
      <c r="A19" s="119"/>
      <c r="B19" s="119"/>
      <c r="C19" s="120"/>
      <c r="D19" s="123"/>
      <c r="E19" s="114"/>
      <c r="F19" s="114"/>
      <c r="G19" s="114"/>
    </row>
    <row r="20" spans="1:7" ht="15" customHeight="1">
      <c r="A20" s="119"/>
      <c r="B20" s="119"/>
      <c r="C20" s="120"/>
      <c r="D20" s="123"/>
      <c r="E20" s="114"/>
      <c r="F20" s="114"/>
      <c r="G20" s="114"/>
    </row>
    <row r="21" spans="1:7" ht="15" customHeight="1">
      <c r="A21" s="119"/>
      <c r="B21" s="119"/>
      <c r="C21" s="120"/>
      <c r="D21" s="123"/>
      <c r="E21" s="114"/>
      <c r="F21" s="114"/>
      <c r="G21" s="114"/>
    </row>
    <row r="22" spans="1:7" ht="15" customHeight="1">
      <c r="A22" s="114"/>
      <c r="B22" s="114"/>
      <c r="C22" s="114"/>
      <c r="D22" s="123"/>
      <c r="E22" s="122"/>
      <c r="F22" s="122"/>
      <c r="G22" s="122"/>
    </row>
    <row r="23" spans="1:7">
      <c r="A23" s="114"/>
      <c r="B23" s="114"/>
      <c r="C23" s="114"/>
      <c r="E23" s="2"/>
      <c r="F23" s="2"/>
      <c r="G23" s="2"/>
    </row>
    <row r="24" spans="1:7">
      <c r="A24" s="114"/>
      <c r="B24" s="114"/>
      <c r="C24" s="114"/>
      <c r="F24" s="113"/>
    </row>
    <row r="25" spans="1:7">
      <c r="B25" s="113"/>
    </row>
    <row r="26" spans="1:7">
      <c r="B26" s="113"/>
    </row>
    <row r="27" spans="1:7">
      <c r="A27" s="114"/>
      <c r="B27" s="114"/>
      <c r="C27" s="112" t="s">
        <v>88</v>
      </c>
      <c r="D27" s="114"/>
      <c r="E27" s="114"/>
      <c r="F27" s="114"/>
      <c r="G27" s="114"/>
    </row>
  </sheetData>
  <sheetProtection password="E156" sheet="1" objects="1" scenarios="1"/>
  <mergeCells count="2">
    <mergeCell ref="A5:G5"/>
    <mergeCell ref="A6:G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9"/>
  <sheetViews>
    <sheetView zoomScaleNormal="100" workbookViewId="0">
      <selection activeCell="E3" sqref="E3"/>
    </sheetView>
  </sheetViews>
  <sheetFormatPr defaultColWidth="9.140625" defaultRowHeight="15"/>
  <cols>
    <col min="1" max="1" width="20.5703125" style="18" bestFit="1" customWidth="1"/>
    <col min="2" max="2" width="9.140625" style="17"/>
    <col min="3" max="3" width="17.7109375" style="17" bestFit="1" customWidth="1"/>
    <col min="4" max="4" width="10.28515625" style="70" bestFit="1" customWidth="1"/>
    <col min="5" max="5" width="9.140625" style="18"/>
    <col min="6" max="6" width="11" style="17" bestFit="1" customWidth="1"/>
    <col min="7" max="7" width="11.7109375" style="70" bestFit="1" customWidth="1"/>
    <col min="8" max="8" width="9.140625" style="18"/>
    <col min="9" max="9" width="22.140625" style="18" customWidth="1"/>
    <col min="10" max="10" width="9.140625" style="17"/>
    <col min="11" max="11" width="17.7109375" style="17" bestFit="1" customWidth="1"/>
    <col min="12" max="12" width="11.85546875" style="18" customWidth="1"/>
    <col min="13" max="13" width="9.140625" style="18"/>
    <col min="14" max="14" width="11.28515625" style="18" customWidth="1"/>
    <col min="15" max="15" width="11.7109375" style="18" bestFit="1" customWidth="1"/>
    <col min="16" max="16384" width="9.140625" style="18"/>
  </cols>
  <sheetData>
    <row r="1" spans="1:15">
      <c r="A1" s="68" t="s">
        <v>162</v>
      </c>
    </row>
    <row r="5" spans="1:15" ht="54" customHeight="1">
      <c r="A5" s="50" t="s">
        <v>160</v>
      </c>
      <c r="B5" s="50"/>
      <c r="C5" s="50"/>
      <c r="D5" s="50"/>
      <c r="E5" s="50"/>
      <c r="F5" s="19"/>
      <c r="G5" s="20"/>
      <c r="I5" s="71" t="str">
        <f>CONCATENATE("Application 21-1 -- ",K10," gallons of amine solution with a pH of ", K9," is to be neutralized by the addition of hydrochloric acid (HCl).  How many pound of pure HCl will be required?")</f>
        <v>Application 21-1 -- 5000 gallons of amine solution with a pH of 12 is to be neutralized by the addition of hydrochloric acid (HCl).  How many pound of pure HCl will be required?</v>
      </c>
      <c r="J5" s="71"/>
      <c r="K5" s="71"/>
      <c r="L5" s="71"/>
      <c r="M5" s="71"/>
      <c r="N5" s="22"/>
      <c r="O5" s="72"/>
    </row>
    <row r="6" spans="1:15">
      <c r="A6" s="3"/>
      <c r="B6" s="19"/>
      <c r="C6" s="19"/>
      <c r="D6" s="20"/>
      <c r="E6" s="3"/>
      <c r="F6" s="19"/>
      <c r="G6" s="20"/>
      <c r="I6" s="24"/>
      <c r="J6" s="22"/>
      <c r="K6" s="22"/>
      <c r="L6" s="72"/>
      <c r="M6" s="24"/>
      <c r="N6" s="22"/>
      <c r="O6" s="72"/>
    </row>
    <row r="7" spans="1:15">
      <c r="A7" s="3" t="s">
        <v>11</v>
      </c>
      <c r="B7" s="19"/>
      <c r="C7" s="19"/>
      <c r="D7" s="20"/>
      <c r="E7" s="3"/>
      <c r="F7" s="19"/>
      <c r="G7" s="20"/>
      <c r="I7" s="24" t="s">
        <v>11</v>
      </c>
      <c r="J7" s="22"/>
      <c r="K7" s="22"/>
      <c r="L7" s="72"/>
      <c r="M7" s="24"/>
      <c r="N7" s="22"/>
      <c r="O7" s="72"/>
    </row>
    <row r="8" spans="1:15">
      <c r="A8" s="3"/>
      <c r="B8" s="19"/>
      <c r="C8" s="19"/>
      <c r="D8" s="20"/>
      <c r="E8" s="3"/>
      <c r="F8" s="19"/>
      <c r="G8" s="20"/>
      <c r="I8" s="24"/>
      <c r="J8" s="22"/>
      <c r="K8" s="22"/>
      <c r="L8" s="72"/>
      <c r="M8" s="24"/>
      <c r="N8" s="22"/>
      <c r="O8" s="72"/>
    </row>
    <row r="9" spans="1:15">
      <c r="A9" s="5" t="s">
        <v>6</v>
      </c>
      <c r="B9" s="19" t="s">
        <v>1</v>
      </c>
      <c r="C9" s="19">
        <v>12</v>
      </c>
      <c r="D9" s="20"/>
      <c r="E9" s="3"/>
      <c r="F9" s="19"/>
      <c r="G9" s="20"/>
      <c r="I9" s="73" t="s">
        <v>6</v>
      </c>
      <c r="J9" s="22" t="s">
        <v>1</v>
      </c>
      <c r="K9" s="31">
        <v>12</v>
      </c>
      <c r="L9" s="72"/>
      <c r="M9" s="74" t="s">
        <v>150</v>
      </c>
      <c r="N9" s="74"/>
      <c r="O9" s="74"/>
    </row>
    <row r="10" spans="1:15">
      <c r="A10" s="5" t="s">
        <v>139</v>
      </c>
      <c r="B10" s="19" t="s">
        <v>1</v>
      </c>
      <c r="C10" s="19">
        <v>5000</v>
      </c>
      <c r="D10" s="20" t="s">
        <v>13</v>
      </c>
      <c r="E10" s="3"/>
      <c r="F10" s="19"/>
      <c r="G10" s="20"/>
      <c r="I10" s="75" t="s">
        <v>139</v>
      </c>
      <c r="J10" s="22" t="s">
        <v>1</v>
      </c>
      <c r="K10" s="22">
        <v>5000</v>
      </c>
      <c r="L10" s="72" t="s">
        <v>13</v>
      </c>
      <c r="M10" s="74"/>
      <c r="N10" s="74"/>
      <c r="O10" s="74"/>
    </row>
    <row r="11" spans="1:15" ht="18.75">
      <c r="A11" s="5" t="s">
        <v>71</v>
      </c>
      <c r="B11" s="19" t="s">
        <v>1</v>
      </c>
      <c r="C11" s="26">
        <v>0.01</v>
      </c>
      <c r="D11" s="20" t="s">
        <v>73</v>
      </c>
      <c r="E11" s="3"/>
      <c r="F11" s="19"/>
      <c r="G11" s="20"/>
      <c r="I11" s="75" t="str">
        <f>CONCATENATE("OHconc- for pH ",K9)</f>
        <v>OHconc- for pH 12</v>
      </c>
      <c r="J11" s="22" t="s">
        <v>1</v>
      </c>
      <c r="K11" s="32">
        <f>10^-(14-K9)</f>
        <v>0.01</v>
      </c>
      <c r="L11" s="72" t="s">
        <v>73</v>
      </c>
      <c r="M11" s="74"/>
      <c r="N11" s="74"/>
      <c r="O11" s="74"/>
    </row>
    <row r="12" spans="1:15" ht="18.75">
      <c r="A12" s="5" t="s">
        <v>72</v>
      </c>
      <c r="B12" s="19" t="s">
        <v>1</v>
      </c>
      <c r="C12" s="26">
        <v>9.9999999999999995E-8</v>
      </c>
      <c r="D12" s="20" t="s">
        <v>73</v>
      </c>
      <c r="E12" s="3"/>
      <c r="F12" s="19"/>
      <c r="G12" s="20"/>
      <c r="I12" s="73" t="s">
        <v>72</v>
      </c>
      <c r="J12" s="22" t="s">
        <v>1</v>
      </c>
      <c r="K12" s="25">
        <v>9.9999999999999995E-8</v>
      </c>
      <c r="L12" s="72" t="s">
        <v>73</v>
      </c>
      <c r="M12" s="74"/>
      <c r="N12" s="74"/>
      <c r="O12" s="74"/>
    </row>
    <row r="13" spans="1:15" ht="16.5">
      <c r="A13" s="5" t="s">
        <v>70</v>
      </c>
      <c r="B13" s="19" t="s">
        <v>1</v>
      </c>
      <c r="C13" s="19">
        <v>36.5</v>
      </c>
      <c r="D13" s="20" t="s">
        <v>75</v>
      </c>
      <c r="E13" s="3"/>
      <c r="F13" s="19"/>
      <c r="G13" s="20"/>
      <c r="I13" s="73" t="s">
        <v>70</v>
      </c>
      <c r="J13" s="22" t="s">
        <v>1</v>
      </c>
      <c r="K13" s="22">
        <v>36.5</v>
      </c>
      <c r="L13" s="72" t="s">
        <v>75</v>
      </c>
      <c r="M13" s="74"/>
      <c r="N13" s="74"/>
      <c r="O13" s="74"/>
    </row>
    <row r="14" spans="1:15">
      <c r="A14" s="3"/>
      <c r="B14" s="19"/>
      <c r="C14" s="19"/>
      <c r="D14" s="20"/>
      <c r="E14" s="3"/>
      <c r="F14" s="19"/>
      <c r="G14" s="20"/>
      <c r="I14" s="24"/>
      <c r="J14" s="22"/>
      <c r="K14" s="22"/>
      <c r="L14" s="72"/>
      <c r="M14" s="76"/>
      <c r="N14" s="76"/>
      <c r="O14" s="76"/>
    </row>
    <row r="15" spans="1:15" ht="41.25" customHeight="1">
      <c r="A15" s="3" t="s">
        <v>60</v>
      </c>
      <c r="B15" s="19"/>
      <c r="C15" s="19"/>
      <c r="D15" s="20"/>
      <c r="E15" s="3"/>
      <c r="F15" s="19"/>
      <c r="G15" s="20"/>
      <c r="I15" s="24" t="s">
        <v>60</v>
      </c>
      <c r="J15" s="22"/>
      <c r="K15" s="22"/>
      <c r="L15" s="72"/>
      <c r="M15" s="76"/>
      <c r="N15" s="76"/>
      <c r="O15" s="76"/>
    </row>
    <row r="16" spans="1:15">
      <c r="A16" s="3"/>
      <c r="B16" s="19"/>
      <c r="C16" s="19"/>
      <c r="D16" s="20"/>
      <c r="E16" s="3"/>
      <c r="F16" s="19"/>
      <c r="G16" s="6"/>
      <c r="I16" s="24"/>
      <c r="J16" s="22"/>
      <c r="K16" s="22"/>
      <c r="L16" s="72"/>
      <c r="M16" s="24"/>
      <c r="N16" s="22"/>
      <c r="O16" s="77"/>
    </row>
    <row r="17" spans="1:18">
      <c r="A17" s="5" t="s">
        <v>61</v>
      </c>
      <c r="B17" s="19" t="s">
        <v>1</v>
      </c>
      <c r="C17" s="19">
        <v>3.79</v>
      </c>
      <c r="D17" s="20" t="s">
        <v>2</v>
      </c>
      <c r="E17" s="3"/>
      <c r="F17" s="19"/>
      <c r="G17" s="20"/>
      <c r="I17" s="73" t="s">
        <v>61</v>
      </c>
      <c r="J17" s="22" t="s">
        <v>1</v>
      </c>
      <c r="K17" s="22">
        <v>3.79</v>
      </c>
      <c r="L17" s="72" t="s">
        <v>2</v>
      </c>
      <c r="M17" s="24"/>
      <c r="N17" s="22"/>
      <c r="O17" s="72"/>
    </row>
    <row r="18" spans="1:18">
      <c r="A18" s="5" t="s">
        <v>62</v>
      </c>
      <c r="B18" s="19" t="s">
        <v>1</v>
      </c>
      <c r="C18" s="19">
        <v>454</v>
      </c>
      <c r="D18" s="20" t="s">
        <v>68</v>
      </c>
      <c r="E18" s="3"/>
      <c r="F18" s="19"/>
      <c r="G18" s="20"/>
      <c r="I18" s="73" t="s">
        <v>62</v>
      </c>
      <c r="J18" s="22" t="s">
        <v>1</v>
      </c>
      <c r="K18" s="22">
        <v>454</v>
      </c>
      <c r="L18" s="72" t="s">
        <v>68</v>
      </c>
      <c r="M18" s="24"/>
      <c r="N18" s="22"/>
      <c r="O18" s="72"/>
    </row>
    <row r="19" spans="1:18">
      <c r="A19" s="3"/>
      <c r="B19" s="19"/>
      <c r="C19" s="19"/>
      <c r="D19" s="20"/>
      <c r="E19" s="3"/>
      <c r="F19" s="19"/>
      <c r="G19" s="20"/>
      <c r="I19" s="24"/>
      <c r="J19" s="22"/>
      <c r="K19" s="22"/>
      <c r="L19" s="72"/>
      <c r="M19" s="24"/>
      <c r="N19" s="22"/>
      <c r="O19" s="72"/>
    </row>
    <row r="20" spans="1:18">
      <c r="A20" s="54" t="s">
        <v>63</v>
      </c>
      <c r="B20" s="54"/>
      <c r="C20" s="54"/>
      <c r="D20" s="20"/>
      <c r="E20" s="3"/>
      <c r="F20" s="19"/>
      <c r="G20" s="6"/>
      <c r="I20" s="78" t="s">
        <v>63</v>
      </c>
      <c r="J20" s="78"/>
      <c r="K20" s="78"/>
      <c r="L20" s="72"/>
      <c r="M20" s="24"/>
      <c r="N20" s="22"/>
      <c r="O20" s="77"/>
      <c r="R20" s="79"/>
    </row>
    <row r="21" spans="1:18">
      <c r="A21" s="3"/>
      <c r="B21" s="19"/>
      <c r="C21" s="19"/>
      <c r="D21" s="20"/>
      <c r="E21" s="3"/>
      <c r="F21" s="19"/>
      <c r="G21" s="6"/>
      <c r="I21" s="24"/>
      <c r="J21" s="22"/>
      <c r="K21" s="22"/>
      <c r="L21" s="72"/>
      <c r="M21" s="24"/>
      <c r="N21" s="22"/>
      <c r="O21" s="77"/>
    </row>
    <row r="22" spans="1:18" ht="18.75">
      <c r="A22" s="5" t="s">
        <v>76</v>
      </c>
      <c r="B22" s="19" t="s">
        <v>1</v>
      </c>
      <c r="C22" s="53" t="s">
        <v>64</v>
      </c>
      <c r="D22" s="53"/>
      <c r="E22" s="3"/>
      <c r="F22" s="19"/>
      <c r="G22" s="6"/>
      <c r="I22" s="73" t="s">
        <v>76</v>
      </c>
      <c r="J22" s="22" t="s">
        <v>1</v>
      </c>
      <c r="K22" s="80" t="s">
        <v>158</v>
      </c>
      <c r="L22" s="80"/>
      <c r="M22" s="24"/>
      <c r="N22" s="22"/>
      <c r="O22" s="77"/>
    </row>
    <row r="23" spans="1:18">
      <c r="A23" s="3"/>
      <c r="B23" s="19"/>
      <c r="C23" s="19"/>
      <c r="D23" s="20"/>
      <c r="E23" s="3"/>
      <c r="F23" s="19"/>
      <c r="G23" s="20"/>
      <c r="I23" s="24"/>
      <c r="J23" s="22"/>
      <c r="K23" s="22"/>
      <c r="L23" s="72"/>
      <c r="M23" s="24"/>
      <c r="N23" s="22"/>
      <c r="O23" s="72"/>
    </row>
    <row r="24" spans="1:18">
      <c r="A24" s="3"/>
      <c r="B24" s="19"/>
      <c r="C24" s="19"/>
      <c r="D24" s="20"/>
      <c r="E24" s="3"/>
      <c r="F24" s="19"/>
      <c r="G24" s="20"/>
      <c r="I24" s="24"/>
      <c r="J24" s="22"/>
      <c r="K24" s="22"/>
      <c r="L24" s="72"/>
      <c r="M24" s="24"/>
      <c r="N24" s="22"/>
      <c r="O24" s="72"/>
    </row>
    <row r="25" spans="1:18" ht="18">
      <c r="A25" s="5" t="s">
        <v>157</v>
      </c>
      <c r="B25" s="19" t="s">
        <v>1</v>
      </c>
      <c r="C25" s="19" t="s">
        <v>159</v>
      </c>
      <c r="D25" s="20"/>
      <c r="E25" s="19" t="s">
        <v>1</v>
      </c>
      <c r="F25" s="26">
        <f>C11-C12</f>
        <v>9.9999000000000008E-3</v>
      </c>
      <c r="G25" s="6" t="s">
        <v>73</v>
      </c>
      <c r="I25" s="73" t="s">
        <v>157</v>
      </c>
      <c r="J25" s="22" t="s">
        <v>1</v>
      </c>
      <c r="K25" s="81" t="s">
        <v>129</v>
      </c>
      <c r="L25" s="72"/>
      <c r="M25" s="22" t="s">
        <v>1</v>
      </c>
      <c r="N25" s="25">
        <f>K11-K12</f>
        <v>9.9999000000000008E-3</v>
      </c>
      <c r="O25" s="77" t="s">
        <v>73</v>
      </c>
    </row>
    <row r="26" spans="1:18">
      <c r="A26" s="3"/>
      <c r="B26" s="19"/>
      <c r="C26" s="19"/>
      <c r="D26" s="20"/>
      <c r="E26" s="19"/>
      <c r="F26" s="9"/>
      <c r="G26" s="6"/>
      <c r="I26" s="24"/>
      <c r="J26" s="22"/>
      <c r="K26" s="22"/>
      <c r="L26" s="72"/>
      <c r="M26" s="22"/>
      <c r="N26" s="82"/>
      <c r="O26" s="77"/>
    </row>
    <row r="27" spans="1:18">
      <c r="A27" s="5" t="s">
        <v>2</v>
      </c>
      <c r="B27" s="19" t="s">
        <v>1</v>
      </c>
      <c r="C27" s="19" t="s">
        <v>67</v>
      </c>
      <c r="D27" s="20"/>
      <c r="E27" s="19" t="s">
        <v>1</v>
      </c>
      <c r="F27" s="27">
        <f>C10*C17</f>
        <v>18950</v>
      </c>
      <c r="G27" s="6" t="s">
        <v>2</v>
      </c>
      <c r="I27" s="73" t="s">
        <v>2</v>
      </c>
      <c r="J27" s="22" t="s">
        <v>1</v>
      </c>
      <c r="K27" s="83" t="s">
        <v>130</v>
      </c>
      <c r="L27" s="72"/>
      <c r="M27" s="22" t="s">
        <v>1</v>
      </c>
      <c r="N27" s="25">
        <f>K10*K17</f>
        <v>18950</v>
      </c>
      <c r="O27" s="77" t="s">
        <v>2</v>
      </c>
    </row>
    <row r="28" spans="1:18">
      <c r="A28" s="3"/>
      <c r="B28" s="19"/>
      <c r="C28" s="19"/>
      <c r="D28" s="20"/>
      <c r="E28" s="19"/>
      <c r="F28" s="9"/>
      <c r="G28" s="6"/>
      <c r="I28" s="24"/>
      <c r="J28" s="22"/>
      <c r="K28" s="22"/>
      <c r="L28" s="72"/>
      <c r="M28" s="22"/>
      <c r="N28" s="82"/>
      <c r="O28" s="77"/>
    </row>
    <row r="29" spans="1:18" ht="16.5">
      <c r="A29" s="5" t="s">
        <v>76</v>
      </c>
      <c r="B29" s="19" t="s">
        <v>1</v>
      </c>
      <c r="C29" s="19" t="s">
        <v>69</v>
      </c>
      <c r="D29" s="20"/>
      <c r="E29" s="19" t="s">
        <v>1</v>
      </c>
      <c r="F29" s="28">
        <f>ROUND(F27*F25,-1)</f>
        <v>190</v>
      </c>
      <c r="G29" s="6" t="s">
        <v>74</v>
      </c>
      <c r="I29" s="73" t="s">
        <v>76</v>
      </c>
      <c r="J29" s="22" t="s">
        <v>1</v>
      </c>
      <c r="K29" s="81" t="s">
        <v>131</v>
      </c>
      <c r="L29" s="72"/>
      <c r="M29" s="22" t="s">
        <v>1</v>
      </c>
      <c r="N29" s="23">
        <f>ROUND(N27*N25,-1)</f>
        <v>190</v>
      </c>
      <c r="O29" s="77" t="s">
        <v>74</v>
      </c>
    </row>
    <row r="30" spans="1:18">
      <c r="A30" s="3"/>
      <c r="B30" s="19"/>
      <c r="C30" s="19"/>
      <c r="D30" s="20"/>
      <c r="E30" s="19"/>
      <c r="F30" s="9"/>
      <c r="G30" s="6"/>
      <c r="I30" s="24"/>
      <c r="J30" s="22"/>
      <c r="K30" s="22"/>
      <c r="L30" s="72"/>
      <c r="M30" s="22"/>
      <c r="N30" s="82"/>
      <c r="O30" s="77"/>
    </row>
    <row r="31" spans="1:18">
      <c r="A31" s="20" t="s">
        <v>65</v>
      </c>
      <c r="B31" s="19"/>
      <c r="C31" s="51"/>
      <c r="D31" s="52"/>
      <c r="E31" s="19"/>
      <c r="F31" s="9"/>
      <c r="G31" s="6"/>
      <c r="I31" s="24" t="s">
        <v>65</v>
      </c>
      <c r="J31" s="22"/>
      <c r="K31" s="84"/>
      <c r="L31" s="85"/>
      <c r="M31" s="22"/>
      <c r="N31" s="82"/>
      <c r="O31" s="77"/>
    </row>
    <row r="32" spans="1:18" ht="16.5">
      <c r="A32" s="5" t="s">
        <v>76</v>
      </c>
      <c r="B32" s="19" t="s">
        <v>1</v>
      </c>
      <c r="C32" s="19" t="s">
        <v>128</v>
      </c>
      <c r="D32" s="29"/>
      <c r="E32" s="19" t="s">
        <v>1</v>
      </c>
      <c r="F32" s="30">
        <f>(F29*C13)/C18</f>
        <v>15.275330396475772</v>
      </c>
      <c r="G32" s="20" t="s">
        <v>118</v>
      </c>
      <c r="I32" s="73" t="s">
        <v>76</v>
      </c>
      <c r="J32" s="22" t="s">
        <v>1</v>
      </c>
      <c r="K32" s="86" t="s">
        <v>138</v>
      </c>
      <c r="L32" s="87"/>
      <c r="M32" s="22" t="s">
        <v>1</v>
      </c>
      <c r="N32" s="23">
        <f>(N29*K13)/K18</f>
        <v>15.275330396475772</v>
      </c>
      <c r="O32" s="72" t="s">
        <v>66</v>
      </c>
    </row>
    <row r="35" spans="1:1">
      <c r="A35" s="88" t="s">
        <v>125</v>
      </c>
    </row>
    <row r="36" spans="1:1">
      <c r="A36" s="88" t="s">
        <v>126</v>
      </c>
    </row>
    <row r="37" spans="1:1">
      <c r="A37" s="88" t="s">
        <v>127</v>
      </c>
    </row>
    <row r="38" spans="1:1">
      <c r="A38" s="88" t="s">
        <v>151</v>
      </c>
    </row>
    <row r="39" spans="1:1">
      <c r="A39" s="88" t="s">
        <v>152</v>
      </c>
    </row>
  </sheetData>
  <sheetProtection password="E156" sheet="1" objects="1" scenarios="1"/>
  <mergeCells count="9">
    <mergeCell ref="A5:E5"/>
    <mergeCell ref="C31:D31"/>
    <mergeCell ref="K31:L31"/>
    <mergeCell ref="C22:D22"/>
    <mergeCell ref="A20:C20"/>
    <mergeCell ref="I5:M5"/>
    <mergeCell ref="I20:K20"/>
    <mergeCell ref="K22:L22"/>
    <mergeCell ref="M9:O15"/>
  </mergeCells>
  <dataValidations count="1">
    <dataValidation type="decimal" showInputMessage="1" showErrorMessage="1" errorTitle="pH outside of range" error="pH must be greater than 7 or less than or equal to 14." promptTitle="pH of solution" prompt="pH must be greater than 7 or less than or equal to 14." sqref="K9">
      <formula1>7</formula1>
      <formula2>14</formula2>
    </dataValidation>
  </dataValidations>
  <pageMargins left="0.7" right="0.7" top="0.75" bottom="0.75" header="0.3" footer="0.3"/>
  <pageSetup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18"/>
  <sheetViews>
    <sheetView zoomScaleNormal="100" workbookViewId="0">
      <selection activeCell="D2" sqref="D2"/>
    </sheetView>
  </sheetViews>
  <sheetFormatPr defaultColWidth="9.140625" defaultRowHeight="15"/>
  <cols>
    <col min="1" max="1" width="26.7109375" style="18" customWidth="1"/>
    <col min="2" max="2" width="9.140625" style="17"/>
    <col min="3" max="3" width="15.140625" style="17" customWidth="1"/>
    <col min="4" max="4" width="12.85546875" style="18" customWidth="1"/>
    <col min="5" max="5" width="9.140625" style="18"/>
    <col min="6" max="6" width="11.42578125" style="18" customWidth="1"/>
    <col min="7" max="7" width="11.7109375" style="17" bestFit="1" customWidth="1"/>
    <col min="8" max="8" width="9.140625" style="18"/>
    <col min="9" max="9" width="26.42578125" style="18" customWidth="1"/>
    <col min="10" max="10" width="9.140625" style="17"/>
    <col min="11" max="11" width="15.140625" style="17" bestFit="1" customWidth="1"/>
    <col min="12" max="12" width="11.85546875" style="18" customWidth="1"/>
    <col min="13" max="13" width="10.42578125" style="18" customWidth="1"/>
    <col min="14" max="14" width="11.42578125" style="18" bestFit="1" customWidth="1"/>
    <col min="15" max="15" width="11.7109375" style="18" bestFit="1" customWidth="1"/>
    <col min="16" max="16384" width="9.140625" style="18"/>
  </cols>
  <sheetData>
    <row r="1" spans="1:16">
      <c r="A1" s="68" t="s">
        <v>162</v>
      </c>
    </row>
    <row r="5" spans="1:16" ht="78.75" customHeight="1">
      <c r="A5" s="57" t="s">
        <v>161</v>
      </c>
      <c r="B5" s="57"/>
      <c r="C5" s="57"/>
      <c r="D5" s="57"/>
      <c r="E5" s="57"/>
      <c r="F5" s="33"/>
      <c r="G5" s="34"/>
      <c r="I5" s="71" t="str">
        <f>CONCATENATE("Application 21-2 -- ",K9," MMscfd of gas available at ",K10," psig and containing ",K11,"% H2S and ",K12,"% CO2 is to be sweetened using ",K13,"%, by weight, DEA solution.  If a conventional DEA system is to be used, what amine circulation rate is required, and what will be the principal parameters for the DEA treating system?")</f>
        <v>Application 21-2 -- 30 MMscfd of gas available at 850 psig and containing 0.6% H2S and 2.8% CO2 is to be sweetened using 20%, by weight, DEA solution.  If a conventional DEA system is to be used, what amine circulation rate is required, and what will be the principal parameters for the DEA treating system?</v>
      </c>
      <c r="J5" s="71"/>
      <c r="K5" s="71"/>
      <c r="L5" s="71"/>
      <c r="M5" s="71"/>
      <c r="N5" s="24"/>
      <c r="O5" s="22"/>
      <c r="P5" s="89"/>
    </row>
    <row r="6" spans="1:16">
      <c r="A6" s="33"/>
      <c r="B6" s="34"/>
      <c r="C6" s="41"/>
      <c r="D6" s="33"/>
      <c r="E6" s="33"/>
      <c r="F6" s="42"/>
      <c r="G6" s="34"/>
      <c r="I6" s="24"/>
      <c r="J6" s="22"/>
      <c r="K6" s="31"/>
      <c r="L6" s="24"/>
      <c r="M6" s="24"/>
      <c r="N6" s="24"/>
      <c r="O6" s="22"/>
      <c r="P6" s="89"/>
    </row>
    <row r="7" spans="1:16">
      <c r="A7" s="33" t="s">
        <v>11</v>
      </c>
      <c r="B7" s="34"/>
      <c r="C7" s="34"/>
      <c r="D7" s="33"/>
      <c r="E7" s="33"/>
      <c r="F7" s="33"/>
      <c r="G7" s="34"/>
      <c r="I7" s="24" t="s">
        <v>11</v>
      </c>
      <c r="J7" s="22"/>
      <c r="K7" s="22"/>
      <c r="L7" s="24"/>
      <c r="M7" s="24"/>
      <c r="N7" s="24"/>
      <c r="O7" s="22"/>
      <c r="P7" s="89"/>
    </row>
    <row r="8" spans="1:16">
      <c r="A8" s="33"/>
      <c r="B8" s="34"/>
      <c r="C8" s="34"/>
      <c r="D8" s="33"/>
      <c r="E8" s="33"/>
      <c r="F8" s="33"/>
      <c r="G8" s="34"/>
      <c r="I8" s="24"/>
      <c r="J8" s="22"/>
      <c r="K8" s="22"/>
      <c r="L8" s="24"/>
      <c r="M8" s="24"/>
      <c r="N8" s="24"/>
      <c r="O8" s="22"/>
      <c r="P8" s="89"/>
    </row>
    <row r="9" spans="1:16">
      <c r="A9" s="33" t="s">
        <v>87</v>
      </c>
      <c r="B9" s="34" t="s">
        <v>1</v>
      </c>
      <c r="C9" s="34">
        <v>30</v>
      </c>
      <c r="D9" s="33" t="s">
        <v>35</v>
      </c>
      <c r="E9" s="33"/>
      <c r="F9" s="33"/>
      <c r="G9" s="34"/>
      <c r="I9" s="90" t="s">
        <v>140</v>
      </c>
      <c r="J9" s="22" t="s">
        <v>1</v>
      </c>
      <c r="K9" s="22">
        <v>30</v>
      </c>
      <c r="L9" s="24" t="s">
        <v>35</v>
      </c>
      <c r="M9" s="24"/>
      <c r="N9" s="24"/>
      <c r="O9" s="22"/>
      <c r="P9" s="89"/>
    </row>
    <row r="10" spans="1:16">
      <c r="A10" s="33" t="s">
        <v>86</v>
      </c>
      <c r="B10" s="34" t="s">
        <v>1</v>
      </c>
      <c r="C10" s="34">
        <v>850</v>
      </c>
      <c r="D10" s="33" t="s">
        <v>34</v>
      </c>
      <c r="E10" s="34" t="s">
        <v>1</v>
      </c>
      <c r="F10" s="33">
        <f>C10+15</f>
        <v>865</v>
      </c>
      <c r="G10" s="34" t="s">
        <v>111</v>
      </c>
      <c r="I10" s="24" t="s">
        <v>86</v>
      </c>
      <c r="J10" s="22" t="s">
        <v>1</v>
      </c>
      <c r="K10" s="22">
        <v>850</v>
      </c>
      <c r="L10" s="24" t="s">
        <v>34</v>
      </c>
      <c r="M10" s="22" t="s">
        <v>1</v>
      </c>
      <c r="N10" s="24">
        <f>K10+15</f>
        <v>865</v>
      </c>
      <c r="O10" s="22" t="s">
        <v>111</v>
      </c>
      <c r="P10" s="89"/>
    </row>
    <row r="11" spans="1:16" ht="16.5">
      <c r="A11" s="33" t="s">
        <v>85</v>
      </c>
      <c r="B11" s="34" t="s">
        <v>1</v>
      </c>
      <c r="C11" s="34">
        <v>0.6</v>
      </c>
      <c r="D11" s="33" t="s">
        <v>37</v>
      </c>
      <c r="E11" s="33"/>
      <c r="F11" s="33"/>
      <c r="G11" s="34"/>
      <c r="I11" s="24" t="s">
        <v>85</v>
      </c>
      <c r="J11" s="22" t="s">
        <v>1</v>
      </c>
      <c r="K11" s="22">
        <v>0.6</v>
      </c>
      <c r="L11" s="24" t="s">
        <v>37</v>
      </c>
      <c r="M11" s="24"/>
      <c r="N11" s="24"/>
      <c r="O11" s="22"/>
      <c r="P11" s="89"/>
    </row>
    <row r="12" spans="1:16" ht="16.5">
      <c r="A12" s="33" t="s">
        <v>84</v>
      </c>
      <c r="B12" s="34" t="s">
        <v>1</v>
      </c>
      <c r="C12" s="34">
        <v>2.8</v>
      </c>
      <c r="D12" s="33" t="s">
        <v>37</v>
      </c>
      <c r="E12" s="33"/>
      <c r="F12" s="33"/>
      <c r="G12" s="34"/>
      <c r="I12" s="24" t="s">
        <v>84</v>
      </c>
      <c r="J12" s="22" t="s">
        <v>1</v>
      </c>
      <c r="K12" s="22">
        <v>2.8</v>
      </c>
      <c r="L12" s="24" t="s">
        <v>37</v>
      </c>
      <c r="M12" s="24"/>
      <c r="N12" s="24"/>
      <c r="O12" s="22"/>
      <c r="P12" s="89"/>
    </row>
    <row r="13" spans="1:16" ht="16.5" customHeight="1">
      <c r="A13" s="35" t="s">
        <v>83</v>
      </c>
      <c r="B13" s="34" t="s">
        <v>1</v>
      </c>
      <c r="C13" s="34">
        <v>20</v>
      </c>
      <c r="D13" s="33" t="s">
        <v>37</v>
      </c>
      <c r="E13" s="33"/>
      <c r="F13" s="33"/>
      <c r="G13" s="34"/>
      <c r="I13" s="91" t="s">
        <v>83</v>
      </c>
      <c r="J13" s="22" t="s">
        <v>1</v>
      </c>
      <c r="K13" s="22">
        <v>20</v>
      </c>
      <c r="L13" s="24" t="s">
        <v>37</v>
      </c>
      <c r="M13" s="24"/>
      <c r="N13" s="24"/>
      <c r="O13" s="22"/>
      <c r="P13" s="89"/>
    </row>
    <row r="14" spans="1:16" ht="15" customHeight="1">
      <c r="A14" s="35" t="s">
        <v>82</v>
      </c>
      <c r="B14" s="34" t="s">
        <v>1</v>
      </c>
      <c r="C14" s="36">
        <f>C11+C12</f>
        <v>3.4</v>
      </c>
      <c r="D14" s="33" t="s">
        <v>37</v>
      </c>
      <c r="E14" s="33"/>
      <c r="F14" s="33"/>
      <c r="G14" s="34"/>
      <c r="I14" s="91" t="s">
        <v>82</v>
      </c>
      <c r="J14" s="22" t="s">
        <v>1</v>
      </c>
      <c r="K14" s="23">
        <f>K12+K11</f>
        <v>3.4</v>
      </c>
      <c r="L14" s="24" t="s">
        <v>37</v>
      </c>
      <c r="M14" s="24"/>
      <c r="N14" s="24"/>
      <c r="O14" s="22"/>
      <c r="P14" s="89"/>
    </row>
    <row r="15" spans="1:16" ht="72.75" customHeight="1">
      <c r="A15" s="33"/>
      <c r="B15" s="34"/>
      <c r="C15" s="34"/>
      <c r="D15" s="33"/>
      <c r="E15" s="33"/>
      <c r="F15" s="33"/>
      <c r="G15" s="34"/>
      <c r="I15" s="92" t="str">
        <f>IF(AND(K14&lt;5,K13&lt;30),"","This method provides conservative (high) estimates of the required circulation rate. This should NOT be used if the combined H2S plus CO2 concentrations in the gas is above 5%. They also are limited to a maximum amine concentration of about 30% by weight.")</f>
        <v/>
      </c>
      <c r="J15" s="92"/>
      <c r="K15" s="92"/>
      <c r="L15" s="92"/>
      <c r="M15" s="92"/>
      <c r="N15" s="92"/>
      <c r="O15" s="92"/>
      <c r="P15" s="89"/>
    </row>
    <row r="16" spans="1:16" ht="15" customHeight="1">
      <c r="A16" s="56" t="s">
        <v>14</v>
      </c>
      <c r="B16" s="56"/>
      <c r="C16" s="56"/>
      <c r="D16" s="37"/>
      <c r="E16" s="33"/>
      <c r="F16" s="33"/>
      <c r="G16" s="34"/>
      <c r="I16" s="78" t="s">
        <v>14</v>
      </c>
      <c r="J16" s="78"/>
      <c r="K16" s="78"/>
      <c r="L16" s="93"/>
      <c r="M16" s="24"/>
      <c r="N16" s="24"/>
      <c r="O16" s="22"/>
      <c r="P16" s="89"/>
    </row>
    <row r="17" spans="1:16">
      <c r="A17" s="33"/>
      <c r="B17" s="34"/>
      <c r="C17" s="34"/>
      <c r="D17" s="33"/>
      <c r="E17" s="33"/>
      <c r="F17" s="33"/>
      <c r="G17" s="34"/>
      <c r="I17" s="24"/>
      <c r="J17" s="22"/>
      <c r="K17" s="22"/>
      <c r="L17" s="24"/>
      <c r="M17" s="24"/>
      <c r="N17" s="24"/>
      <c r="O17" s="22"/>
      <c r="P17" s="89"/>
    </row>
    <row r="18" spans="1:16">
      <c r="A18" s="38" t="s">
        <v>4</v>
      </c>
      <c r="B18" s="34" t="s">
        <v>1</v>
      </c>
      <c r="C18" s="39" t="s">
        <v>36</v>
      </c>
      <c r="D18" s="41" t="s">
        <v>1</v>
      </c>
      <c r="E18" s="43">
        <f>45*(C9*(C14/C13))</f>
        <v>229.49999999999997</v>
      </c>
      <c r="F18" s="40" t="s">
        <v>4</v>
      </c>
      <c r="G18" s="40" t="s">
        <v>89</v>
      </c>
      <c r="I18" s="73" t="s">
        <v>4</v>
      </c>
      <c r="J18" s="22" t="s">
        <v>1</v>
      </c>
      <c r="K18" s="94" t="s">
        <v>141</v>
      </c>
      <c r="L18" s="31" t="s">
        <v>1</v>
      </c>
      <c r="M18" s="95">
        <f>45*(K9*K14/K13)</f>
        <v>229.49999999999997</v>
      </c>
      <c r="N18" s="24" t="s">
        <v>4</v>
      </c>
      <c r="O18" s="82" t="s">
        <v>89</v>
      </c>
      <c r="P18" s="89"/>
    </row>
    <row r="19" spans="1:16">
      <c r="A19" s="33"/>
      <c r="B19" s="34"/>
      <c r="C19" s="34"/>
      <c r="D19" s="33"/>
      <c r="E19" s="33"/>
      <c r="F19" s="33"/>
      <c r="G19" s="34"/>
      <c r="I19" s="24"/>
      <c r="J19" s="22"/>
      <c r="K19" s="22"/>
      <c r="L19" s="24"/>
      <c r="M19" s="24"/>
      <c r="N19" s="24"/>
      <c r="O19" s="22"/>
      <c r="P19" s="89"/>
    </row>
    <row r="20" spans="1:16">
      <c r="A20" s="56" t="s">
        <v>16</v>
      </c>
      <c r="B20" s="56"/>
      <c r="C20" s="56"/>
      <c r="D20" s="33"/>
      <c r="E20" s="33"/>
      <c r="F20" s="33"/>
      <c r="G20" s="34"/>
      <c r="I20" s="78" t="s">
        <v>16</v>
      </c>
      <c r="J20" s="78"/>
      <c r="K20" s="78"/>
      <c r="L20" s="24"/>
      <c r="M20" s="24"/>
      <c r="N20" s="24"/>
      <c r="O20" s="22"/>
      <c r="P20" s="89"/>
    </row>
    <row r="21" spans="1:16">
      <c r="A21" s="33"/>
      <c r="B21" s="34"/>
      <c r="C21" s="34"/>
      <c r="D21" s="33"/>
      <c r="E21" s="33"/>
      <c r="F21" s="33"/>
      <c r="G21" s="34"/>
      <c r="I21" s="24"/>
      <c r="J21" s="22"/>
      <c r="K21" s="22"/>
      <c r="L21" s="24"/>
      <c r="M21" s="24"/>
      <c r="N21" s="24"/>
      <c r="O21" s="22"/>
      <c r="P21" s="89"/>
    </row>
    <row r="22" spans="1:16" ht="16.5">
      <c r="A22" s="38" t="s">
        <v>169</v>
      </c>
      <c r="B22" s="34" t="s">
        <v>1</v>
      </c>
      <c r="C22" s="48" t="s">
        <v>17</v>
      </c>
      <c r="D22" s="34" t="s">
        <v>1</v>
      </c>
      <c r="E22" s="44">
        <f>72000*F77</f>
        <v>16523999.999999998</v>
      </c>
      <c r="F22" s="40" t="s">
        <v>50</v>
      </c>
      <c r="G22" s="45" t="s">
        <v>119</v>
      </c>
      <c r="I22" s="127" t="s">
        <v>169</v>
      </c>
      <c r="J22" s="22" t="s">
        <v>1</v>
      </c>
      <c r="K22" s="96" t="s">
        <v>134</v>
      </c>
      <c r="L22" s="22" t="s">
        <v>1</v>
      </c>
      <c r="M22" s="97">
        <f>72000*M18</f>
        <v>16523999.999999998</v>
      </c>
      <c r="N22" s="24" t="s">
        <v>50</v>
      </c>
      <c r="O22" s="98" t="s">
        <v>119</v>
      </c>
      <c r="P22" s="89"/>
    </row>
    <row r="23" spans="1:16">
      <c r="A23" s="33"/>
      <c r="B23" s="34"/>
      <c r="C23" s="39"/>
      <c r="D23" s="34"/>
      <c r="E23" s="46"/>
      <c r="F23" s="40"/>
      <c r="G23" s="40"/>
      <c r="I23" s="24"/>
      <c r="J23" s="22"/>
      <c r="K23" s="72"/>
      <c r="L23" s="24"/>
      <c r="M23" s="24"/>
      <c r="N23" s="24"/>
      <c r="O23" s="82"/>
      <c r="P23" s="89"/>
    </row>
    <row r="24" spans="1:16" ht="18.75">
      <c r="A24" s="38" t="s">
        <v>41</v>
      </c>
      <c r="B24" s="34" t="s">
        <v>1</v>
      </c>
      <c r="C24" s="39" t="s">
        <v>18</v>
      </c>
      <c r="D24" s="34" t="s">
        <v>1</v>
      </c>
      <c r="E24" s="46">
        <f>ROUND(11.3*F77,-2)</f>
        <v>2600</v>
      </c>
      <c r="F24" s="40" t="s">
        <v>156</v>
      </c>
      <c r="G24" s="45" t="s">
        <v>119</v>
      </c>
      <c r="I24" s="73" t="s">
        <v>41</v>
      </c>
      <c r="J24" s="22" t="s">
        <v>1</v>
      </c>
      <c r="K24" s="99" t="s">
        <v>135</v>
      </c>
      <c r="L24" s="22" t="s">
        <v>1</v>
      </c>
      <c r="M24" s="100">
        <f>ROUND(11.3*M18,-2)</f>
        <v>2600</v>
      </c>
      <c r="N24" s="24" t="s">
        <v>156</v>
      </c>
      <c r="O24" s="98" t="s">
        <v>119</v>
      </c>
      <c r="P24" s="89"/>
    </row>
    <row r="25" spans="1:16">
      <c r="A25" s="33"/>
      <c r="B25" s="34"/>
      <c r="C25" s="39"/>
      <c r="D25" s="33"/>
      <c r="E25" s="33"/>
      <c r="F25" s="33"/>
      <c r="G25" s="40"/>
      <c r="I25" s="24"/>
      <c r="J25" s="22"/>
      <c r="K25" s="72"/>
      <c r="L25" s="24"/>
      <c r="M25" s="24"/>
      <c r="N25" s="24"/>
      <c r="O25" s="82"/>
      <c r="P25" s="89"/>
    </row>
    <row r="26" spans="1:16">
      <c r="A26" s="56" t="s">
        <v>19</v>
      </c>
      <c r="B26" s="56"/>
      <c r="C26" s="56"/>
      <c r="D26" s="56"/>
      <c r="E26" s="33"/>
      <c r="F26" s="33"/>
      <c r="G26" s="40"/>
      <c r="I26" s="78" t="s">
        <v>19</v>
      </c>
      <c r="J26" s="78"/>
      <c r="K26" s="78"/>
      <c r="L26" s="78"/>
      <c r="M26" s="24"/>
      <c r="N26" s="24"/>
      <c r="O26" s="82"/>
      <c r="P26" s="89"/>
    </row>
    <row r="27" spans="1:16">
      <c r="A27" s="33"/>
      <c r="B27" s="34"/>
      <c r="C27" s="39"/>
      <c r="D27" s="33"/>
      <c r="E27" s="33"/>
      <c r="F27" s="33"/>
      <c r="G27" s="40"/>
      <c r="I27" s="24"/>
      <c r="J27" s="22"/>
      <c r="K27" s="72"/>
      <c r="L27" s="24"/>
      <c r="M27" s="24"/>
      <c r="N27" s="24"/>
      <c r="O27" s="82"/>
      <c r="P27" s="89"/>
    </row>
    <row r="28" spans="1:16" ht="16.5">
      <c r="A28" s="38" t="s">
        <v>170</v>
      </c>
      <c r="B28" s="34" t="s">
        <v>1</v>
      </c>
      <c r="C28" s="39" t="s">
        <v>20</v>
      </c>
      <c r="D28" s="34" t="s">
        <v>1</v>
      </c>
      <c r="E28" s="44">
        <f>45000*F77</f>
        <v>10327499.999999998</v>
      </c>
      <c r="F28" s="40" t="s">
        <v>50</v>
      </c>
      <c r="G28" s="45" t="s">
        <v>119</v>
      </c>
      <c r="I28" s="73" t="s">
        <v>170</v>
      </c>
      <c r="J28" s="22" t="s">
        <v>1</v>
      </c>
      <c r="K28" s="72" t="s">
        <v>136</v>
      </c>
      <c r="L28" s="22" t="s">
        <v>1</v>
      </c>
      <c r="M28" s="97">
        <f>4500*M18</f>
        <v>1032749.9999999999</v>
      </c>
      <c r="N28" s="24" t="s">
        <v>50</v>
      </c>
      <c r="O28" s="98" t="s">
        <v>119</v>
      </c>
      <c r="P28" s="89"/>
    </row>
    <row r="29" spans="1:16">
      <c r="A29" s="33"/>
      <c r="B29" s="34"/>
      <c r="C29" s="39"/>
      <c r="D29" s="34"/>
      <c r="E29" s="46"/>
      <c r="F29" s="40"/>
      <c r="G29" s="40"/>
      <c r="I29" s="24"/>
      <c r="J29" s="22"/>
      <c r="K29" s="72"/>
      <c r="L29" s="24"/>
      <c r="M29" s="24"/>
      <c r="N29" s="24"/>
      <c r="O29" s="82"/>
      <c r="P29" s="89"/>
    </row>
    <row r="30" spans="1:16" ht="18.75">
      <c r="A30" s="38" t="s">
        <v>42</v>
      </c>
      <c r="B30" s="34" t="s">
        <v>1</v>
      </c>
      <c r="C30" s="39" t="s">
        <v>21</v>
      </c>
      <c r="D30" s="34" t="s">
        <v>1</v>
      </c>
      <c r="E30" s="46">
        <f>ROUND(11.25*ROUND(F77,-1),-1)</f>
        <v>2590</v>
      </c>
      <c r="F30" s="40" t="s">
        <v>156</v>
      </c>
      <c r="G30" s="45" t="s">
        <v>119</v>
      </c>
      <c r="I30" s="73" t="s">
        <v>42</v>
      </c>
      <c r="J30" s="22" t="s">
        <v>1</v>
      </c>
      <c r="K30" s="72" t="s">
        <v>137</v>
      </c>
      <c r="L30" s="22" t="s">
        <v>1</v>
      </c>
      <c r="M30" s="95">
        <f>ROUND(11.25*ROUND(M18,-1),-1)</f>
        <v>2590</v>
      </c>
      <c r="N30" s="24" t="s">
        <v>156</v>
      </c>
      <c r="O30" s="98" t="s">
        <v>119</v>
      </c>
      <c r="P30" s="89"/>
    </row>
    <row r="31" spans="1:16">
      <c r="A31" s="33"/>
      <c r="B31" s="34"/>
      <c r="C31" s="39"/>
      <c r="D31" s="34"/>
      <c r="E31" s="46"/>
      <c r="F31" s="40"/>
      <c r="G31" s="40"/>
      <c r="I31" s="24"/>
      <c r="J31" s="22"/>
      <c r="K31" s="72"/>
      <c r="L31" s="24"/>
      <c r="M31" s="24"/>
      <c r="N31" s="24"/>
      <c r="O31" s="82"/>
      <c r="P31" s="89"/>
    </row>
    <row r="32" spans="1:16">
      <c r="A32" s="56" t="s">
        <v>22</v>
      </c>
      <c r="B32" s="56"/>
      <c r="C32" s="56"/>
      <c r="D32" s="33"/>
      <c r="E32" s="33"/>
      <c r="F32" s="33"/>
      <c r="G32" s="40"/>
      <c r="I32" s="78" t="s">
        <v>22</v>
      </c>
      <c r="J32" s="78"/>
      <c r="K32" s="78"/>
      <c r="L32" s="24"/>
      <c r="M32" s="24"/>
      <c r="N32" s="24"/>
      <c r="O32" s="82"/>
      <c r="P32" s="89"/>
    </row>
    <row r="33" spans="1:16">
      <c r="A33" s="33"/>
      <c r="B33" s="34"/>
      <c r="C33" s="39"/>
      <c r="D33" s="33"/>
      <c r="E33" s="33"/>
      <c r="F33" s="33"/>
      <c r="G33" s="40"/>
      <c r="I33" s="24"/>
      <c r="J33" s="22"/>
      <c r="K33" s="72"/>
      <c r="L33" s="24"/>
      <c r="M33" s="24"/>
      <c r="N33" s="24"/>
      <c r="O33" s="82"/>
      <c r="P33" s="89"/>
    </row>
    <row r="34" spans="1:16" ht="16.5">
      <c r="A34" s="38" t="s">
        <v>171</v>
      </c>
      <c r="B34" s="34" t="s">
        <v>1</v>
      </c>
      <c r="C34" s="39" t="s">
        <v>23</v>
      </c>
      <c r="D34" s="34" t="s">
        <v>1</v>
      </c>
      <c r="E34" s="44">
        <f>15000*F77</f>
        <v>3442499.9999999995</v>
      </c>
      <c r="F34" s="40" t="s">
        <v>50</v>
      </c>
      <c r="G34" s="45" t="s">
        <v>119</v>
      </c>
      <c r="I34" s="73" t="s">
        <v>171</v>
      </c>
      <c r="J34" s="22" t="s">
        <v>1</v>
      </c>
      <c r="K34" s="72" t="s">
        <v>23</v>
      </c>
      <c r="L34" s="22" t="s">
        <v>1</v>
      </c>
      <c r="M34" s="97">
        <f>15000*M18</f>
        <v>3442499.9999999995</v>
      </c>
      <c r="N34" s="24" t="s">
        <v>50</v>
      </c>
      <c r="O34" s="98" t="s">
        <v>119</v>
      </c>
      <c r="P34" s="89"/>
    </row>
    <row r="35" spans="1:16">
      <c r="A35" s="33"/>
      <c r="B35" s="34"/>
      <c r="C35" s="39"/>
      <c r="D35" s="34"/>
      <c r="E35" s="46"/>
      <c r="F35" s="40"/>
      <c r="G35" s="40"/>
      <c r="I35" s="24"/>
      <c r="J35" s="22"/>
      <c r="K35" s="72"/>
      <c r="L35" s="24"/>
      <c r="M35" s="24"/>
      <c r="N35" s="24"/>
      <c r="O35" s="82"/>
      <c r="P35" s="89"/>
    </row>
    <row r="36" spans="1:16" ht="18.75">
      <c r="A36" s="38" t="s">
        <v>43</v>
      </c>
      <c r="B36" s="34" t="s">
        <v>1</v>
      </c>
      <c r="C36" s="39" t="s">
        <v>24</v>
      </c>
      <c r="D36" s="34" t="s">
        <v>1</v>
      </c>
      <c r="E36" s="46">
        <f>ROUND(10.2*ROUND(F77,-1),-1)</f>
        <v>2350</v>
      </c>
      <c r="F36" s="40" t="s">
        <v>156</v>
      </c>
      <c r="G36" s="45" t="s">
        <v>119</v>
      </c>
      <c r="I36" s="73" t="s">
        <v>43</v>
      </c>
      <c r="J36" s="22" t="s">
        <v>1</v>
      </c>
      <c r="K36" s="72" t="s">
        <v>24</v>
      </c>
      <c r="L36" s="22" t="s">
        <v>1</v>
      </c>
      <c r="M36" s="95">
        <f>ROUND(10.2*ROUND(M18,-1),-1)</f>
        <v>2350</v>
      </c>
      <c r="N36" s="24" t="s">
        <v>156</v>
      </c>
      <c r="O36" s="98" t="s">
        <v>119</v>
      </c>
      <c r="P36" s="89"/>
    </row>
    <row r="37" spans="1:16">
      <c r="A37" s="33"/>
      <c r="B37" s="34"/>
      <c r="C37" s="39"/>
      <c r="D37" s="34"/>
      <c r="E37" s="46"/>
      <c r="F37" s="40"/>
      <c r="G37" s="40"/>
      <c r="I37" s="24"/>
      <c r="J37" s="22"/>
      <c r="K37" s="72"/>
      <c r="L37" s="24"/>
      <c r="M37" s="24"/>
      <c r="N37" s="24"/>
      <c r="O37" s="82"/>
      <c r="P37" s="89"/>
    </row>
    <row r="38" spans="1:16">
      <c r="A38" s="56" t="s">
        <v>25</v>
      </c>
      <c r="B38" s="56"/>
      <c r="C38" s="56"/>
      <c r="D38" s="56"/>
      <c r="E38" s="33"/>
      <c r="F38" s="33"/>
      <c r="G38" s="40"/>
      <c r="I38" s="78" t="s">
        <v>25</v>
      </c>
      <c r="J38" s="78"/>
      <c r="K38" s="78"/>
      <c r="L38" s="78"/>
      <c r="M38" s="24"/>
      <c r="N38" s="24"/>
      <c r="O38" s="82"/>
      <c r="P38" s="89"/>
    </row>
    <row r="39" spans="1:16">
      <c r="A39" s="33"/>
      <c r="B39" s="34"/>
      <c r="C39" s="39"/>
      <c r="D39" s="33"/>
      <c r="E39" s="33"/>
      <c r="F39" s="33"/>
      <c r="G39" s="40"/>
      <c r="I39" s="24"/>
      <c r="J39" s="22"/>
      <c r="K39" s="72"/>
      <c r="L39" s="24"/>
      <c r="M39" s="24"/>
      <c r="N39" s="24"/>
      <c r="O39" s="82"/>
      <c r="P39" s="89"/>
    </row>
    <row r="40" spans="1:16" ht="16.5">
      <c r="A40" s="38" t="s">
        <v>172</v>
      </c>
      <c r="B40" s="34" t="s">
        <v>1</v>
      </c>
      <c r="C40" s="39" t="s">
        <v>26</v>
      </c>
      <c r="D40" s="34" t="s">
        <v>1</v>
      </c>
      <c r="E40" s="47">
        <f>30000*F77</f>
        <v>6884999.9999999991</v>
      </c>
      <c r="F40" s="40" t="s">
        <v>50</v>
      </c>
      <c r="G40" s="45" t="s">
        <v>119</v>
      </c>
      <c r="I40" s="73" t="s">
        <v>172</v>
      </c>
      <c r="J40" s="22" t="s">
        <v>1</v>
      </c>
      <c r="K40" s="72" t="s">
        <v>26</v>
      </c>
      <c r="L40" s="22" t="s">
        <v>1</v>
      </c>
      <c r="M40" s="97">
        <f>ROUND(30000*M18,-5)</f>
        <v>6900000</v>
      </c>
      <c r="N40" s="24" t="s">
        <v>50</v>
      </c>
      <c r="O40" s="98" t="s">
        <v>119</v>
      </c>
      <c r="P40" s="89"/>
    </row>
    <row r="41" spans="1:16">
      <c r="A41" s="33"/>
      <c r="B41" s="34"/>
      <c r="C41" s="39"/>
      <c r="D41" s="34"/>
      <c r="E41" s="46"/>
      <c r="F41" s="40"/>
      <c r="G41" s="40"/>
      <c r="I41" s="24"/>
      <c r="J41" s="22"/>
      <c r="K41" s="72"/>
      <c r="L41" s="24"/>
      <c r="M41" s="24"/>
      <c r="N41" s="24"/>
      <c r="O41" s="82"/>
      <c r="P41" s="89"/>
    </row>
    <row r="42" spans="1:16" ht="18.75">
      <c r="A42" s="38" t="s">
        <v>44</v>
      </c>
      <c r="B42" s="34" t="s">
        <v>1</v>
      </c>
      <c r="C42" s="39" t="s">
        <v>27</v>
      </c>
      <c r="D42" s="34" t="s">
        <v>1</v>
      </c>
      <c r="E42" s="46">
        <f>ROUND(5.2*F77,-2)</f>
        <v>1200</v>
      </c>
      <c r="F42" s="40" t="s">
        <v>156</v>
      </c>
      <c r="G42" s="45" t="s">
        <v>119</v>
      </c>
      <c r="I42" s="73" t="s">
        <v>44</v>
      </c>
      <c r="J42" s="22" t="s">
        <v>1</v>
      </c>
      <c r="K42" s="72" t="s">
        <v>27</v>
      </c>
      <c r="L42" s="22" t="s">
        <v>1</v>
      </c>
      <c r="M42" s="95">
        <f>ROUND(5.2*M18,-2)</f>
        <v>1200</v>
      </c>
      <c r="N42" s="24" t="s">
        <v>156</v>
      </c>
      <c r="O42" s="98" t="s">
        <v>119</v>
      </c>
      <c r="P42" s="89"/>
    </row>
    <row r="43" spans="1:16">
      <c r="A43" s="33"/>
      <c r="B43" s="34"/>
      <c r="C43" s="39"/>
      <c r="D43" s="33"/>
      <c r="E43" s="33"/>
      <c r="F43" s="33"/>
      <c r="G43" s="40"/>
      <c r="I43" s="24"/>
      <c r="J43" s="22"/>
      <c r="K43" s="72"/>
      <c r="L43" s="24"/>
      <c r="M43" s="24"/>
      <c r="N43" s="24"/>
      <c r="O43" s="82"/>
      <c r="P43" s="89"/>
    </row>
    <row r="44" spans="1:16">
      <c r="A44" s="56" t="s">
        <v>28</v>
      </c>
      <c r="B44" s="56"/>
      <c r="C44" s="56"/>
      <c r="D44" s="33"/>
      <c r="E44" s="33"/>
      <c r="F44" s="33"/>
      <c r="G44" s="40"/>
      <c r="I44" s="78" t="s">
        <v>28</v>
      </c>
      <c r="J44" s="78"/>
      <c r="K44" s="78"/>
      <c r="L44" s="24"/>
      <c r="M44" s="24"/>
      <c r="N44" s="24"/>
      <c r="O44" s="82"/>
      <c r="P44" s="89"/>
    </row>
    <row r="45" spans="1:16">
      <c r="A45" s="33"/>
      <c r="B45" s="34"/>
      <c r="C45" s="39"/>
      <c r="D45" s="33"/>
      <c r="E45" s="33"/>
      <c r="F45" s="33"/>
      <c r="G45" s="40"/>
      <c r="I45" s="24"/>
      <c r="J45" s="22"/>
      <c r="K45" s="72"/>
      <c r="L45" s="24"/>
      <c r="M45" s="24"/>
      <c r="N45" s="24"/>
      <c r="O45" s="82"/>
      <c r="P45" s="89"/>
    </row>
    <row r="46" spans="1:16" ht="16.5">
      <c r="A46" s="38" t="s">
        <v>45</v>
      </c>
      <c r="B46" s="34" t="s">
        <v>1</v>
      </c>
      <c r="C46" s="39" t="s">
        <v>81</v>
      </c>
      <c r="D46" s="34" t="s">
        <v>1</v>
      </c>
      <c r="E46" s="46">
        <f>F77*C10*0.00065</f>
        <v>126.79874999999997</v>
      </c>
      <c r="F46" s="40" t="s">
        <v>132</v>
      </c>
      <c r="G46" s="45" t="s">
        <v>142</v>
      </c>
      <c r="I46" s="73" t="s">
        <v>45</v>
      </c>
      <c r="J46" s="22" t="s">
        <v>1</v>
      </c>
      <c r="K46" s="72" t="s">
        <v>81</v>
      </c>
      <c r="L46" s="22" t="s">
        <v>1</v>
      </c>
      <c r="M46" s="95">
        <f>M18*K10*0.00065</f>
        <v>126.79874999999997</v>
      </c>
      <c r="N46" s="24" t="s">
        <v>132</v>
      </c>
      <c r="O46" s="98" t="s">
        <v>142</v>
      </c>
      <c r="P46" s="89"/>
    </row>
    <row r="47" spans="1:16">
      <c r="A47" s="33"/>
      <c r="B47" s="34"/>
      <c r="C47" s="39"/>
      <c r="D47" s="34"/>
      <c r="E47" s="33"/>
      <c r="F47" s="33"/>
      <c r="G47" s="40"/>
      <c r="I47" s="24"/>
      <c r="J47" s="22"/>
      <c r="K47" s="72"/>
      <c r="L47" s="72"/>
      <c r="M47" s="24"/>
      <c r="N47" s="24"/>
      <c r="O47" s="82"/>
      <c r="P47" s="89"/>
    </row>
    <row r="48" spans="1:16">
      <c r="A48" s="33" t="s">
        <v>29</v>
      </c>
      <c r="B48" s="34"/>
      <c r="C48" s="39"/>
      <c r="D48" s="34"/>
      <c r="E48" s="33"/>
      <c r="F48" s="33"/>
      <c r="G48" s="40"/>
      <c r="I48" s="24" t="s">
        <v>29</v>
      </c>
      <c r="J48" s="22"/>
      <c r="K48" s="72"/>
      <c r="L48" s="72"/>
      <c r="M48" s="24"/>
      <c r="N48" s="24"/>
      <c r="O48" s="82"/>
      <c r="P48" s="89"/>
    </row>
    <row r="49" spans="1:16">
      <c r="A49" s="33"/>
      <c r="B49" s="34"/>
      <c r="C49" s="39"/>
      <c r="D49" s="34"/>
      <c r="E49" s="33"/>
      <c r="F49" s="33"/>
      <c r="G49" s="40"/>
      <c r="I49" s="24"/>
      <c r="J49" s="22"/>
      <c r="K49" s="72"/>
      <c r="L49" s="72"/>
      <c r="M49" s="24"/>
      <c r="N49" s="24"/>
      <c r="O49" s="82"/>
      <c r="P49" s="89"/>
    </row>
    <row r="50" spans="1:16" ht="16.5">
      <c r="A50" s="38" t="s">
        <v>46</v>
      </c>
      <c r="B50" s="34" t="s">
        <v>1</v>
      </c>
      <c r="C50" s="39" t="s">
        <v>30</v>
      </c>
      <c r="D50" s="34" t="s">
        <v>1</v>
      </c>
      <c r="E50" s="46">
        <f>F77*0.06</f>
        <v>13.769999999999998</v>
      </c>
      <c r="F50" s="40" t="s">
        <v>132</v>
      </c>
      <c r="G50" s="45" t="s">
        <v>142</v>
      </c>
      <c r="I50" s="73" t="s">
        <v>46</v>
      </c>
      <c r="J50" s="22" t="s">
        <v>1</v>
      </c>
      <c r="K50" s="72" t="s">
        <v>30</v>
      </c>
      <c r="L50" s="22" t="s">
        <v>1</v>
      </c>
      <c r="M50" s="95">
        <f>M18*0.06</f>
        <v>13.769999999999998</v>
      </c>
      <c r="N50" s="24" t="s">
        <v>132</v>
      </c>
      <c r="O50" s="98" t="s">
        <v>142</v>
      </c>
      <c r="P50" s="89"/>
    </row>
    <row r="51" spans="1:16">
      <c r="A51" s="33"/>
      <c r="B51" s="34"/>
      <c r="C51" s="39"/>
      <c r="D51" s="34"/>
      <c r="E51" s="33"/>
      <c r="F51" s="33"/>
      <c r="G51" s="40"/>
      <c r="I51" s="24"/>
      <c r="J51" s="22"/>
      <c r="K51" s="72"/>
      <c r="L51" s="72"/>
      <c r="M51" s="24"/>
      <c r="N51" s="24"/>
      <c r="O51" s="82"/>
      <c r="P51" s="89"/>
    </row>
    <row r="52" spans="1:16">
      <c r="A52" s="33" t="s">
        <v>31</v>
      </c>
      <c r="B52" s="34"/>
      <c r="C52" s="39"/>
      <c r="D52" s="34"/>
      <c r="E52" s="33"/>
      <c r="F52" s="33"/>
      <c r="G52" s="40"/>
      <c r="I52" s="24" t="s">
        <v>31</v>
      </c>
      <c r="J52" s="22"/>
      <c r="K52" s="72"/>
      <c r="L52" s="72"/>
      <c r="M52" s="24"/>
      <c r="N52" s="24"/>
      <c r="O52" s="82"/>
      <c r="P52" s="89"/>
    </row>
    <row r="53" spans="1:16">
      <c r="A53" s="33"/>
      <c r="B53" s="34"/>
      <c r="C53" s="39"/>
      <c r="D53" s="34"/>
      <c r="E53" s="33"/>
      <c r="F53" s="33"/>
      <c r="G53" s="40"/>
      <c r="I53" s="24"/>
      <c r="J53" s="22"/>
      <c r="K53" s="72"/>
      <c r="L53" s="72"/>
      <c r="M53" s="24"/>
      <c r="N53" s="24"/>
      <c r="O53" s="82"/>
      <c r="P53" s="89"/>
    </row>
    <row r="54" spans="1:16" ht="16.5">
      <c r="A54" s="38" t="s">
        <v>47</v>
      </c>
      <c r="B54" s="34" t="s">
        <v>1</v>
      </c>
      <c r="C54" s="39" t="s">
        <v>30</v>
      </c>
      <c r="D54" s="34" t="s">
        <v>1</v>
      </c>
      <c r="E54" s="46">
        <f>F77*0.06</f>
        <v>13.769999999999998</v>
      </c>
      <c r="F54" s="40" t="s">
        <v>132</v>
      </c>
      <c r="G54" s="45" t="s">
        <v>142</v>
      </c>
      <c r="I54" s="73" t="s">
        <v>47</v>
      </c>
      <c r="J54" s="22" t="s">
        <v>1</v>
      </c>
      <c r="K54" s="72" t="s">
        <v>30</v>
      </c>
      <c r="L54" s="22" t="s">
        <v>1</v>
      </c>
      <c r="M54" s="95">
        <f>M18*0.06</f>
        <v>13.769999999999998</v>
      </c>
      <c r="N54" s="24" t="s">
        <v>132</v>
      </c>
      <c r="O54" s="98" t="s">
        <v>142</v>
      </c>
      <c r="P54" s="89"/>
    </row>
    <row r="55" spans="1:16">
      <c r="A55" s="33"/>
      <c r="B55" s="34"/>
      <c r="C55" s="39"/>
      <c r="D55" s="34"/>
      <c r="E55" s="33"/>
      <c r="F55" s="33"/>
      <c r="G55" s="40"/>
      <c r="I55" s="24"/>
      <c r="J55" s="22"/>
      <c r="K55" s="72"/>
      <c r="L55" s="72"/>
      <c r="M55" s="24"/>
      <c r="N55" s="24"/>
      <c r="O55" s="82"/>
      <c r="P55" s="89"/>
    </row>
    <row r="56" spans="1:16">
      <c r="A56" s="33" t="s">
        <v>32</v>
      </c>
      <c r="B56" s="34"/>
      <c r="C56" s="39"/>
      <c r="D56" s="34"/>
      <c r="E56" s="33"/>
      <c r="F56" s="33"/>
      <c r="G56" s="40"/>
      <c r="I56" s="24" t="s">
        <v>32</v>
      </c>
      <c r="J56" s="22"/>
      <c r="K56" s="72"/>
      <c r="L56" s="72"/>
      <c r="M56" s="24"/>
      <c r="N56" s="24"/>
      <c r="O56" s="82"/>
      <c r="P56" s="89"/>
    </row>
    <row r="57" spans="1:16">
      <c r="A57" s="33"/>
      <c r="B57" s="34"/>
      <c r="C57" s="39"/>
      <c r="D57" s="34"/>
      <c r="E57" s="33"/>
      <c r="F57" s="33"/>
      <c r="G57" s="40"/>
      <c r="I57" s="24"/>
      <c r="J57" s="22"/>
      <c r="K57" s="72"/>
      <c r="L57" s="72"/>
      <c r="M57" s="24"/>
      <c r="N57" s="24"/>
      <c r="O57" s="82"/>
      <c r="P57" s="89"/>
    </row>
    <row r="58" spans="1:16" ht="16.5">
      <c r="A58" s="38" t="s">
        <v>48</v>
      </c>
      <c r="B58" s="34" t="s">
        <v>1</v>
      </c>
      <c r="C58" s="39" t="s">
        <v>33</v>
      </c>
      <c r="D58" s="34" t="s">
        <v>1</v>
      </c>
      <c r="E58" s="46">
        <f>F77*0.36</f>
        <v>82.61999999999999</v>
      </c>
      <c r="F58" s="40" t="s">
        <v>132</v>
      </c>
      <c r="G58" s="45" t="s">
        <v>142</v>
      </c>
      <c r="I58" s="73" t="s">
        <v>48</v>
      </c>
      <c r="J58" s="22" t="s">
        <v>1</v>
      </c>
      <c r="K58" s="72" t="s">
        <v>33</v>
      </c>
      <c r="L58" s="22" t="s">
        <v>1</v>
      </c>
      <c r="M58" s="95">
        <f>M18*0.36</f>
        <v>82.61999999999999</v>
      </c>
      <c r="N58" s="24" t="s">
        <v>132</v>
      </c>
      <c r="O58" s="98" t="s">
        <v>142</v>
      </c>
      <c r="P58" s="89"/>
    </row>
    <row r="59" spans="1:16">
      <c r="A59" s="38"/>
      <c r="B59" s="34"/>
      <c r="C59" s="39"/>
      <c r="D59" s="34"/>
      <c r="E59" s="33"/>
      <c r="F59" s="33"/>
      <c r="G59" s="40"/>
      <c r="I59" s="73"/>
      <c r="J59" s="22"/>
      <c r="K59" s="72"/>
      <c r="L59" s="72"/>
      <c r="M59" s="24"/>
      <c r="N59" s="24"/>
      <c r="O59" s="82"/>
      <c r="P59" s="89"/>
    </row>
    <row r="60" spans="1:16">
      <c r="A60" s="56" t="s">
        <v>90</v>
      </c>
      <c r="B60" s="56"/>
      <c r="C60" s="39"/>
      <c r="D60" s="34"/>
      <c r="E60" s="33"/>
      <c r="F60" s="33"/>
      <c r="G60" s="40"/>
      <c r="I60" s="78" t="s">
        <v>90</v>
      </c>
      <c r="J60" s="78"/>
      <c r="K60" s="72"/>
      <c r="L60" s="72"/>
      <c r="M60" s="24"/>
      <c r="N60" s="24"/>
      <c r="O60" s="82"/>
      <c r="P60" s="89"/>
    </row>
    <row r="61" spans="1:16">
      <c r="A61" s="55" t="s">
        <v>145</v>
      </c>
      <c r="B61" s="55"/>
      <c r="C61" s="55"/>
      <c r="D61" s="55"/>
      <c r="E61" s="55"/>
      <c r="F61" s="55"/>
      <c r="G61" s="55"/>
      <c r="I61" s="72" t="s">
        <v>145</v>
      </c>
      <c r="J61" s="22"/>
      <c r="K61" s="72"/>
      <c r="L61" s="72"/>
      <c r="M61" s="24"/>
      <c r="N61" s="24"/>
      <c r="O61" s="82"/>
      <c r="P61" s="89"/>
    </row>
    <row r="62" spans="1:16" ht="18.75">
      <c r="A62" s="38" t="s">
        <v>91</v>
      </c>
      <c r="B62" s="34" t="s">
        <v>1</v>
      </c>
      <c r="C62" s="39" t="s">
        <v>92</v>
      </c>
      <c r="D62" s="34" t="s">
        <v>1</v>
      </c>
      <c r="E62" s="49">
        <f>44*SQRT(C9/(SQRT(F10)))</f>
        <v>44.438488321116481</v>
      </c>
      <c r="F62" s="40" t="s">
        <v>133</v>
      </c>
      <c r="G62" s="45" t="s">
        <v>143</v>
      </c>
      <c r="I62" s="73" t="s">
        <v>91</v>
      </c>
      <c r="J62" s="22" t="s">
        <v>1</v>
      </c>
      <c r="K62" s="72" t="s">
        <v>92</v>
      </c>
      <c r="L62" s="22" t="s">
        <v>1</v>
      </c>
      <c r="M62" s="95">
        <f>44*SQRT(K9/(SQRT(N10)))</f>
        <v>44.438488321116481</v>
      </c>
      <c r="N62" s="24" t="s">
        <v>133</v>
      </c>
      <c r="O62" s="98" t="s">
        <v>143</v>
      </c>
      <c r="P62" s="89"/>
    </row>
    <row r="63" spans="1:16">
      <c r="A63" s="38"/>
      <c r="B63" s="41" t="s">
        <v>146</v>
      </c>
      <c r="C63" s="34"/>
      <c r="D63" s="34" t="s">
        <v>1</v>
      </c>
      <c r="E63" s="46">
        <f>CEILING(E62,6)</f>
        <v>48</v>
      </c>
      <c r="F63" s="40" t="s">
        <v>133</v>
      </c>
      <c r="G63" s="40"/>
      <c r="I63" s="72"/>
      <c r="J63" s="90" t="s">
        <v>146</v>
      </c>
      <c r="K63" s="72"/>
      <c r="L63" s="22" t="s">
        <v>1</v>
      </c>
      <c r="M63" s="24">
        <f>CEILING(M62,6)</f>
        <v>48</v>
      </c>
      <c r="N63" s="24" t="s">
        <v>133</v>
      </c>
      <c r="O63" s="82"/>
      <c r="P63" s="89"/>
    </row>
    <row r="64" spans="1:16">
      <c r="A64" s="38"/>
      <c r="B64" s="34"/>
      <c r="C64" s="34"/>
      <c r="D64" s="34"/>
      <c r="E64" s="33"/>
      <c r="F64" s="33"/>
      <c r="G64" s="40"/>
      <c r="I64" s="72"/>
      <c r="J64" s="72"/>
      <c r="K64" s="72"/>
      <c r="L64" s="22"/>
      <c r="M64" s="24"/>
      <c r="N64" s="24"/>
      <c r="O64" s="82"/>
      <c r="P64" s="89"/>
    </row>
    <row r="65" spans="1:16">
      <c r="A65" s="110" t="s">
        <v>144</v>
      </c>
      <c r="B65" s="110"/>
      <c r="C65" s="110"/>
      <c r="D65" s="110"/>
      <c r="E65" s="33"/>
      <c r="F65" s="33"/>
      <c r="G65" s="40"/>
      <c r="I65" s="101" t="s">
        <v>144</v>
      </c>
      <c r="J65" s="101"/>
      <c r="K65" s="101"/>
      <c r="L65" s="101"/>
      <c r="M65" s="24"/>
      <c r="N65" s="24"/>
      <c r="O65" s="82"/>
      <c r="P65" s="89"/>
    </row>
    <row r="66" spans="1:16">
      <c r="A66" s="38"/>
      <c r="B66" s="34"/>
      <c r="C66" s="34"/>
      <c r="D66" s="34"/>
      <c r="E66" s="33"/>
      <c r="F66" s="33"/>
      <c r="G66" s="40"/>
      <c r="I66" s="73"/>
      <c r="J66" s="22"/>
      <c r="K66" s="22"/>
      <c r="L66" s="22"/>
      <c r="M66" s="24"/>
      <c r="N66" s="24"/>
      <c r="O66" s="82"/>
      <c r="P66" s="89"/>
    </row>
    <row r="67" spans="1:16" ht="18.75">
      <c r="A67" s="38" t="s">
        <v>93</v>
      </c>
      <c r="B67" s="34" t="s">
        <v>1</v>
      </c>
      <c r="C67" s="34" t="s">
        <v>94</v>
      </c>
      <c r="D67" s="34" t="s">
        <v>1</v>
      </c>
      <c r="E67" s="49">
        <f>3*SQRT(F77)</f>
        <v>45.447772222629347</v>
      </c>
      <c r="F67" s="40" t="s">
        <v>133</v>
      </c>
      <c r="G67" s="40" t="s">
        <v>15</v>
      </c>
      <c r="I67" s="73" t="s">
        <v>93</v>
      </c>
      <c r="J67" s="22" t="s">
        <v>1</v>
      </c>
      <c r="K67" s="22" t="s">
        <v>94</v>
      </c>
      <c r="L67" s="22" t="s">
        <v>1</v>
      </c>
      <c r="M67" s="95">
        <f>3*SQRT(M18)</f>
        <v>45.447772222629347</v>
      </c>
      <c r="N67" s="24" t="s">
        <v>133</v>
      </c>
      <c r="O67" s="82" t="s">
        <v>15</v>
      </c>
      <c r="P67" s="89"/>
    </row>
    <row r="68" spans="1:16">
      <c r="A68" s="39"/>
      <c r="B68" s="34" t="s">
        <v>146</v>
      </c>
      <c r="C68" s="34"/>
      <c r="D68" s="34" t="s">
        <v>1</v>
      </c>
      <c r="E68" s="46">
        <f>CEILING(E67,6)</f>
        <v>48</v>
      </c>
      <c r="F68" s="40" t="s">
        <v>133</v>
      </c>
      <c r="G68" s="40"/>
      <c r="I68" s="72"/>
      <c r="J68" s="22" t="s">
        <v>146</v>
      </c>
      <c r="K68" s="22"/>
      <c r="L68" s="22" t="s">
        <v>1</v>
      </c>
      <c r="M68" s="24">
        <f>CEILING(M67,6)</f>
        <v>48</v>
      </c>
      <c r="N68" s="24" t="s">
        <v>133</v>
      </c>
      <c r="O68" s="82"/>
      <c r="P68" s="89"/>
    </row>
    <row r="69" spans="1:16">
      <c r="A69" s="39"/>
      <c r="B69" s="34"/>
      <c r="C69" s="34"/>
      <c r="D69" s="34"/>
      <c r="E69" s="33"/>
      <c r="F69" s="33"/>
      <c r="G69" s="40"/>
      <c r="I69" s="72"/>
      <c r="J69" s="22"/>
      <c r="K69" s="22"/>
      <c r="L69" s="22"/>
      <c r="M69" s="24"/>
      <c r="N69" s="24"/>
      <c r="O69" s="82"/>
      <c r="P69" s="89"/>
    </row>
    <row r="70" spans="1:16">
      <c r="A70" s="56" t="s">
        <v>95</v>
      </c>
      <c r="B70" s="56"/>
      <c r="C70" s="56"/>
      <c r="D70" s="56"/>
      <c r="E70" s="33"/>
      <c r="F70" s="33"/>
      <c r="G70" s="40"/>
      <c r="I70" s="78" t="s">
        <v>95</v>
      </c>
      <c r="J70" s="78"/>
      <c r="K70" s="78"/>
      <c r="L70" s="78"/>
      <c r="M70" s="24"/>
      <c r="N70" s="24"/>
      <c r="O70" s="82"/>
      <c r="P70" s="89"/>
    </row>
    <row r="71" spans="1:16">
      <c r="A71" s="38"/>
      <c r="B71" s="34"/>
      <c r="C71" s="34"/>
      <c r="D71" s="34"/>
      <c r="E71" s="33"/>
      <c r="F71" s="33"/>
      <c r="G71" s="40"/>
      <c r="I71" s="73"/>
      <c r="J71" s="22"/>
      <c r="K71" s="22"/>
      <c r="L71" s="22"/>
      <c r="M71" s="24"/>
      <c r="N71" s="24"/>
      <c r="O71" s="82"/>
      <c r="P71" s="89"/>
    </row>
    <row r="72" spans="1:16" ht="16.5">
      <c r="A72" s="38" t="s">
        <v>96</v>
      </c>
      <c r="B72" s="34" t="s">
        <v>1</v>
      </c>
      <c r="C72" s="34" t="s">
        <v>97</v>
      </c>
      <c r="D72" s="34" t="s">
        <v>1</v>
      </c>
      <c r="E72" s="49">
        <f>0.67*F106</f>
        <v>30.450007389161662</v>
      </c>
      <c r="F72" s="40" t="s">
        <v>133</v>
      </c>
      <c r="G72" s="40"/>
      <c r="I72" s="73" t="s">
        <v>96</v>
      </c>
      <c r="J72" s="22" t="s">
        <v>1</v>
      </c>
      <c r="K72" s="22" t="s">
        <v>97</v>
      </c>
      <c r="L72" s="22" t="s">
        <v>1</v>
      </c>
      <c r="M72" s="95">
        <f>0.67*M67</f>
        <v>30.450007389161662</v>
      </c>
      <c r="N72" s="24" t="s">
        <v>133</v>
      </c>
      <c r="O72" s="82"/>
      <c r="P72" s="89"/>
    </row>
    <row r="73" spans="1:16">
      <c r="A73" s="33"/>
      <c r="B73" s="34" t="s">
        <v>146</v>
      </c>
      <c r="C73" s="39"/>
      <c r="D73" s="34" t="s">
        <v>1</v>
      </c>
      <c r="E73" s="46">
        <f>CEILING(E72,6)</f>
        <v>36</v>
      </c>
      <c r="F73" s="40" t="s">
        <v>133</v>
      </c>
      <c r="G73" s="40"/>
      <c r="I73" s="72"/>
      <c r="J73" s="22" t="s">
        <v>146</v>
      </c>
      <c r="K73" s="22"/>
      <c r="L73" s="22" t="s">
        <v>1</v>
      </c>
      <c r="M73" s="24">
        <f>CEILING(M72,6)</f>
        <v>36</v>
      </c>
      <c r="N73" s="24" t="s">
        <v>133</v>
      </c>
      <c r="O73" s="82"/>
      <c r="P73" s="89"/>
    </row>
    <row r="74" spans="1:16">
      <c r="A74" s="33"/>
      <c r="B74" s="34"/>
      <c r="C74" s="39"/>
      <c r="D74" s="33"/>
      <c r="E74" s="33"/>
      <c r="F74" s="33"/>
      <c r="G74" s="40"/>
      <c r="I74" s="72"/>
      <c r="J74" s="22"/>
      <c r="K74" s="72"/>
      <c r="L74" s="24"/>
      <c r="M74" s="24"/>
      <c r="N74" s="24"/>
      <c r="O74" s="82"/>
      <c r="P74" s="89"/>
    </row>
    <row r="75" spans="1:16">
      <c r="A75" s="55" t="s">
        <v>12</v>
      </c>
      <c r="B75" s="55"/>
      <c r="C75" s="55"/>
      <c r="D75" s="33"/>
      <c r="E75" s="33"/>
      <c r="F75" s="33"/>
      <c r="G75" s="34"/>
      <c r="J75" s="18"/>
      <c r="K75" s="18"/>
    </row>
    <row r="76" spans="1:16">
      <c r="A76" s="4"/>
      <c r="B76" s="21"/>
      <c r="C76" s="1"/>
      <c r="D76" s="4"/>
      <c r="E76" s="21"/>
      <c r="F76" s="7"/>
      <c r="G76" s="7"/>
      <c r="J76" s="18"/>
      <c r="K76" s="18"/>
    </row>
    <row r="77" spans="1:16">
      <c r="A77" s="10" t="s">
        <v>39</v>
      </c>
      <c r="B77" s="21" t="s">
        <v>1</v>
      </c>
      <c r="C77" s="58" t="s">
        <v>40</v>
      </c>
      <c r="D77" s="58"/>
      <c r="E77" s="21" t="s">
        <v>1</v>
      </c>
      <c r="F77" s="11">
        <f>45*(C9*(C14/C13))</f>
        <v>229.49999999999997</v>
      </c>
      <c r="G77" s="8" t="s">
        <v>38</v>
      </c>
      <c r="J77" s="18"/>
      <c r="K77" s="18"/>
    </row>
    <row r="78" spans="1:16">
      <c r="A78" s="10"/>
      <c r="B78" s="21"/>
      <c r="C78" s="12"/>
      <c r="D78" s="12"/>
      <c r="E78" s="21"/>
      <c r="F78" s="11"/>
      <c r="G78" s="8"/>
      <c r="J78" s="18"/>
      <c r="K78" s="18"/>
    </row>
    <row r="79" spans="1:16" ht="16.5">
      <c r="A79" s="10" t="s">
        <v>177</v>
      </c>
      <c r="B79" s="21" t="s">
        <v>1</v>
      </c>
      <c r="C79" s="58" t="s">
        <v>100</v>
      </c>
      <c r="D79" s="58"/>
      <c r="E79" s="21" t="s">
        <v>1</v>
      </c>
      <c r="F79" s="13">
        <f>72000*F77</f>
        <v>16523999.999999998</v>
      </c>
      <c r="G79" s="8" t="s">
        <v>50</v>
      </c>
      <c r="J79" s="18"/>
      <c r="K79" s="18"/>
    </row>
    <row r="80" spans="1:16">
      <c r="A80" s="10"/>
      <c r="B80" s="21"/>
      <c r="C80" s="12"/>
      <c r="D80" s="12"/>
      <c r="E80" s="21"/>
      <c r="F80" s="11"/>
      <c r="G80" s="8"/>
      <c r="J80" s="18"/>
      <c r="K80" s="18"/>
    </row>
    <row r="81" spans="1:11" ht="18">
      <c r="A81" s="10" t="s">
        <v>49</v>
      </c>
      <c r="B81" s="21" t="s">
        <v>1</v>
      </c>
      <c r="C81" s="58" t="s">
        <v>101</v>
      </c>
      <c r="D81" s="58"/>
      <c r="E81" s="21" t="s">
        <v>1</v>
      </c>
      <c r="F81" s="11">
        <f>ROUND(11.3*F77,-2)</f>
        <v>2600</v>
      </c>
      <c r="G81" s="8" t="s">
        <v>51</v>
      </c>
      <c r="J81" s="18"/>
      <c r="K81" s="18"/>
    </row>
    <row r="82" spans="1:11">
      <c r="A82" s="10"/>
      <c r="B82" s="21"/>
      <c r="C82" s="12"/>
      <c r="D82" s="12"/>
      <c r="E82" s="21"/>
      <c r="F82" s="11"/>
      <c r="G82" s="8"/>
      <c r="J82" s="18"/>
      <c r="K82" s="18"/>
    </row>
    <row r="83" spans="1:11" ht="16.5">
      <c r="A83" s="10" t="s">
        <v>178</v>
      </c>
      <c r="B83" s="21" t="s">
        <v>1</v>
      </c>
      <c r="C83" s="58" t="s">
        <v>102</v>
      </c>
      <c r="D83" s="58"/>
      <c r="E83" s="21" t="s">
        <v>1</v>
      </c>
      <c r="F83" s="13">
        <f>45000*F77</f>
        <v>10327499.999999998</v>
      </c>
      <c r="G83" s="8" t="s">
        <v>50</v>
      </c>
      <c r="J83" s="18"/>
      <c r="K83" s="18"/>
    </row>
    <row r="84" spans="1:11">
      <c r="A84" s="10"/>
      <c r="B84" s="21"/>
      <c r="C84" s="12"/>
      <c r="D84" s="12"/>
      <c r="E84" s="21"/>
      <c r="F84" s="11"/>
      <c r="G84" s="8"/>
      <c r="J84" s="18"/>
      <c r="K84" s="18"/>
    </row>
    <row r="85" spans="1:11" ht="18">
      <c r="A85" s="10" t="s">
        <v>52</v>
      </c>
      <c r="B85" s="21" t="s">
        <v>1</v>
      </c>
      <c r="C85" s="58" t="s">
        <v>103</v>
      </c>
      <c r="D85" s="58"/>
      <c r="E85" s="21" t="s">
        <v>1</v>
      </c>
      <c r="F85" s="11">
        <f>ROUND(11.25*ROUND(F77,-1),-1)</f>
        <v>2590</v>
      </c>
      <c r="G85" s="8" t="s">
        <v>51</v>
      </c>
      <c r="J85" s="18"/>
      <c r="K85" s="18"/>
    </row>
    <row r="86" spans="1:11">
      <c r="A86" s="10"/>
      <c r="B86" s="21"/>
      <c r="C86" s="12"/>
      <c r="D86" s="12"/>
      <c r="E86" s="21"/>
      <c r="F86" s="11"/>
      <c r="G86" s="8"/>
      <c r="J86" s="18"/>
      <c r="K86" s="18"/>
    </row>
    <row r="87" spans="1:11" ht="16.5">
      <c r="A87" s="10" t="s">
        <v>179</v>
      </c>
      <c r="B87" s="21" t="s">
        <v>1</v>
      </c>
      <c r="C87" s="58" t="s">
        <v>104</v>
      </c>
      <c r="D87" s="58"/>
      <c r="E87" s="21" t="s">
        <v>1</v>
      </c>
      <c r="F87" s="13">
        <f>15000*F77</f>
        <v>3442499.9999999995</v>
      </c>
      <c r="G87" s="8" t="s">
        <v>50</v>
      </c>
      <c r="J87" s="18"/>
      <c r="K87" s="18"/>
    </row>
    <row r="88" spans="1:11">
      <c r="A88" s="10"/>
      <c r="B88" s="21"/>
      <c r="C88" s="12"/>
      <c r="D88" s="12"/>
      <c r="E88" s="21"/>
      <c r="F88" s="11"/>
      <c r="G88" s="8"/>
      <c r="J88" s="18"/>
      <c r="K88" s="18"/>
    </row>
    <row r="89" spans="1:11" ht="18">
      <c r="A89" s="10" t="s">
        <v>53</v>
      </c>
      <c r="B89" s="21" t="s">
        <v>1</v>
      </c>
      <c r="C89" s="58" t="s">
        <v>105</v>
      </c>
      <c r="D89" s="58"/>
      <c r="E89" s="21" t="s">
        <v>1</v>
      </c>
      <c r="F89" s="11">
        <f>ROUND(10.2*ROUND(F77,-1),-1)</f>
        <v>2350</v>
      </c>
      <c r="G89" s="8" t="s">
        <v>51</v>
      </c>
      <c r="J89" s="18"/>
      <c r="K89" s="18"/>
    </row>
    <row r="90" spans="1:11">
      <c r="A90" s="4"/>
      <c r="B90" s="21"/>
      <c r="C90" s="12"/>
      <c r="D90" s="12"/>
      <c r="E90" s="21"/>
      <c r="F90" s="11"/>
      <c r="G90" s="8"/>
      <c r="J90" s="18"/>
      <c r="K90" s="18"/>
    </row>
    <row r="91" spans="1:11" ht="16.5">
      <c r="A91" s="10" t="s">
        <v>180</v>
      </c>
      <c r="B91" s="21" t="s">
        <v>1</v>
      </c>
      <c r="C91" s="58" t="s">
        <v>106</v>
      </c>
      <c r="D91" s="58"/>
      <c r="E91" s="21" t="s">
        <v>1</v>
      </c>
      <c r="F91" s="14">
        <f>30000*F77</f>
        <v>6884999.9999999991</v>
      </c>
      <c r="G91" s="8" t="s">
        <v>50</v>
      </c>
      <c r="J91" s="18"/>
      <c r="K91" s="18"/>
    </row>
    <row r="92" spans="1:11">
      <c r="A92" s="10"/>
      <c r="B92" s="21"/>
      <c r="C92" s="12"/>
      <c r="D92" s="12"/>
      <c r="E92" s="21"/>
      <c r="F92" s="11"/>
      <c r="G92" s="8"/>
      <c r="J92" s="18"/>
      <c r="K92" s="18"/>
    </row>
    <row r="93" spans="1:11" ht="18">
      <c r="A93" s="10" t="s">
        <v>54</v>
      </c>
      <c r="B93" s="21" t="s">
        <v>1</v>
      </c>
      <c r="C93" s="58" t="s">
        <v>107</v>
      </c>
      <c r="D93" s="58"/>
      <c r="E93" s="21" t="s">
        <v>1</v>
      </c>
      <c r="F93" s="11">
        <f>ROUND(5.2*F77,-2)</f>
        <v>1200</v>
      </c>
      <c r="G93" s="8" t="s">
        <v>51</v>
      </c>
      <c r="J93" s="18"/>
      <c r="K93" s="18"/>
    </row>
    <row r="94" spans="1:11">
      <c r="A94" s="10"/>
      <c r="B94" s="21"/>
      <c r="C94" s="12"/>
      <c r="D94" s="12"/>
      <c r="E94" s="21"/>
      <c r="F94" s="11"/>
      <c r="G94" s="8"/>
      <c r="J94" s="18"/>
      <c r="K94" s="18"/>
    </row>
    <row r="95" spans="1:11" ht="16.5">
      <c r="A95" s="10" t="s">
        <v>55</v>
      </c>
      <c r="B95" s="21" t="s">
        <v>1</v>
      </c>
      <c r="C95" s="58" t="s">
        <v>108</v>
      </c>
      <c r="D95" s="58"/>
      <c r="E95" s="21" t="s">
        <v>1</v>
      </c>
      <c r="F95" s="11">
        <f>F77*C10*0.00065</f>
        <v>126.79874999999997</v>
      </c>
      <c r="G95" s="8" t="s">
        <v>59</v>
      </c>
      <c r="J95" s="18"/>
      <c r="K95" s="18"/>
    </row>
    <row r="96" spans="1:11">
      <c r="A96" s="10"/>
      <c r="B96" s="21"/>
      <c r="C96" s="12"/>
      <c r="D96" s="12"/>
      <c r="E96" s="21"/>
      <c r="F96" s="11"/>
      <c r="G96" s="8"/>
      <c r="J96" s="18"/>
      <c r="K96" s="18"/>
    </row>
    <row r="97" spans="1:15" ht="16.5">
      <c r="A97" s="10" t="s">
        <v>56</v>
      </c>
      <c r="B97" s="21" t="s">
        <v>1</v>
      </c>
      <c r="C97" s="58" t="s">
        <v>109</v>
      </c>
      <c r="D97" s="58"/>
      <c r="E97" s="21" t="s">
        <v>1</v>
      </c>
      <c r="F97" s="11">
        <f>F77*0.06</f>
        <v>13.769999999999998</v>
      </c>
      <c r="G97" s="8" t="s">
        <v>59</v>
      </c>
      <c r="J97" s="18"/>
      <c r="K97" s="18"/>
    </row>
    <row r="98" spans="1:15">
      <c r="A98" s="10"/>
      <c r="B98" s="21"/>
      <c r="C98" s="12"/>
      <c r="D98" s="12"/>
      <c r="E98" s="21"/>
      <c r="F98" s="11"/>
      <c r="G98" s="8"/>
      <c r="J98" s="18"/>
      <c r="K98" s="18"/>
    </row>
    <row r="99" spans="1:15" ht="16.5">
      <c r="A99" s="10" t="s">
        <v>57</v>
      </c>
      <c r="B99" s="21" t="s">
        <v>1</v>
      </c>
      <c r="C99" s="58" t="s">
        <v>109</v>
      </c>
      <c r="D99" s="58"/>
      <c r="E99" s="21" t="s">
        <v>1</v>
      </c>
      <c r="F99" s="11">
        <f>F77*0.06</f>
        <v>13.769999999999998</v>
      </c>
      <c r="G99" s="8" t="s">
        <v>59</v>
      </c>
      <c r="J99" s="18"/>
      <c r="K99" s="18"/>
    </row>
    <row r="100" spans="1:15">
      <c r="A100" s="10"/>
      <c r="B100" s="21"/>
      <c r="C100" s="12"/>
      <c r="D100" s="12"/>
      <c r="E100" s="21"/>
      <c r="F100" s="11"/>
      <c r="G100" s="8"/>
      <c r="J100" s="18"/>
      <c r="K100" s="18"/>
    </row>
    <row r="101" spans="1:15" ht="16.5">
      <c r="A101" s="10" t="s">
        <v>58</v>
      </c>
      <c r="B101" s="21" t="s">
        <v>1</v>
      </c>
      <c r="C101" s="59" t="s">
        <v>110</v>
      </c>
      <c r="D101" s="59"/>
      <c r="E101" s="21" t="s">
        <v>1</v>
      </c>
      <c r="F101" s="11">
        <f>F77*0.36</f>
        <v>82.61999999999999</v>
      </c>
      <c r="G101" s="15" t="s">
        <v>59</v>
      </c>
      <c r="J101" s="18"/>
      <c r="K101" s="18"/>
    </row>
    <row r="102" spans="1:15">
      <c r="A102" s="10"/>
      <c r="B102" s="21"/>
      <c r="C102" s="12"/>
      <c r="D102" s="12"/>
      <c r="E102" s="21"/>
      <c r="F102" s="11"/>
      <c r="G102" s="8"/>
      <c r="J102" s="18"/>
      <c r="K102" s="18"/>
    </row>
    <row r="103" spans="1:15" ht="18.75">
      <c r="A103" s="10" t="s">
        <v>98</v>
      </c>
      <c r="B103" s="21" t="s">
        <v>1</v>
      </c>
      <c r="C103" s="58" t="s">
        <v>99</v>
      </c>
      <c r="D103" s="58"/>
      <c r="E103" s="21" t="s">
        <v>1</v>
      </c>
      <c r="F103" s="16">
        <f>44*SQRT(C9/(SQRT(F10)))</f>
        <v>44.438488321116481</v>
      </c>
      <c r="G103" s="8" t="s">
        <v>112</v>
      </c>
      <c r="J103" s="18"/>
      <c r="K103" s="18"/>
    </row>
    <row r="104" spans="1:15">
      <c r="A104" s="10"/>
      <c r="B104" s="21"/>
      <c r="C104" s="58" t="s">
        <v>117</v>
      </c>
      <c r="D104" s="58"/>
      <c r="E104" s="21" t="s">
        <v>1</v>
      </c>
      <c r="F104" s="11">
        <f>CEILING(F103,6)</f>
        <v>48</v>
      </c>
      <c r="G104" s="8" t="s">
        <v>112</v>
      </c>
      <c r="J104" s="18"/>
      <c r="K104" s="18"/>
    </row>
    <row r="105" spans="1:15">
      <c r="A105" s="10"/>
      <c r="B105" s="21"/>
      <c r="C105" s="12"/>
      <c r="D105" s="12"/>
      <c r="E105" s="21"/>
      <c r="F105" s="11"/>
      <c r="G105" s="8"/>
      <c r="J105" s="18"/>
      <c r="K105" s="18"/>
    </row>
    <row r="106" spans="1:15" ht="18.75">
      <c r="A106" s="10" t="s">
        <v>113</v>
      </c>
      <c r="B106" s="21" t="s">
        <v>1</v>
      </c>
      <c r="C106" s="58" t="s">
        <v>114</v>
      </c>
      <c r="D106" s="58"/>
      <c r="E106" s="21" t="s">
        <v>1</v>
      </c>
      <c r="F106" s="16">
        <f>3*SQRT(F77)</f>
        <v>45.447772222629347</v>
      </c>
      <c r="G106" s="8" t="s">
        <v>112</v>
      </c>
      <c r="J106" s="18"/>
      <c r="K106" s="18"/>
    </row>
    <row r="107" spans="1:15">
      <c r="A107" s="10"/>
      <c r="B107" s="21"/>
      <c r="C107" s="58" t="s">
        <v>117</v>
      </c>
      <c r="D107" s="58"/>
      <c r="E107" s="21" t="s">
        <v>1</v>
      </c>
      <c r="F107" s="11">
        <f>CEILING(F106,6)</f>
        <v>48</v>
      </c>
      <c r="G107" s="8" t="s">
        <v>112</v>
      </c>
      <c r="J107" s="18"/>
      <c r="K107" s="18"/>
    </row>
    <row r="108" spans="1:15">
      <c r="A108" s="10"/>
      <c r="B108" s="21"/>
      <c r="C108" s="12"/>
      <c r="D108" s="12"/>
      <c r="E108" s="21"/>
      <c r="F108" s="11"/>
      <c r="G108" s="8"/>
      <c r="J108" s="18"/>
      <c r="K108" s="18"/>
    </row>
    <row r="109" spans="1:15" ht="16.5">
      <c r="A109" s="10" t="s">
        <v>115</v>
      </c>
      <c r="B109" s="21" t="s">
        <v>1</v>
      </c>
      <c r="C109" s="58" t="s">
        <v>116</v>
      </c>
      <c r="D109" s="58"/>
      <c r="E109" s="21" t="s">
        <v>1</v>
      </c>
      <c r="F109" s="16">
        <f>0.67*F106</f>
        <v>30.450007389161662</v>
      </c>
      <c r="G109" s="8" t="s">
        <v>112</v>
      </c>
      <c r="J109" s="18"/>
      <c r="K109" s="18"/>
    </row>
    <row r="110" spans="1:15">
      <c r="A110" s="10"/>
      <c r="B110" s="21"/>
      <c r="C110" s="58" t="s">
        <v>117</v>
      </c>
      <c r="D110" s="58"/>
      <c r="E110" s="21" t="s">
        <v>1</v>
      </c>
      <c r="F110" s="11">
        <f>CEILING(F109,6)</f>
        <v>36</v>
      </c>
      <c r="G110" s="8" t="s">
        <v>112</v>
      </c>
      <c r="J110" s="18"/>
      <c r="K110" s="18"/>
    </row>
    <row r="111" spans="1:15">
      <c r="A111" s="10"/>
      <c r="B111" s="21"/>
      <c r="C111" s="12"/>
      <c r="D111" s="12"/>
      <c r="E111" s="21"/>
      <c r="F111" s="11"/>
      <c r="G111" s="8"/>
      <c r="J111" s="18"/>
      <c r="K111" s="18"/>
    </row>
    <row r="112" spans="1:15">
      <c r="B112" s="18"/>
      <c r="C112" s="18"/>
      <c r="G112" s="18"/>
      <c r="I112" s="102"/>
      <c r="J112" s="103"/>
      <c r="K112" s="104"/>
      <c r="L112" s="104"/>
      <c r="M112" s="102"/>
      <c r="N112" s="105"/>
      <c r="O112" s="106"/>
    </row>
    <row r="114" spans="1:1">
      <c r="A114" s="88" t="s">
        <v>125</v>
      </c>
    </row>
    <row r="115" spans="1:1">
      <c r="A115" s="88" t="s">
        <v>126</v>
      </c>
    </row>
    <row r="116" spans="1:1">
      <c r="A116" s="88" t="s">
        <v>127</v>
      </c>
    </row>
    <row r="117" spans="1:1">
      <c r="A117" s="88" t="s">
        <v>153</v>
      </c>
    </row>
    <row r="118" spans="1:1">
      <c r="A118" s="88" t="s">
        <v>152</v>
      </c>
    </row>
  </sheetData>
  <sheetProtection password="E156" sheet="1" objects="1" scenarios="1"/>
  <mergeCells count="42">
    <mergeCell ref="C109:D109"/>
    <mergeCell ref="C104:D104"/>
    <mergeCell ref="C107:D107"/>
    <mergeCell ref="C91:D91"/>
    <mergeCell ref="C93:D93"/>
    <mergeCell ref="C95:D95"/>
    <mergeCell ref="C97:D97"/>
    <mergeCell ref="C99:D99"/>
    <mergeCell ref="C101:D101"/>
    <mergeCell ref="C110:D110"/>
    <mergeCell ref="I60:J60"/>
    <mergeCell ref="C79:D79"/>
    <mergeCell ref="C81:D81"/>
    <mergeCell ref="C83:D83"/>
    <mergeCell ref="C85:D85"/>
    <mergeCell ref="C87:D87"/>
    <mergeCell ref="C77:D77"/>
    <mergeCell ref="C106:D106"/>
    <mergeCell ref="C103:D103"/>
    <mergeCell ref="C89:D89"/>
    <mergeCell ref="I65:L65"/>
    <mergeCell ref="I70:L70"/>
    <mergeCell ref="A75:C75"/>
    <mergeCell ref="A65:D65"/>
    <mergeCell ref="A70:D70"/>
    <mergeCell ref="A5:E5"/>
    <mergeCell ref="I5:M5"/>
    <mergeCell ref="I44:K44"/>
    <mergeCell ref="A26:D26"/>
    <mergeCell ref="A32:C32"/>
    <mergeCell ref="A38:D38"/>
    <mergeCell ref="A44:C44"/>
    <mergeCell ref="I16:K16"/>
    <mergeCell ref="I20:K20"/>
    <mergeCell ref="I26:L26"/>
    <mergeCell ref="I32:K32"/>
    <mergeCell ref="I15:O15"/>
    <mergeCell ref="A61:G61"/>
    <mergeCell ref="A60:B60"/>
    <mergeCell ref="I38:L38"/>
    <mergeCell ref="A16:C16"/>
    <mergeCell ref="A20:C20"/>
  </mergeCells>
  <pageMargins left="0.7" right="0.7" top="0.75" bottom="0.75" header="0.3" footer="0.3"/>
  <pageSetup scale="4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3"/>
  <sheetViews>
    <sheetView zoomScaleNormal="100" workbookViewId="0">
      <selection activeCell="F17" sqref="F17"/>
    </sheetView>
  </sheetViews>
  <sheetFormatPr defaultRowHeight="15"/>
  <cols>
    <col min="1" max="16384" width="9.140625" style="69"/>
  </cols>
  <sheetData>
    <row r="1" spans="1:7">
      <c r="A1" s="60" t="s">
        <v>162</v>
      </c>
    </row>
    <row r="5" spans="1:7">
      <c r="A5" s="107" t="s">
        <v>120</v>
      </c>
      <c r="B5" s="108"/>
      <c r="C5" s="108"/>
      <c r="D5" s="108"/>
      <c r="E5" s="108"/>
      <c r="F5" s="108"/>
      <c r="G5" s="108"/>
    </row>
    <row r="6" spans="1:7">
      <c r="A6" s="109" t="s">
        <v>124</v>
      </c>
      <c r="B6" s="109"/>
      <c r="C6" s="109"/>
      <c r="D6" s="109"/>
      <c r="E6" s="109"/>
      <c r="F6" s="109"/>
      <c r="G6" s="109"/>
    </row>
    <row r="7" spans="1:7">
      <c r="A7" s="108"/>
      <c r="B7" s="108"/>
      <c r="C7" s="108"/>
      <c r="D7" s="108"/>
      <c r="E7" s="108"/>
      <c r="F7" s="108"/>
      <c r="G7" s="108"/>
    </row>
    <row r="8" spans="1:7">
      <c r="A8" s="108" t="s">
        <v>154</v>
      </c>
      <c r="B8" s="108"/>
      <c r="C8" s="108"/>
      <c r="D8" s="108"/>
      <c r="E8" s="108"/>
      <c r="F8" s="108"/>
      <c r="G8" s="108"/>
    </row>
    <row r="9" spans="1:7">
      <c r="A9" s="108"/>
      <c r="B9" s="108"/>
      <c r="C9" s="108"/>
      <c r="D9" s="108"/>
      <c r="E9" s="108"/>
      <c r="F9" s="108"/>
      <c r="G9" s="108"/>
    </row>
    <row r="10" spans="1:7">
      <c r="A10" s="108"/>
      <c r="B10" s="108"/>
      <c r="C10" s="108"/>
      <c r="D10" s="108"/>
      <c r="E10" s="108"/>
      <c r="F10" s="108"/>
      <c r="G10" s="108"/>
    </row>
    <row r="23" spans="7:7">
      <c r="G23" s="2"/>
    </row>
  </sheetData>
  <sheetProtection password="E156" sheet="1" objects="1" scenarios="1"/>
  <mergeCells count="1">
    <mergeCell ref="A6:G6"/>
  </mergeCells>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Revisions</vt:lpstr>
      <vt:lpstr>Nomenclature</vt:lpstr>
      <vt:lpstr>Example 21-1</vt:lpstr>
      <vt:lpstr>Example 21-2</vt:lpstr>
      <vt:lpstr>LIMITS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Chip</dc:creator>
  <cp:lastModifiedBy>Hamilton, Stuart</cp:lastModifiedBy>
  <cp:lastPrinted>2013-09-25T18:54:43Z</cp:lastPrinted>
  <dcterms:created xsi:type="dcterms:W3CDTF">2008-10-22T16:07:34Z</dcterms:created>
  <dcterms:modified xsi:type="dcterms:W3CDTF">2017-04-07T16:38:46Z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