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bookViews>
    <workbookView xWindow="75" yWindow="-30" windowWidth="25035" windowHeight="6255" tabRatio="565" activeTab="1"/>
  </bookViews>
  <sheets>
    <sheet name="Revisions" sheetId="17" r:id="rId1"/>
    <sheet name="Nomenclature" sheetId="1" r:id="rId2"/>
    <sheet name="Example 22-1 Conditions" sheetId="2" r:id="rId3"/>
    <sheet name="Step 1" sheetId="3" r:id="rId4"/>
    <sheet name="Step 2" sheetId="4" r:id="rId5"/>
    <sheet name="Step 3" sheetId="5" r:id="rId6"/>
    <sheet name="Step 4" sheetId="6" r:id="rId7"/>
    <sheet name="Step 5" sheetId="7" r:id="rId8"/>
    <sheet name="Step 6" sheetId="8" r:id="rId9"/>
    <sheet name="Step 7" sheetId="9" r:id="rId10"/>
    <sheet name="Step 8" sheetId="10" r:id="rId11"/>
    <sheet name="Step 9" sheetId="11" r:id="rId12"/>
    <sheet name="Step 10" sheetId="12" r:id="rId13"/>
    <sheet name="Step 11" sheetId="13" r:id="rId14"/>
    <sheet name="Step 12" sheetId="14" r:id="rId15"/>
    <sheet name="Incinerator" sheetId="15" r:id="rId16"/>
    <sheet name="Fig. 22-28 Enthalpies" sheetId="16" r:id="rId17"/>
  </sheets>
  <definedNames>
    <definedName name="Enthalpy">'Fig. 22-28 Enthalpies'!$A$8:$W$40</definedName>
    <definedName name="EnthalpyData">'Fig. 22-28 Enthalpies'!$A$7:$W$40</definedName>
    <definedName name="solver_adj" localSheetId="15" hidden="1">Incinerator!$Q$52</definedName>
    <definedName name="solver_adj" localSheetId="3" hidden="1">'Step 1'!$M$56</definedName>
    <definedName name="solver_adj" localSheetId="13" hidden="1">'Step 11'!$M$33</definedName>
    <definedName name="solver_adj" localSheetId="7" hidden="1">'Step 5'!$M$33</definedName>
    <definedName name="solver_adj" localSheetId="10" hidden="1">'Step 8'!$M$35</definedName>
    <definedName name="solver_cvg" localSheetId="15" hidden="1">0.0001</definedName>
    <definedName name="solver_cvg" localSheetId="3" hidden="1">0.0001</definedName>
    <definedName name="solver_cvg" localSheetId="13" hidden="1">0.0001</definedName>
    <definedName name="solver_cvg" localSheetId="7" hidden="1">0.0001</definedName>
    <definedName name="solver_cvg" localSheetId="10" hidden="1">0.0001</definedName>
    <definedName name="solver_drv" localSheetId="15" hidden="1">1</definedName>
    <definedName name="solver_drv" localSheetId="3" hidden="1">1</definedName>
    <definedName name="solver_drv" localSheetId="13" hidden="1">1</definedName>
    <definedName name="solver_drv" localSheetId="7" hidden="1">1</definedName>
    <definedName name="solver_drv" localSheetId="10" hidden="1">1</definedName>
    <definedName name="solver_eng" localSheetId="15" hidden="1">1</definedName>
    <definedName name="solver_eng" localSheetId="3" hidden="1">1</definedName>
    <definedName name="solver_eng" localSheetId="13" hidden="1">1</definedName>
    <definedName name="solver_eng" localSheetId="7" hidden="1">1</definedName>
    <definedName name="solver_eng" localSheetId="10" hidden="1">1</definedName>
    <definedName name="solver_est" localSheetId="15" hidden="1">1</definedName>
    <definedName name="solver_est" localSheetId="3" hidden="1">1</definedName>
    <definedName name="solver_est" localSheetId="13" hidden="1">1</definedName>
    <definedName name="solver_est" localSheetId="7" hidden="1">1</definedName>
    <definedName name="solver_est" localSheetId="10" hidden="1">1</definedName>
    <definedName name="solver_itr" localSheetId="15" hidden="1">2147483647</definedName>
    <definedName name="solver_itr" localSheetId="3" hidden="1">2147483647</definedName>
    <definedName name="solver_itr" localSheetId="13" hidden="1">2147483647</definedName>
    <definedName name="solver_itr" localSheetId="7" hidden="1">2147483647</definedName>
    <definedName name="solver_itr" localSheetId="10" hidden="1">2147483647</definedName>
    <definedName name="solver_mip" localSheetId="15" hidden="1">2147483647</definedName>
    <definedName name="solver_mip" localSheetId="3" hidden="1">2147483647</definedName>
    <definedName name="solver_mip" localSheetId="13" hidden="1">2147483647</definedName>
    <definedName name="solver_mip" localSheetId="7" hidden="1">2147483647</definedName>
    <definedName name="solver_mip" localSheetId="10" hidden="1">2147483647</definedName>
    <definedName name="solver_mni" localSheetId="15" hidden="1">30</definedName>
    <definedName name="solver_mni" localSheetId="3" hidden="1">30</definedName>
    <definedName name="solver_mni" localSheetId="13" hidden="1">30</definedName>
    <definedName name="solver_mni" localSheetId="7" hidden="1">30</definedName>
    <definedName name="solver_mni" localSheetId="10" hidden="1">30</definedName>
    <definedName name="solver_mrt" localSheetId="15" hidden="1">0.075</definedName>
    <definedName name="solver_mrt" localSheetId="3" hidden="1">0.075</definedName>
    <definedName name="solver_mrt" localSheetId="13" hidden="1">0.075</definedName>
    <definedName name="solver_mrt" localSheetId="7" hidden="1">0.075</definedName>
    <definedName name="solver_mrt" localSheetId="10" hidden="1">0.075</definedName>
    <definedName name="solver_msl" localSheetId="15" hidden="1">2</definedName>
    <definedName name="solver_msl" localSheetId="3" hidden="1">2</definedName>
    <definedName name="solver_msl" localSheetId="13" hidden="1">2</definedName>
    <definedName name="solver_msl" localSheetId="7" hidden="1">2</definedName>
    <definedName name="solver_msl" localSheetId="10" hidden="1">2</definedName>
    <definedName name="solver_neg" localSheetId="15" hidden="1">1</definedName>
    <definedName name="solver_neg" localSheetId="3" hidden="1">1</definedName>
    <definedName name="solver_neg" localSheetId="13" hidden="1">1</definedName>
    <definedName name="solver_neg" localSheetId="7" hidden="1">1</definedName>
    <definedName name="solver_neg" localSheetId="10" hidden="1">1</definedName>
    <definedName name="solver_nod" localSheetId="15" hidden="1">2147483647</definedName>
    <definedName name="solver_nod" localSheetId="3" hidden="1">2147483647</definedName>
    <definedName name="solver_nod" localSheetId="13" hidden="1">2147483647</definedName>
    <definedName name="solver_nod" localSheetId="7" hidden="1">2147483647</definedName>
    <definedName name="solver_nod" localSheetId="10" hidden="1">2147483647</definedName>
    <definedName name="solver_num" localSheetId="15" hidden="1">0</definedName>
    <definedName name="solver_num" localSheetId="3" hidden="1">0</definedName>
    <definedName name="solver_num" localSheetId="13" hidden="1">0</definedName>
    <definedName name="solver_num" localSheetId="7" hidden="1">0</definedName>
    <definedName name="solver_num" localSheetId="10" hidden="1">0</definedName>
    <definedName name="solver_nwt" localSheetId="15" hidden="1">1</definedName>
    <definedName name="solver_nwt" localSheetId="3" hidden="1">1</definedName>
    <definedName name="solver_nwt" localSheetId="13" hidden="1">1</definedName>
    <definedName name="solver_nwt" localSheetId="7" hidden="1">1</definedName>
    <definedName name="solver_nwt" localSheetId="10" hidden="1">1</definedName>
    <definedName name="solver_opt" localSheetId="15" hidden="1">Incinerator!$M$53</definedName>
    <definedName name="solver_opt" localSheetId="3" hidden="1">'Step 1'!$M$58</definedName>
    <definedName name="solver_opt" localSheetId="13" hidden="1">'Step 11'!$M$35</definedName>
    <definedName name="solver_opt" localSheetId="7" hidden="1">'Step 5'!$M$35</definedName>
    <definedName name="solver_opt" localSheetId="10" hidden="1">'Step 8'!$M$37</definedName>
    <definedName name="solver_pre" localSheetId="15" hidden="1">0.000001</definedName>
    <definedName name="solver_pre" localSheetId="3" hidden="1">0.000001</definedName>
    <definedName name="solver_pre" localSheetId="13" hidden="1">0.000001</definedName>
    <definedName name="solver_pre" localSheetId="7" hidden="1">0.000001</definedName>
    <definedName name="solver_pre" localSheetId="10" hidden="1">0.000001</definedName>
    <definedName name="solver_rbv" localSheetId="15" hidden="1">1</definedName>
    <definedName name="solver_rbv" localSheetId="3" hidden="1">1</definedName>
    <definedName name="solver_rbv" localSheetId="13" hidden="1">1</definedName>
    <definedName name="solver_rbv" localSheetId="7" hidden="1">1</definedName>
    <definedName name="solver_rbv" localSheetId="10" hidden="1">1</definedName>
    <definedName name="solver_rlx" localSheetId="15" hidden="1">2</definedName>
    <definedName name="solver_rlx" localSheetId="3" hidden="1">2</definedName>
    <definedName name="solver_rlx" localSheetId="13" hidden="1">2</definedName>
    <definedName name="solver_rlx" localSheetId="7" hidden="1">2</definedName>
    <definedName name="solver_rlx" localSheetId="10" hidden="1">2</definedName>
    <definedName name="solver_rsd" localSheetId="15" hidden="1">0</definedName>
    <definedName name="solver_rsd" localSheetId="3" hidden="1">0</definedName>
    <definedName name="solver_rsd" localSheetId="13" hidden="1">0</definedName>
    <definedName name="solver_rsd" localSheetId="7" hidden="1">0</definedName>
    <definedName name="solver_rsd" localSheetId="10" hidden="1">0</definedName>
    <definedName name="solver_scl" localSheetId="15" hidden="1">1</definedName>
    <definedName name="solver_scl" localSheetId="3" hidden="1">1</definedName>
    <definedName name="solver_scl" localSheetId="13" hidden="1">1</definedName>
    <definedName name="solver_scl" localSheetId="7" hidden="1">1</definedName>
    <definedName name="solver_scl" localSheetId="10" hidden="1">1</definedName>
    <definedName name="solver_sho" localSheetId="15" hidden="1">2</definedName>
    <definedName name="solver_sho" localSheetId="3" hidden="1">2</definedName>
    <definedName name="solver_sho" localSheetId="13" hidden="1">2</definedName>
    <definedName name="solver_sho" localSheetId="7" hidden="1">2</definedName>
    <definedName name="solver_sho" localSheetId="10" hidden="1">2</definedName>
    <definedName name="solver_ssz" localSheetId="15" hidden="1">100</definedName>
    <definedName name="solver_ssz" localSheetId="3" hidden="1">100</definedName>
    <definedName name="solver_ssz" localSheetId="13" hidden="1">100</definedName>
    <definedName name="solver_ssz" localSheetId="7" hidden="1">100</definedName>
    <definedName name="solver_ssz" localSheetId="10" hidden="1">100</definedName>
    <definedName name="solver_tim" localSheetId="15" hidden="1">2147483647</definedName>
    <definedName name="solver_tim" localSheetId="3" hidden="1">2147483647</definedName>
    <definedName name="solver_tim" localSheetId="13" hidden="1">2147483647</definedName>
    <definedName name="solver_tim" localSheetId="7" hidden="1">2147483647</definedName>
    <definedName name="solver_tim" localSheetId="10" hidden="1">2147483647</definedName>
    <definedName name="solver_tol" localSheetId="15" hidden="1">0.01</definedName>
    <definedName name="solver_tol" localSheetId="3" hidden="1">0.01</definedName>
    <definedName name="solver_tol" localSheetId="13" hidden="1">0.01</definedName>
    <definedName name="solver_tol" localSheetId="7" hidden="1">0.01</definedName>
    <definedName name="solver_tol" localSheetId="10" hidden="1">0.01</definedName>
    <definedName name="solver_typ" localSheetId="15" hidden="1">3</definedName>
    <definedName name="solver_typ" localSheetId="3" hidden="1">3</definedName>
    <definedName name="solver_typ" localSheetId="13" hidden="1">3</definedName>
    <definedName name="solver_typ" localSheetId="7" hidden="1">3</definedName>
    <definedName name="solver_typ" localSheetId="10" hidden="1">3</definedName>
    <definedName name="solver_val" localSheetId="15" hidden="1">0</definedName>
    <definedName name="solver_val" localSheetId="3" hidden="1">0</definedName>
    <definedName name="solver_val" localSheetId="13" hidden="1">0</definedName>
    <definedName name="solver_val" localSheetId="7" hidden="1">0</definedName>
    <definedName name="solver_val" localSheetId="10" hidden="1">0</definedName>
    <definedName name="solver_ver" localSheetId="15" hidden="1">3</definedName>
    <definedName name="solver_ver" localSheetId="3" hidden="1">3</definedName>
    <definedName name="solver_ver" localSheetId="13" hidden="1">3</definedName>
    <definedName name="solver_ver" localSheetId="7" hidden="1">3</definedName>
    <definedName name="solver_ver" localSheetId="10" hidden="1">3</definedName>
  </definedNames>
  <calcPr calcId="145621"/>
</workbook>
</file>

<file path=xl/calcChain.xml><?xml version="1.0" encoding="utf-8"?>
<calcChain xmlns="http://schemas.openxmlformats.org/spreadsheetml/2006/main">
  <c r="Q25" i="12" l="1"/>
  <c r="Q24" i="12"/>
  <c r="F24" i="12"/>
  <c r="F25" i="12"/>
  <c r="M11" i="14"/>
  <c r="B11" i="14"/>
  <c r="M11" i="11"/>
  <c r="B11" i="11"/>
  <c r="N11" i="13" l="1"/>
  <c r="N11" i="10"/>
  <c r="C11" i="13"/>
  <c r="C55" i="13"/>
  <c r="C11" i="10"/>
  <c r="B46" i="5"/>
  <c r="B45" i="5"/>
  <c r="N55" i="13"/>
  <c r="N54" i="10"/>
  <c r="N57" i="7"/>
  <c r="C54" i="10"/>
  <c r="P100" i="15"/>
  <c r="P99" i="15"/>
  <c r="O99" i="15"/>
  <c r="Q99" i="15"/>
  <c r="P98" i="15"/>
  <c r="P97" i="15"/>
  <c r="M95" i="15"/>
  <c r="M94" i="15"/>
  <c r="O79" i="15"/>
  <c r="N88" i="15"/>
  <c r="N75" i="15"/>
  <c r="N74" i="15"/>
  <c r="N73" i="15"/>
  <c r="N61" i="15"/>
  <c r="M61" i="15"/>
  <c r="M66" i="15"/>
  <c r="O56" i="15"/>
  <c r="P101" i="15" s="1"/>
  <c r="Q101" i="15" s="1"/>
  <c r="L47" i="15"/>
  <c r="L45" i="15"/>
  <c r="O41" i="15"/>
  <c r="P41" i="15"/>
  <c r="O29" i="15"/>
  <c r="P96" i="15" s="1"/>
  <c r="O13" i="15"/>
  <c r="M93" i="15" s="1"/>
  <c r="N30" i="14"/>
  <c r="N19" i="15" s="1"/>
  <c r="O24" i="14"/>
  <c r="N31" i="14"/>
  <c r="N20" i="15" s="1"/>
  <c r="M13" i="14"/>
  <c r="M13" i="13"/>
  <c r="Q16" i="12"/>
  <c r="O14" i="12"/>
  <c r="O16" i="12"/>
  <c r="N23" i="12"/>
  <c r="N30" i="11"/>
  <c r="O24" i="11"/>
  <c r="N31" i="11"/>
  <c r="M13" i="11"/>
  <c r="Q16" i="9"/>
  <c r="O14" i="9"/>
  <c r="O16" i="9"/>
  <c r="M13" i="10"/>
  <c r="O20" i="8"/>
  <c r="M40" i="7"/>
  <c r="M13" i="7"/>
  <c r="Q21" i="6"/>
  <c r="N19" i="6"/>
  <c r="O16" i="6"/>
  <c r="O21" i="6"/>
  <c r="N36" i="5"/>
  <c r="N34" i="5"/>
  <c r="N31" i="5"/>
  <c r="N30" i="5"/>
  <c r="N29" i="5"/>
  <c r="O27" i="5"/>
  <c r="N37" i="5"/>
  <c r="M13" i="5"/>
  <c r="L40" i="4"/>
  <c r="Q26" i="4"/>
  <c r="Q23" i="4"/>
  <c r="Q21" i="4"/>
  <c r="Q19" i="4"/>
  <c r="Q16" i="4"/>
  <c r="Q25" i="4"/>
  <c r="M14" i="4"/>
  <c r="N96" i="3"/>
  <c r="N95" i="3"/>
  <c r="M95" i="3"/>
  <c r="O95" i="3"/>
  <c r="N94" i="3"/>
  <c r="N93" i="3"/>
  <c r="O71" i="3"/>
  <c r="M65" i="3"/>
  <c r="O61" i="3"/>
  <c r="N66" i="3" s="1"/>
  <c r="M46" i="3"/>
  <c r="R7" i="5" s="1"/>
  <c r="Q43" i="3"/>
  <c r="M16" i="2"/>
  <c r="N12" i="2"/>
  <c r="O34" i="3"/>
  <c r="P34" i="3" s="1"/>
  <c r="M83" i="3" s="1"/>
  <c r="M20" i="4" s="1"/>
  <c r="P20" i="4" s="1"/>
  <c r="M31" i="5" s="1"/>
  <c r="M25" i="6" s="1"/>
  <c r="Q25" i="6" s="1"/>
  <c r="B13" i="11"/>
  <c r="B61" i="15"/>
  <c r="B13" i="14"/>
  <c r="B40" i="7"/>
  <c r="C19" i="6"/>
  <c r="B13" i="5"/>
  <c r="B14" i="4"/>
  <c r="B95" i="3"/>
  <c r="D95" i="3"/>
  <c r="C96" i="3"/>
  <c r="C95" i="3"/>
  <c r="C94" i="3"/>
  <c r="C93" i="3"/>
  <c r="D56" i="15"/>
  <c r="E101" i="15" s="1"/>
  <c r="F101" i="15" s="1"/>
  <c r="D29" i="15"/>
  <c r="E96" i="15" s="1"/>
  <c r="E100" i="15"/>
  <c r="E99" i="15"/>
  <c r="E98" i="15"/>
  <c r="E97" i="15"/>
  <c r="E41" i="15"/>
  <c r="B94" i="15"/>
  <c r="B95" i="15"/>
  <c r="D41" i="15"/>
  <c r="D99" i="15"/>
  <c r="F99" i="15"/>
  <c r="W39" i="16"/>
  <c r="V39" i="16"/>
  <c r="U39" i="16"/>
  <c r="T39" i="16"/>
  <c r="S39" i="16"/>
  <c r="R39" i="16"/>
  <c r="Q39" i="16"/>
  <c r="P39" i="16"/>
  <c r="O39" i="16"/>
  <c r="N39" i="16"/>
  <c r="M39" i="16"/>
  <c r="L39" i="16"/>
  <c r="K39" i="16"/>
  <c r="J39" i="16"/>
  <c r="I39" i="16"/>
  <c r="H39" i="16"/>
  <c r="G39" i="16"/>
  <c r="F39" i="16"/>
  <c r="E39" i="16"/>
  <c r="D39" i="16"/>
  <c r="C39" i="16"/>
  <c r="B39" i="16"/>
  <c r="A39" i="16"/>
  <c r="W37" i="16"/>
  <c r="V37" i="16"/>
  <c r="U37" i="16"/>
  <c r="T37" i="16"/>
  <c r="S37" i="16"/>
  <c r="R37" i="16"/>
  <c r="Q37" i="16"/>
  <c r="P37" i="16"/>
  <c r="O37" i="16"/>
  <c r="N37" i="16"/>
  <c r="M37" i="16"/>
  <c r="L37" i="16"/>
  <c r="K37" i="16"/>
  <c r="J37" i="16"/>
  <c r="I37" i="16"/>
  <c r="H37" i="16"/>
  <c r="G37" i="16"/>
  <c r="F37" i="16"/>
  <c r="E37" i="16"/>
  <c r="D37" i="16"/>
  <c r="C37" i="16"/>
  <c r="B37" i="16"/>
  <c r="A37" i="16"/>
  <c r="W35" i="16"/>
  <c r="V35" i="16"/>
  <c r="U35" i="16"/>
  <c r="T35" i="16"/>
  <c r="S35" i="16"/>
  <c r="R35" i="16"/>
  <c r="Q35" i="16"/>
  <c r="P35" i="16"/>
  <c r="O35" i="16"/>
  <c r="N35" i="16"/>
  <c r="M35" i="16"/>
  <c r="L35" i="16"/>
  <c r="K35" i="16"/>
  <c r="J35" i="16"/>
  <c r="I35" i="16"/>
  <c r="H35" i="16"/>
  <c r="G35" i="16"/>
  <c r="F35" i="16"/>
  <c r="E35" i="16"/>
  <c r="D35" i="16"/>
  <c r="C35" i="16"/>
  <c r="B35" i="16"/>
  <c r="A35" i="16"/>
  <c r="W33" i="16"/>
  <c r="V33" i="16"/>
  <c r="U33" i="16"/>
  <c r="T33" i="16"/>
  <c r="S33" i="16"/>
  <c r="R33" i="16"/>
  <c r="Q33" i="16"/>
  <c r="P33" i="16"/>
  <c r="O33" i="16"/>
  <c r="N33" i="16"/>
  <c r="M33" i="16"/>
  <c r="L33" i="16"/>
  <c r="K33" i="16"/>
  <c r="J33" i="16"/>
  <c r="I33" i="16"/>
  <c r="H33" i="16"/>
  <c r="G33" i="16"/>
  <c r="F33" i="16"/>
  <c r="E33" i="16"/>
  <c r="D33" i="16"/>
  <c r="C33" i="16"/>
  <c r="B33" i="16"/>
  <c r="A33" i="16"/>
  <c r="W31" i="16"/>
  <c r="V31" i="16"/>
  <c r="U31" i="16"/>
  <c r="T31" i="16"/>
  <c r="S31" i="16"/>
  <c r="R31" i="16"/>
  <c r="Q31" i="16"/>
  <c r="P31" i="16"/>
  <c r="O31" i="16"/>
  <c r="N31" i="16"/>
  <c r="M31" i="16"/>
  <c r="L31" i="16"/>
  <c r="K31" i="16"/>
  <c r="J31" i="16"/>
  <c r="I31" i="16"/>
  <c r="H31" i="16"/>
  <c r="G31" i="16"/>
  <c r="F31" i="16"/>
  <c r="E31" i="16"/>
  <c r="D31" i="16"/>
  <c r="C31" i="16"/>
  <c r="B31" i="16"/>
  <c r="A31" i="16"/>
  <c r="C28" i="14"/>
  <c r="C17" i="15" s="1"/>
  <c r="C28" i="11"/>
  <c r="C24" i="8"/>
  <c r="C25" i="6"/>
  <c r="C31" i="5"/>
  <c r="F20" i="4"/>
  <c r="B65" i="3"/>
  <c r="C75" i="15"/>
  <c r="C74" i="15"/>
  <c r="C73" i="15"/>
  <c r="C61" i="15"/>
  <c r="D61" i="15" s="1"/>
  <c r="D66" i="15" s="1"/>
  <c r="F95" i="15" s="1"/>
  <c r="C31" i="14"/>
  <c r="C20" i="15" s="1"/>
  <c r="C29" i="14"/>
  <c r="C18" i="15" s="1"/>
  <c r="C26" i="14"/>
  <c r="C15" i="15" s="1"/>
  <c r="C30" i="6"/>
  <c r="C27" i="6"/>
  <c r="C24" i="6"/>
  <c r="C12" i="2"/>
  <c r="C20" i="3"/>
  <c r="B16" i="2"/>
  <c r="A45" i="15"/>
  <c r="A47" i="15"/>
  <c r="D79" i="15"/>
  <c r="C88" i="15"/>
  <c r="F43" i="3"/>
  <c r="B46" i="3"/>
  <c r="G7" i="5" s="1"/>
  <c r="D61" i="3"/>
  <c r="C66" i="3" s="1"/>
  <c r="D66" i="3" s="1"/>
  <c r="D71" i="3"/>
  <c r="C74" i="3"/>
  <c r="D14" i="12"/>
  <c r="D16" i="12"/>
  <c r="C20" i="12"/>
  <c r="F16" i="12"/>
  <c r="D24" i="14"/>
  <c r="C34" i="14"/>
  <c r="C22" i="15" s="1"/>
  <c r="C23" i="15" s="1"/>
  <c r="D13" i="15"/>
  <c r="B93" i="15" s="1"/>
  <c r="F16" i="4"/>
  <c r="F25" i="4"/>
  <c r="A40" i="4"/>
  <c r="D27" i="5"/>
  <c r="C37" i="5"/>
  <c r="D16" i="6"/>
  <c r="D21" i="6"/>
  <c r="C31" i="6"/>
  <c r="F21" i="6"/>
  <c r="B13" i="7"/>
  <c r="C57" i="7"/>
  <c r="D20" i="8"/>
  <c r="C27" i="8"/>
  <c r="D14" i="9"/>
  <c r="D16" i="9"/>
  <c r="C20" i="9"/>
  <c r="F16" i="9"/>
  <c r="D24" i="11"/>
  <c r="C31" i="11"/>
  <c r="C63" i="3"/>
  <c r="C27" i="14"/>
  <c r="C16" i="15" s="1"/>
  <c r="C30" i="14"/>
  <c r="C19" i="15" s="1"/>
  <c r="C23" i="12"/>
  <c r="C21" i="12"/>
  <c r="C26" i="12"/>
  <c r="C22" i="12"/>
  <c r="C19" i="12"/>
  <c r="C27" i="11"/>
  <c r="C30" i="11"/>
  <c r="C34" i="11"/>
  <c r="C26" i="11"/>
  <c r="C29" i="11"/>
  <c r="C23" i="9"/>
  <c r="C18" i="9"/>
  <c r="C22" i="9"/>
  <c r="B13" i="10"/>
  <c r="C23" i="8"/>
  <c r="C26" i="8"/>
  <c r="C30" i="8"/>
  <c r="C22" i="8"/>
  <c r="C25" i="8"/>
  <c r="C23" i="6"/>
  <c r="C26" i="6"/>
  <c r="C28" i="6"/>
  <c r="C30" i="5"/>
  <c r="C33" i="5"/>
  <c r="C36" i="5"/>
  <c r="C29" i="5"/>
  <c r="C32" i="5"/>
  <c r="C34" i="5"/>
  <c r="F19" i="4"/>
  <c r="F22" i="4"/>
  <c r="F24" i="4"/>
  <c r="F26" i="4"/>
  <c r="F18" i="4"/>
  <c r="F21" i="4"/>
  <c r="F23" i="4"/>
  <c r="C82" i="15"/>
  <c r="C86" i="15"/>
  <c r="C84" i="15"/>
  <c r="C85" i="15"/>
  <c r="A20" i="3"/>
  <c r="B32" i="3"/>
  <c r="D32" i="3"/>
  <c r="C16" i="2"/>
  <c r="D34" i="3"/>
  <c r="E34" i="3" s="1"/>
  <c r="B83" i="3" s="1"/>
  <c r="D39" i="3"/>
  <c r="E39" i="3" s="1"/>
  <c r="B87" i="3" s="1"/>
  <c r="B24" i="4" s="1"/>
  <c r="E24" i="4" s="1"/>
  <c r="B96" i="3"/>
  <c r="D96" i="3" s="1"/>
  <c r="D36" i="3"/>
  <c r="E36" i="3" s="1"/>
  <c r="B85" i="3" s="1"/>
  <c r="O46" i="3"/>
  <c r="N86" i="15"/>
  <c r="N85" i="15"/>
  <c r="N84" i="15"/>
  <c r="N82" i="15"/>
  <c r="N29" i="14"/>
  <c r="N18" i="15" s="1"/>
  <c r="N28" i="14"/>
  <c r="N17" i="15" s="1"/>
  <c r="N34" i="14"/>
  <c r="N22" i="15" s="1"/>
  <c r="N23" i="15" s="1"/>
  <c r="N26" i="14"/>
  <c r="N15" i="15" s="1"/>
  <c r="N27" i="14"/>
  <c r="N16" i="15" s="1"/>
  <c r="N26" i="12"/>
  <c r="N21" i="12"/>
  <c r="N20" i="12"/>
  <c r="N29" i="11"/>
  <c r="N28" i="11"/>
  <c r="N34" i="11"/>
  <c r="N26" i="11"/>
  <c r="N27" i="11"/>
  <c r="N23" i="9"/>
  <c r="N21" i="9"/>
  <c r="N19" i="9"/>
  <c r="N24" i="8"/>
  <c r="N22" i="8"/>
  <c r="N31" i="6"/>
  <c r="N30" i="6"/>
  <c r="N28" i="6"/>
  <c r="N27" i="6"/>
  <c r="N26" i="6"/>
  <c r="N25" i="6"/>
  <c r="N24" i="6"/>
  <c r="N23" i="6"/>
  <c r="N33" i="5"/>
  <c r="N32" i="5"/>
  <c r="Q18" i="4"/>
  <c r="Q20" i="4"/>
  <c r="Q22" i="4"/>
  <c r="Q24" i="4"/>
  <c r="B93" i="3"/>
  <c r="D93" i="3" s="1"/>
  <c r="C75" i="3"/>
  <c r="B63" i="3"/>
  <c r="C73" i="3"/>
  <c r="N65" i="3"/>
  <c r="O65" i="3" s="1"/>
  <c r="N63" i="3"/>
  <c r="N67" i="3"/>
  <c r="N64" i="3"/>
  <c r="C15" i="2"/>
  <c r="C13" i="2"/>
  <c r="B33" i="3"/>
  <c r="C14" i="2"/>
  <c r="B35" i="3"/>
  <c r="B66" i="3"/>
  <c r="B68" i="3" s="1"/>
  <c r="B42" i="3"/>
  <c r="B67" i="3" s="1"/>
  <c r="C22" i="3"/>
  <c r="C23" i="3" s="1"/>
  <c r="C38" i="3" s="1"/>
  <c r="A22" i="3"/>
  <c r="B64" i="3"/>
  <c r="B94" i="3"/>
  <c r="D94" i="3" s="1"/>
  <c r="N75" i="3"/>
  <c r="E32" i="3"/>
  <c r="D101" i="15"/>
  <c r="D46" i="15"/>
  <c r="E46" i="15"/>
  <c r="E47" i="15"/>
  <c r="B66" i="15"/>
  <c r="N18" i="12"/>
  <c r="N22" i="12"/>
  <c r="N19" i="12"/>
  <c r="B13" i="13"/>
  <c r="C18" i="12"/>
  <c r="N20" i="9"/>
  <c r="N26" i="9"/>
  <c r="C19" i="9"/>
  <c r="C21" i="9"/>
  <c r="N18" i="9"/>
  <c r="N22" i="9"/>
  <c r="C26" i="9"/>
  <c r="N26" i="8"/>
  <c r="N25" i="8"/>
  <c r="N23" i="8"/>
  <c r="N27" i="8"/>
  <c r="N30" i="8"/>
  <c r="O101" i="15"/>
  <c r="O46" i="15"/>
  <c r="P46" i="15"/>
  <c r="P47" i="15"/>
  <c r="O61" i="15"/>
  <c r="O66" i="15"/>
  <c r="Q95" i="15" s="1"/>
  <c r="N20" i="3"/>
  <c r="N16" i="2"/>
  <c r="M32" i="3"/>
  <c r="M63" i="3" s="1"/>
  <c r="L20" i="3"/>
  <c r="O32" i="3"/>
  <c r="P32" i="3" s="1"/>
  <c r="M81" i="3" s="1"/>
  <c r="O39" i="3"/>
  <c r="P39" i="3"/>
  <c r="M87" i="3" s="1"/>
  <c r="M24" i="4" s="1"/>
  <c r="M16" i="5" s="1"/>
  <c r="M37" i="5" s="1"/>
  <c r="O37" i="5" s="1"/>
  <c r="N13" i="2"/>
  <c r="M33" i="3"/>
  <c r="M64" i="3" s="1"/>
  <c r="O64" i="3" s="1"/>
  <c r="N14" i="2"/>
  <c r="M35" i="3"/>
  <c r="N15" i="2"/>
  <c r="M96" i="3"/>
  <c r="O96" i="3" s="1"/>
  <c r="M66" i="3"/>
  <c r="O66" i="3" s="1"/>
  <c r="L22" i="3"/>
  <c r="M42" i="3"/>
  <c r="M67" i="3" s="1"/>
  <c r="O67" i="3" s="1"/>
  <c r="N22" i="3"/>
  <c r="M94" i="3"/>
  <c r="O94" i="3" s="1"/>
  <c r="B73" i="3" l="1"/>
  <c r="C37" i="3"/>
  <c r="D37" i="3" s="1"/>
  <c r="E37" i="3" s="1"/>
  <c r="B86" i="3" s="1"/>
  <c r="O36" i="3"/>
  <c r="P36" i="3" s="1"/>
  <c r="M85" i="3" s="1"/>
  <c r="M22" i="4" s="1"/>
  <c r="B11" i="6"/>
  <c r="G7" i="8" s="1"/>
  <c r="B9" i="9" s="1"/>
  <c r="G7" i="11" s="1"/>
  <c r="B9" i="12" s="1"/>
  <c r="B43" i="3"/>
  <c r="C64" i="3"/>
  <c r="D64" i="3" s="1"/>
  <c r="D46" i="3"/>
  <c r="M43" i="3"/>
  <c r="C65" i="3"/>
  <c r="D65" i="3" s="1"/>
  <c r="O33" i="3"/>
  <c r="P33" i="3" s="1"/>
  <c r="M82" i="3" s="1"/>
  <c r="M93" i="3"/>
  <c r="O93" i="3" s="1"/>
  <c r="D33" i="3"/>
  <c r="D63" i="3"/>
  <c r="M11" i="6"/>
  <c r="R7" i="8" s="1"/>
  <c r="M9" i="9" s="1"/>
  <c r="R7" i="11" s="1"/>
  <c r="M9" i="12" s="1"/>
  <c r="R7" i="14" s="1"/>
  <c r="C67" i="3"/>
  <c r="D67" i="3" s="1"/>
  <c r="P24" i="4"/>
  <c r="P25" i="4" s="1"/>
  <c r="O31" i="4" s="1"/>
  <c r="O31" i="5"/>
  <c r="M17" i="7"/>
  <c r="N17" i="7" s="1"/>
  <c r="M47" i="7" s="1"/>
  <c r="M24" i="8" s="1"/>
  <c r="O24" i="8" s="1"/>
  <c r="R20" i="4"/>
  <c r="E28" i="6"/>
  <c r="E24" i="6"/>
  <c r="E27" i="6"/>
  <c r="E23" i="6"/>
  <c r="E31" i="6"/>
  <c r="E26" i="6"/>
  <c r="E30" i="6"/>
  <c r="E25" i="6"/>
  <c r="P28" i="6"/>
  <c r="P24" i="6"/>
  <c r="P27" i="6"/>
  <c r="P23" i="6"/>
  <c r="P31" i="6"/>
  <c r="P26" i="6"/>
  <c r="P30" i="6"/>
  <c r="P25" i="6"/>
  <c r="O25" i="6"/>
  <c r="M20" i="9"/>
  <c r="O20" i="9" s="1"/>
  <c r="E23" i="9"/>
  <c r="E19" i="9"/>
  <c r="E22" i="9"/>
  <c r="E18" i="9"/>
  <c r="E21" i="9"/>
  <c r="E26" i="9"/>
  <c r="E20" i="9"/>
  <c r="P26" i="9"/>
  <c r="P20" i="9"/>
  <c r="P23" i="9"/>
  <c r="P19" i="9"/>
  <c r="P22" i="9"/>
  <c r="P18" i="9"/>
  <c r="P21" i="9"/>
  <c r="E21" i="12"/>
  <c r="E26" i="12"/>
  <c r="E20" i="12"/>
  <c r="E23" i="12"/>
  <c r="E19" i="12"/>
  <c r="E22" i="12"/>
  <c r="E18" i="12"/>
  <c r="P20" i="12"/>
  <c r="P23" i="12"/>
  <c r="P19" i="12"/>
  <c r="P26" i="12"/>
  <c r="P22" i="12"/>
  <c r="P18" i="12"/>
  <c r="P21" i="12"/>
  <c r="M19" i="4"/>
  <c r="P22" i="4"/>
  <c r="E25" i="4"/>
  <c r="D45" i="5"/>
  <c r="D46" i="5"/>
  <c r="E26" i="4"/>
  <c r="G24" i="4"/>
  <c r="M18" i="4"/>
  <c r="P26" i="4"/>
  <c r="R24" i="4"/>
  <c r="B74" i="3"/>
  <c r="D74" i="3" s="1"/>
  <c r="C35" i="3"/>
  <c r="D73" i="3"/>
  <c r="O46" i="5"/>
  <c r="M15" i="5"/>
  <c r="M68" i="3"/>
  <c r="O63" i="3"/>
  <c r="O68" i="3" s="1"/>
  <c r="O91" i="3" s="1"/>
  <c r="B22" i="4"/>
  <c r="B20" i="4"/>
  <c r="B16" i="5"/>
  <c r="N23" i="3"/>
  <c r="N38" i="3" s="1"/>
  <c r="E33" i="3"/>
  <c r="B82" i="3" s="1"/>
  <c r="B81" i="3"/>
  <c r="N74" i="3"/>
  <c r="N73" i="3"/>
  <c r="D68" i="3" l="1"/>
  <c r="D91" i="3" s="1"/>
  <c r="M17" i="10"/>
  <c r="N17" i="10" s="1"/>
  <c r="M44" i="10" s="1"/>
  <c r="O45" i="5"/>
  <c r="R25" i="4"/>
  <c r="Q20" i="9"/>
  <c r="M73" i="3"/>
  <c r="N37" i="3"/>
  <c r="E20" i="4"/>
  <c r="O32" i="4"/>
  <c r="R26" i="4"/>
  <c r="D32" i="4"/>
  <c r="G26" i="4"/>
  <c r="G25" i="4"/>
  <c r="D31" i="4"/>
  <c r="B18" i="4"/>
  <c r="B15" i="5"/>
  <c r="B37" i="5"/>
  <c r="D37" i="5" s="1"/>
  <c r="B23" i="4"/>
  <c r="B19" i="4"/>
  <c r="E22" i="4"/>
  <c r="M36" i="5"/>
  <c r="O36" i="5" s="1"/>
  <c r="P19" i="4"/>
  <c r="B75" i="3"/>
  <c r="C43" i="3"/>
  <c r="D35" i="3"/>
  <c r="G7" i="14"/>
  <c r="P18" i="4"/>
  <c r="R22" i="4"/>
  <c r="M33" i="5"/>
  <c r="M28" i="11"/>
  <c r="E35" i="3" l="1"/>
  <c r="D43" i="3"/>
  <c r="O28" i="11"/>
  <c r="M20" i="12"/>
  <c r="D75" i="3"/>
  <c r="D76" i="3" s="1"/>
  <c r="D92" i="3" s="1"/>
  <c r="D97" i="3" s="1"/>
  <c r="B76" i="3"/>
  <c r="M30" i="5"/>
  <c r="R19" i="4"/>
  <c r="E19" i="4"/>
  <c r="E18" i="4"/>
  <c r="G22" i="4"/>
  <c r="B33" i="5"/>
  <c r="G20" i="4"/>
  <c r="B31" i="5"/>
  <c r="O33" i="5"/>
  <c r="M27" i="6"/>
  <c r="R18" i="4"/>
  <c r="M29" i="5"/>
  <c r="B36" i="5"/>
  <c r="D36" i="5" s="1"/>
  <c r="M74" i="3"/>
  <c r="O74" i="3" s="1"/>
  <c r="O37" i="3"/>
  <c r="P37" i="3" s="1"/>
  <c r="M86" i="3" s="1"/>
  <c r="N35" i="3"/>
  <c r="E23" i="4"/>
  <c r="O73" i="3"/>
  <c r="G23" i="4" l="1"/>
  <c r="B34" i="5"/>
  <c r="Q20" i="12"/>
  <c r="O20" i="12"/>
  <c r="M17" i="13"/>
  <c r="N17" i="13" s="1"/>
  <c r="M45" i="13" s="1"/>
  <c r="M75" i="3"/>
  <c r="N43" i="3"/>
  <c r="O35" i="3"/>
  <c r="Q27" i="6"/>
  <c r="M19" i="7"/>
  <c r="N19" i="7" s="1"/>
  <c r="M49" i="7" s="1"/>
  <c r="O27" i="6"/>
  <c r="D33" i="5"/>
  <c r="B27" i="6"/>
  <c r="O30" i="5"/>
  <c r="M24" i="6"/>
  <c r="M23" i="4"/>
  <c r="M23" i="6"/>
  <c r="O29" i="5"/>
  <c r="M7" i="6"/>
  <c r="B25" i="6"/>
  <c r="D31" i="5"/>
  <c r="G18" i="4"/>
  <c r="B29" i="5"/>
  <c r="B30" i="5"/>
  <c r="G19" i="4"/>
  <c r="B84" i="3"/>
  <c r="E43" i="3"/>
  <c r="C56" i="3" s="1"/>
  <c r="E56" i="3" s="1"/>
  <c r="B50" i="3" l="1"/>
  <c r="C16" i="4"/>
  <c r="D79" i="3"/>
  <c r="B21" i="4"/>
  <c r="B88" i="3"/>
  <c r="D29" i="5"/>
  <c r="B23" i="6"/>
  <c r="P35" i="3"/>
  <c r="O43" i="3"/>
  <c r="Q23" i="6"/>
  <c r="O23" i="6"/>
  <c r="M15" i="7"/>
  <c r="Q24" i="6"/>
  <c r="M16" i="7"/>
  <c r="N16" i="7" s="1"/>
  <c r="M46" i="7" s="1"/>
  <c r="O24" i="6"/>
  <c r="D30" i="5"/>
  <c r="B24" i="6"/>
  <c r="M26" i="8"/>
  <c r="O75" i="3"/>
  <c r="O76" i="3" s="1"/>
  <c r="O92" i="3" s="1"/>
  <c r="O97" i="3" s="1"/>
  <c r="M76" i="3"/>
  <c r="B28" i="6"/>
  <c r="D34" i="5"/>
  <c r="D25" i="6"/>
  <c r="F25" i="6"/>
  <c r="B17" i="7"/>
  <c r="C17" i="7" s="1"/>
  <c r="B47" i="7" s="1"/>
  <c r="P23" i="4"/>
  <c r="F27" i="6"/>
  <c r="B19" i="7"/>
  <c r="C19" i="7" s="1"/>
  <c r="B49" i="7" s="1"/>
  <c r="D27" i="6"/>
  <c r="M28" i="14"/>
  <c r="M34" i="5" l="1"/>
  <c r="R23" i="4"/>
  <c r="D23" i="6"/>
  <c r="B15" i="7"/>
  <c r="F23" i="6"/>
  <c r="E21" i="4"/>
  <c r="B27" i="4"/>
  <c r="B26" i="8"/>
  <c r="B24" i="8"/>
  <c r="B20" i="7"/>
  <c r="C20" i="7" s="1"/>
  <c r="B50" i="7" s="1"/>
  <c r="D28" i="6"/>
  <c r="F28" i="6"/>
  <c r="M22" i="9"/>
  <c r="O26" i="8"/>
  <c r="N15" i="7"/>
  <c r="M23" i="8"/>
  <c r="M84" i="3"/>
  <c r="P43" i="3"/>
  <c r="N56" i="3" s="1"/>
  <c r="P56" i="3" s="1"/>
  <c r="C87" i="3"/>
  <c r="C85" i="3"/>
  <c r="C82" i="3"/>
  <c r="C86" i="3"/>
  <c r="C83" i="3"/>
  <c r="C81" i="3"/>
  <c r="C84" i="3"/>
  <c r="O28" i="14"/>
  <c r="M17" i="15"/>
  <c r="B16" i="7"/>
  <c r="C16" i="7" s="1"/>
  <c r="B46" i="7" s="1"/>
  <c r="D24" i="6"/>
  <c r="F24" i="6"/>
  <c r="M50" i="3" l="1"/>
  <c r="C18" i="4"/>
  <c r="D18" i="4" s="1"/>
  <c r="D81" i="3"/>
  <c r="C23" i="4"/>
  <c r="D23" i="4" s="1"/>
  <c r="D86" i="3"/>
  <c r="N16" i="4"/>
  <c r="O79" i="3"/>
  <c r="Q55" i="3"/>
  <c r="S53" i="3"/>
  <c r="B20" i="9"/>
  <c r="D24" i="8"/>
  <c r="G21" i="4"/>
  <c r="G27" i="4" s="1"/>
  <c r="B32" i="5"/>
  <c r="E27" i="4"/>
  <c r="C21" i="4"/>
  <c r="D21" i="4" s="1"/>
  <c r="D84" i="3"/>
  <c r="C19" i="4"/>
  <c r="D19" i="4" s="1"/>
  <c r="D82" i="3"/>
  <c r="M45" i="7"/>
  <c r="D26" i="8"/>
  <c r="B22" i="9"/>
  <c r="B23" i="8"/>
  <c r="C22" i="4"/>
  <c r="D22" i="4" s="1"/>
  <c r="D85" i="3"/>
  <c r="B27" i="8"/>
  <c r="O17" i="15"/>
  <c r="O40" i="15"/>
  <c r="P40" i="15" s="1"/>
  <c r="O97" i="15"/>
  <c r="Q97" i="15" s="1"/>
  <c r="C20" i="4"/>
  <c r="D20" i="4" s="1"/>
  <c r="D83" i="3"/>
  <c r="C24" i="4"/>
  <c r="D24" i="4" s="1"/>
  <c r="D87" i="3"/>
  <c r="M21" i="4"/>
  <c r="M88" i="3"/>
  <c r="O23" i="8"/>
  <c r="M19" i="9"/>
  <c r="Q22" i="9"/>
  <c r="M19" i="10"/>
  <c r="N19" i="10" s="1"/>
  <c r="M46" i="10" s="1"/>
  <c r="O22" i="9"/>
  <c r="C15" i="7"/>
  <c r="M28" i="6"/>
  <c r="O34" i="5"/>
  <c r="D88" i="3" l="1"/>
  <c r="B58" i="3" s="1"/>
  <c r="Q19" i="9"/>
  <c r="O19" i="9"/>
  <c r="M16" i="10"/>
  <c r="N16" i="10" s="1"/>
  <c r="M43" i="10" s="1"/>
  <c r="D23" i="8"/>
  <c r="B19" i="9"/>
  <c r="B26" i="6"/>
  <c r="D32" i="5"/>
  <c r="D38" i="5" s="1"/>
  <c r="C39" i="5" s="1"/>
  <c r="B38" i="5"/>
  <c r="Q28" i="6"/>
  <c r="O28" i="6"/>
  <c r="M20" i="7"/>
  <c r="N20" i="7" s="1"/>
  <c r="M50" i="7" s="1"/>
  <c r="M30" i="11"/>
  <c r="B23" i="9"/>
  <c r="D27" i="8"/>
  <c r="M22" i="8"/>
  <c r="D22" i="9"/>
  <c r="F22" i="9"/>
  <c r="B19" i="10"/>
  <c r="C19" i="10" s="1"/>
  <c r="B46" i="10" s="1"/>
  <c r="N84" i="3"/>
  <c r="N86" i="3"/>
  <c r="N85" i="3"/>
  <c r="N83" i="3"/>
  <c r="N81" i="3"/>
  <c r="N82" i="3"/>
  <c r="N87" i="3"/>
  <c r="B45" i="7"/>
  <c r="P21" i="4"/>
  <c r="M27" i="4"/>
  <c r="B19" i="5"/>
  <c r="B18" i="5"/>
  <c r="B39" i="4"/>
  <c r="A42" i="4" s="1"/>
  <c r="F20" i="9"/>
  <c r="D20" i="9"/>
  <c r="B17" i="10"/>
  <c r="C17" i="10" s="1"/>
  <c r="B44" i="10" s="1"/>
  <c r="D27" i="4"/>
  <c r="C29" i="4" s="1"/>
  <c r="B35" i="4" s="1"/>
  <c r="O85" i="3" l="1"/>
  <c r="N22" i="4"/>
  <c r="O22" i="4" s="1"/>
  <c r="D19" i="9"/>
  <c r="F19" i="9"/>
  <c r="B16" i="10"/>
  <c r="C16" i="10" s="1"/>
  <c r="B43" i="10" s="1"/>
  <c r="R21" i="4"/>
  <c r="R27" i="4" s="1"/>
  <c r="M32" i="5"/>
  <c r="P27" i="4"/>
  <c r="B21" i="5"/>
  <c r="B23" i="5"/>
  <c r="N18" i="4"/>
  <c r="O18" i="4" s="1"/>
  <c r="O81" i="3"/>
  <c r="N21" i="4"/>
  <c r="O21" i="4" s="1"/>
  <c r="O84" i="3"/>
  <c r="M27" i="8"/>
  <c r="M27" i="11"/>
  <c r="B22" i="8"/>
  <c r="N20" i="4"/>
  <c r="O20" i="4" s="1"/>
  <c r="O83" i="3"/>
  <c r="B30" i="11"/>
  <c r="D23" i="9"/>
  <c r="F23" i="9"/>
  <c r="B20" i="10"/>
  <c r="C20" i="10" s="1"/>
  <c r="B47" i="10" s="1"/>
  <c r="B18" i="7"/>
  <c r="D26" i="6"/>
  <c r="F26" i="6"/>
  <c r="N24" i="4"/>
  <c r="O24" i="4" s="1"/>
  <c r="O87" i="3"/>
  <c r="B28" i="11"/>
  <c r="N19" i="4"/>
  <c r="O19" i="4" s="1"/>
  <c r="O82" i="3"/>
  <c r="N23" i="4"/>
  <c r="O23" i="4" s="1"/>
  <c r="O86" i="3"/>
  <c r="M18" i="9"/>
  <c r="O22" i="8"/>
  <c r="M22" i="12"/>
  <c r="O30" i="11"/>
  <c r="Q22" i="12" l="1"/>
  <c r="O22" i="12"/>
  <c r="M19" i="13"/>
  <c r="N19" i="13" s="1"/>
  <c r="M47" i="13" s="1"/>
  <c r="Q18" i="9"/>
  <c r="M15" i="10"/>
  <c r="O18" i="9"/>
  <c r="D28" i="11"/>
  <c r="B20" i="12"/>
  <c r="D22" i="8"/>
  <c r="B18" i="9"/>
  <c r="O27" i="8"/>
  <c r="M23" i="9"/>
  <c r="O88" i="3"/>
  <c r="M58" i="3" s="1"/>
  <c r="M19" i="5"/>
  <c r="M18" i="5"/>
  <c r="M39" i="4"/>
  <c r="L42" i="4" s="1"/>
  <c r="M19" i="12"/>
  <c r="O27" i="11"/>
  <c r="O27" i="4"/>
  <c r="N29" i="4" s="1"/>
  <c r="M35" i="4" s="1"/>
  <c r="O32" i="5"/>
  <c r="O38" i="5" s="1"/>
  <c r="N39" i="5" s="1"/>
  <c r="M26" i="6"/>
  <c r="M38" i="5"/>
  <c r="C18" i="7"/>
  <c r="F31" i="6"/>
  <c r="B24" i="5"/>
  <c r="D43" i="5" s="1"/>
  <c r="B31" i="11"/>
  <c r="B22" i="12"/>
  <c r="D30" i="11"/>
  <c r="C9" i="6"/>
  <c r="E9" i="6"/>
  <c r="F30" i="6"/>
  <c r="B31" i="6"/>
  <c r="B30" i="6"/>
  <c r="B22" i="5"/>
  <c r="D42" i="5" s="1"/>
  <c r="H29" i="5"/>
  <c r="B27" i="11"/>
  <c r="F32" i="6" l="1"/>
  <c r="M30" i="14"/>
  <c r="F22" i="12"/>
  <c r="D22" i="12"/>
  <c r="B19" i="13"/>
  <c r="C19" i="13" s="1"/>
  <c r="B47" i="13" s="1"/>
  <c r="B48" i="5"/>
  <c r="E12" i="6"/>
  <c r="C13" i="6" s="1"/>
  <c r="C12" i="6"/>
  <c r="M18" i="7"/>
  <c r="Q26" i="6"/>
  <c r="O26" i="6"/>
  <c r="Q19" i="12"/>
  <c r="M16" i="13"/>
  <c r="N16" i="13" s="1"/>
  <c r="M44" i="13" s="1"/>
  <c r="O19" i="12"/>
  <c r="M21" i="5"/>
  <c r="M23" i="5"/>
  <c r="F18" i="9"/>
  <c r="D18" i="9"/>
  <c r="B15" i="10"/>
  <c r="B21" i="7"/>
  <c r="D30" i="6"/>
  <c r="B32" i="6"/>
  <c r="D31" i="11"/>
  <c r="B23" i="12"/>
  <c r="F20" i="12"/>
  <c r="D20" i="12"/>
  <c r="B17" i="13"/>
  <c r="C17" i="13" s="1"/>
  <c r="B45" i="13" s="1"/>
  <c r="B19" i="12"/>
  <c r="D27" i="11"/>
  <c r="D31" i="6"/>
  <c r="B22" i="7"/>
  <c r="B48" i="7"/>
  <c r="Q23" i="9"/>
  <c r="O23" i="9"/>
  <c r="M20" i="10"/>
  <c r="N20" i="10" s="1"/>
  <c r="M47" i="10" s="1"/>
  <c r="N15" i="10"/>
  <c r="C22" i="7" l="1"/>
  <c r="B53" i="7" s="1"/>
  <c r="B54" i="7" s="1"/>
  <c r="B25" i="8"/>
  <c r="C15" i="10"/>
  <c r="P9" i="6"/>
  <c r="Q30" i="6"/>
  <c r="M31" i="6"/>
  <c r="M30" i="6"/>
  <c r="N9" i="6"/>
  <c r="M22" i="5"/>
  <c r="O42" i="5" s="1"/>
  <c r="S29" i="5"/>
  <c r="F23" i="12"/>
  <c r="D23" i="12"/>
  <c r="B20" i="13"/>
  <c r="C20" i="13" s="1"/>
  <c r="B48" i="13" s="1"/>
  <c r="B23" i="7"/>
  <c r="M27" i="14"/>
  <c r="M31" i="11"/>
  <c r="B28" i="14"/>
  <c r="Q31" i="6"/>
  <c r="M24" i="5"/>
  <c r="O43" i="5" s="1"/>
  <c r="N18" i="7"/>
  <c r="B30" i="14"/>
  <c r="O30" i="14"/>
  <c r="M19" i="15"/>
  <c r="O19" i="15" s="1"/>
  <c r="M42" i="10"/>
  <c r="F19" i="12"/>
  <c r="D19" i="12"/>
  <c r="B16" i="13"/>
  <c r="C16" i="13" s="1"/>
  <c r="B44" i="13" s="1"/>
  <c r="D32" i="6"/>
  <c r="B30" i="8" l="1"/>
  <c r="C23" i="7"/>
  <c r="C33" i="7" s="1"/>
  <c r="E33" i="7" s="1"/>
  <c r="D43" i="7" s="1"/>
  <c r="C50" i="7" s="1"/>
  <c r="D50" i="7" s="1"/>
  <c r="B11" i="8"/>
  <c r="Q32" i="6"/>
  <c r="O31" i="11"/>
  <c r="M23" i="12"/>
  <c r="M22" i="7"/>
  <c r="O31" i="6"/>
  <c r="C34" i="6"/>
  <c r="C56" i="7"/>
  <c r="C58" i="7" s="1"/>
  <c r="M48" i="7"/>
  <c r="D28" i="14"/>
  <c r="B17" i="15"/>
  <c r="D30" i="8"/>
  <c r="C7" i="9"/>
  <c r="M48" i="5"/>
  <c r="B14" i="8"/>
  <c r="B13" i="8"/>
  <c r="B27" i="14"/>
  <c r="C49" i="7"/>
  <c r="D49" i="7" s="1"/>
  <c r="C46" i="7"/>
  <c r="D46" i="7" s="1"/>
  <c r="C47" i="7"/>
  <c r="D47" i="7" s="1"/>
  <c r="M16" i="15"/>
  <c r="O27" i="14"/>
  <c r="B31" i="14"/>
  <c r="N12" i="6"/>
  <c r="P12" i="6"/>
  <c r="N13" i="6" s="1"/>
  <c r="M26" i="11"/>
  <c r="D30" i="14"/>
  <c r="B19" i="15"/>
  <c r="D19" i="15" s="1"/>
  <c r="O30" i="6"/>
  <c r="M21" i="7"/>
  <c r="M32" i="6"/>
  <c r="B42" i="10"/>
  <c r="D25" i="8"/>
  <c r="B21" i="9"/>
  <c r="B31" i="8"/>
  <c r="C45" i="7" l="1"/>
  <c r="D45" i="7" s="1"/>
  <c r="C53" i="7"/>
  <c r="D53" i="7" s="1"/>
  <c r="C48" i="7"/>
  <c r="D48" i="7" s="1"/>
  <c r="A27" i="7"/>
  <c r="M23" i="7"/>
  <c r="D54" i="7"/>
  <c r="B35" i="7" s="1"/>
  <c r="D31" i="8"/>
  <c r="B16" i="8"/>
  <c r="B17" i="8" s="1"/>
  <c r="D35" i="8" s="1"/>
  <c r="B26" i="9"/>
  <c r="H22" i="8"/>
  <c r="D40" i="15"/>
  <c r="E40" i="15" s="1"/>
  <c r="D17" i="15"/>
  <c r="D97" i="15"/>
  <c r="F97" i="15" s="1"/>
  <c r="O32" i="6"/>
  <c r="O16" i="15"/>
  <c r="M82" i="15"/>
  <c r="N22" i="7"/>
  <c r="B26" i="11"/>
  <c r="D31" i="14"/>
  <c r="B20" i="15"/>
  <c r="B16" i="15"/>
  <c r="D27" i="14"/>
  <c r="C10" i="9"/>
  <c r="E10" i="9"/>
  <c r="C11" i="9" s="1"/>
  <c r="Q23" i="12"/>
  <c r="M20" i="13"/>
  <c r="N20" i="13" s="1"/>
  <c r="M48" i="13" s="1"/>
  <c r="O23" i="12"/>
  <c r="D21" i="9"/>
  <c r="F21" i="9"/>
  <c r="B18" i="10"/>
  <c r="M18" i="12"/>
  <c r="O26" i="11"/>
  <c r="M25" i="8"/>
  <c r="C32" i="8" l="1"/>
  <c r="B37" i="8"/>
  <c r="O25" i="8"/>
  <c r="M21" i="9"/>
  <c r="B18" i="12"/>
  <c r="D26" i="11"/>
  <c r="O82" i="15"/>
  <c r="F26" i="9"/>
  <c r="F27" i="9" s="1"/>
  <c r="D26" i="9"/>
  <c r="D27" i="9" s="1"/>
  <c r="B23" i="10"/>
  <c r="C23" i="10" s="1"/>
  <c r="B50" i="10" s="1"/>
  <c r="C18" i="10"/>
  <c r="M31" i="14"/>
  <c r="D20" i="15"/>
  <c r="Q18" i="12"/>
  <c r="O18" i="12"/>
  <c r="M15" i="13"/>
  <c r="D16" i="15"/>
  <c r="B82" i="15"/>
  <c r="M53" i="7"/>
  <c r="N23" i="7"/>
  <c r="L27" i="7"/>
  <c r="N33" i="7"/>
  <c r="P33" i="7" s="1"/>
  <c r="O43" i="7" s="1"/>
  <c r="N34" i="6"/>
  <c r="N56" i="7"/>
  <c r="N58" i="7" s="1"/>
  <c r="B27" i="9"/>
  <c r="B24" i="10" l="1"/>
  <c r="C29" i="9"/>
  <c r="C53" i="10"/>
  <c r="C55" i="10" s="1"/>
  <c r="M11" i="8"/>
  <c r="M30" i="8"/>
  <c r="M54" i="7"/>
  <c r="M20" i="15"/>
  <c r="O31" i="14"/>
  <c r="N46" i="7"/>
  <c r="O46" i="7" s="1"/>
  <c r="N50" i="7"/>
  <c r="O50" i="7" s="1"/>
  <c r="N47" i="7"/>
  <c r="O47" i="7" s="1"/>
  <c r="N53" i="7"/>
  <c r="O53" i="7" s="1"/>
  <c r="N48" i="7"/>
  <c r="O48" i="7" s="1"/>
  <c r="N49" i="7"/>
  <c r="O49" i="7" s="1"/>
  <c r="N45" i="7"/>
  <c r="O45" i="7" s="1"/>
  <c r="D82" i="15"/>
  <c r="N15" i="13"/>
  <c r="B45" i="10"/>
  <c r="C24" i="10"/>
  <c r="A28" i="10" s="1"/>
  <c r="F18" i="12"/>
  <c r="B15" i="13"/>
  <c r="D18" i="12"/>
  <c r="Q21" i="9"/>
  <c r="O21" i="9"/>
  <c r="M18" i="10"/>
  <c r="B34" i="11"/>
  <c r="B15" i="11"/>
  <c r="C35" i="10" l="1"/>
  <c r="E35" i="10" s="1"/>
  <c r="D40" i="10" s="1"/>
  <c r="C47" i="10" s="1"/>
  <c r="D47" i="10" s="1"/>
  <c r="O20" i="15"/>
  <c r="N7" i="9"/>
  <c r="O30" i="8"/>
  <c r="O31" i="8" s="1"/>
  <c r="M31" i="8"/>
  <c r="C7" i="12"/>
  <c r="D34" i="11"/>
  <c r="C15" i="13"/>
  <c r="B29" i="11"/>
  <c r="B51" i="10"/>
  <c r="M13" i="8"/>
  <c r="M14" i="8"/>
  <c r="N18" i="10"/>
  <c r="M43" i="13"/>
  <c r="O54" i="7"/>
  <c r="C46" i="10" l="1"/>
  <c r="D46" i="10" s="1"/>
  <c r="C43" i="10"/>
  <c r="D43" i="10" s="1"/>
  <c r="C42" i="10"/>
  <c r="D42" i="10" s="1"/>
  <c r="C45" i="10"/>
  <c r="D45" i="10" s="1"/>
  <c r="C44" i="10"/>
  <c r="D44" i="10" s="1"/>
  <c r="C50" i="10"/>
  <c r="D50" i="10" s="1"/>
  <c r="M26" i="14"/>
  <c r="N10" i="9"/>
  <c r="P10" i="9"/>
  <c r="N11" i="9" s="1"/>
  <c r="M16" i="8"/>
  <c r="M17" i="8" s="1"/>
  <c r="O35" i="8" s="1"/>
  <c r="M26" i="9"/>
  <c r="S22" i="8"/>
  <c r="D29" i="11"/>
  <c r="D35" i="11" s="1"/>
  <c r="B21" i="12"/>
  <c r="B35" i="11"/>
  <c r="B43" i="13"/>
  <c r="N32" i="8"/>
  <c r="M35" i="7"/>
  <c r="M45" i="10"/>
  <c r="B17" i="11"/>
  <c r="B18" i="11"/>
  <c r="E10" i="12"/>
  <c r="C11" i="12" s="1"/>
  <c r="C10" i="12"/>
  <c r="M37" i="8" l="1"/>
  <c r="D51" i="10"/>
  <c r="B37" i="10" s="1"/>
  <c r="B26" i="12"/>
  <c r="B27" i="12" s="1"/>
  <c r="B20" i="11"/>
  <c r="B21" i="11" s="1"/>
  <c r="D39" i="11" s="1"/>
  <c r="H26" i="11"/>
  <c r="Q26" i="9"/>
  <c r="Q27" i="9" s="1"/>
  <c r="O26" i="9"/>
  <c r="O27" i="9" s="1"/>
  <c r="N53" i="10" s="1"/>
  <c r="N55" i="10" s="1"/>
  <c r="M23" i="10"/>
  <c r="M27" i="9"/>
  <c r="C36" i="11"/>
  <c r="F21" i="12"/>
  <c r="B18" i="13"/>
  <c r="D21" i="12"/>
  <c r="M29" i="11"/>
  <c r="B26" i="14"/>
  <c r="O26" i="14"/>
  <c r="M15" i="15"/>
  <c r="N29" i="9" l="1"/>
  <c r="B41" i="11"/>
  <c r="O29" i="11"/>
  <c r="M21" i="12"/>
  <c r="C18" i="13"/>
  <c r="O15" i="15"/>
  <c r="O96" i="15"/>
  <c r="Q96" i="15" s="1"/>
  <c r="O39" i="15"/>
  <c r="P39" i="15" s="1"/>
  <c r="D26" i="14"/>
  <c r="B15" i="15"/>
  <c r="N23" i="10"/>
  <c r="M24" i="10"/>
  <c r="F26" i="12"/>
  <c r="F27" i="12" s="1"/>
  <c r="D26" i="12"/>
  <c r="D27" i="12" s="1"/>
  <c r="C54" i="13" s="1"/>
  <c r="C56" i="13" s="1"/>
  <c r="B23" i="13"/>
  <c r="C23" i="13" s="1"/>
  <c r="B51" i="13" s="1"/>
  <c r="C29" i="12" l="1"/>
  <c r="D39" i="15"/>
  <c r="E39" i="15" s="1"/>
  <c r="D96" i="15"/>
  <c r="F96" i="15" s="1"/>
  <c r="D15" i="15"/>
  <c r="Q21" i="12"/>
  <c r="O21" i="12"/>
  <c r="M18" i="13"/>
  <c r="B24" i="13"/>
  <c r="B15" i="14"/>
  <c r="B34" i="14"/>
  <c r="D34" i="14" s="1"/>
  <c r="M50" i="10"/>
  <c r="N24" i="10"/>
  <c r="N35" i="10" s="1"/>
  <c r="P35" i="10" s="1"/>
  <c r="O40" i="10" s="1"/>
  <c r="B46" i="13"/>
  <c r="C24" i="13"/>
  <c r="C33" i="13" s="1"/>
  <c r="E33" i="13" s="1"/>
  <c r="D41" i="13" s="1"/>
  <c r="A28" i="13" l="1"/>
  <c r="N46" i="10"/>
  <c r="O46" i="10" s="1"/>
  <c r="N42" i="10"/>
  <c r="O42" i="10" s="1"/>
  <c r="N43" i="10"/>
  <c r="O43" i="10" s="1"/>
  <c r="N47" i="10"/>
  <c r="O47" i="10" s="1"/>
  <c r="N50" i="10"/>
  <c r="O50" i="10" s="1"/>
  <c r="N44" i="10"/>
  <c r="O44" i="10" s="1"/>
  <c r="N45" i="10"/>
  <c r="O45" i="10" s="1"/>
  <c r="C45" i="13"/>
  <c r="D45" i="13" s="1"/>
  <c r="C44" i="13"/>
  <c r="D44" i="13" s="1"/>
  <c r="C51" i="13"/>
  <c r="D51" i="13" s="1"/>
  <c r="C47" i="13"/>
  <c r="D47" i="13" s="1"/>
  <c r="C46" i="13"/>
  <c r="D46" i="13" s="1"/>
  <c r="C43" i="13"/>
  <c r="D43" i="13" s="1"/>
  <c r="C48" i="13"/>
  <c r="D48" i="13" s="1"/>
  <c r="L28" i="10"/>
  <c r="B29" i="14"/>
  <c r="B52" i="13"/>
  <c r="N18" i="13"/>
  <c r="M15" i="11"/>
  <c r="M34" i="11"/>
  <c r="M51" i="10"/>
  <c r="O34" i="11" l="1"/>
  <c r="O35" i="11" s="1"/>
  <c r="N7" i="12"/>
  <c r="M35" i="11"/>
  <c r="B17" i="14"/>
  <c r="B18" i="14"/>
  <c r="M18" i="11"/>
  <c r="M17" i="11"/>
  <c r="B18" i="15"/>
  <c r="D29" i="14"/>
  <c r="D35" i="14" s="1"/>
  <c r="B35" i="14"/>
  <c r="M46" i="13"/>
  <c r="O51" i="10"/>
  <c r="D52" i="13"/>
  <c r="D18" i="15" l="1"/>
  <c r="M37" i="10"/>
  <c r="N36" i="11"/>
  <c r="M20" i="11"/>
  <c r="M21" i="11" s="1"/>
  <c r="O39" i="11" s="1"/>
  <c r="M26" i="12"/>
  <c r="S26" i="11"/>
  <c r="P10" i="12"/>
  <c r="N11" i="12" s="1"/>
  <c r="N10" i="12"/>
  <c r="C36" i="14"/>
  <c r="B35" i="13"/>
  <c r="M29" i="14"/>
  <c r="B20" i="14"/>
  <c r="B21" i="14" s="1"/>
  <c r="B22" i="15"/>
  <c r="H26" i="14"/>
  <c r="D7" i="15" s="1"/>
  <c r="B23" i="15" l="1"/>
  <c r="B85" i="15" s="1"/>
  <c r="D85" i="15" s="1"/>
  <c r="D39" i="14"/>
  <c r="B41" i="14" s="1"/>
  <c r="Q26" i="12"/>
  <c r="Q27" i="12" s="1"/>
  <c r="O26" i="12"/>
  <c r="O27" i="12" s="1"/>
  <c r="N54" i="13" s="1"/>
  <c r="N56" i="13" s="1"/>
  <c r="M23" i="13"/>
  <c r="M27" i="12"/>
  <c r="D42" i="15"/>
  <c r="E42" i="15" s="1"/>
  <c r="D22" i="15"/>
  <c r="D100" i="15"/>
  <c r="F100" i="15" s="1"/>
  <c r="O29" i="14"/>
  <c r="M18" i="15"/>
  <c r="M41" i="11"/>
  <c r="O18" i="15" l="1"/>
  <c r="N23" i="13"/>
  <c r="M24" i="13"/>
  <c r="D43" i="15"/>
  <c r="E43" i="15" s="1"/>
  <c r="E44" i="15" s="1"/>
  <c r="E45" i="15" s="1"/>
  <c r="E48" i="15" s="1"/>
  <c r="B73" i="15" s="1"/>
  <c r="D23" i="15"/>
  <c r="D24" i="15" s="1"/>
  <c r="F93" i="15" s="1"/>
  <c r="D98" i="15"/>
  <c r="F98" i="15" s="1"/>
  <c r="D10" i="15"/>
  <c r="N29" i="12"/>
  <c r="B24" i="15"/>
  <c r="B74" i="15" l="1"/>
  <c r="B75" i="15" s="1"/>
  <c r="D73" i="15"/>
  <c r="B88" i="15"/>
  <c r="D88" i="15" s="1"/>
  <c r="M51" i="13"/>
  <c r="N24" i="13"/>
  <c r="L28" i="13" s="1"/>
  <c r="N33" i="13" l="1"/>
  <c r="P33" i="13" s="1"/>
  <c r="O41" i="13" s="1"/>
  <c r="N47" i="13" s="1"/>
  <c r="O47" i="13" s="1"/>
  <c r="B76" i="15"/>
  <c r="M34" i="14"/>
  <c r="M15" i="14"/>
  <c r="M52" i="13"/>
  <c r="D75" i="15"/>
  <c r="B84" i="15"/>
  <c r="D74" i="15"/>
  <c r="B86" i="15"/>
  <c r="D86" i="15" s="1"/>
  <c r="N51" i="13" l="1"/>
  <c r="O51" i="13" s="1"/>
  <c r="N44" i="13"/>
  <c r="O44" i="13" s="1"/>
  <c r="N45" i="13"/>
  <c r="O45" i="13" s="1"/>
  <c r="N43" i="13"/>
  <c r="O43" i="13" s="1"/>
  <c r="N46" i="13"/>
  <c r="O46" i="13" s="1"/>
  <c r="N48" i="13"/>
  <c r="O48" i="13" s="1"/>
  <c r="D76" i="15"/>
  <c r="F94" i="15" s="1"/>
  <c r="F102" i="15" s="1"/>
  <c r="M18" i="14"/>
  <c r="M17" i="14"/>
  <c r="D84" i="15"/>
  <c r="D89" i="15" s="1"/>
  <c r="B89" i="15"/>
  <c r="O34" i="14"/>
  <c r="O35" i="14" s="1"/>
  <c r="M35" i="14"/>
  <c r="O52" i="13" l="1"/>
  <c r="M35" i="13" s="1"/>
  <c r="B53" i="15"/>
  <c r="M22" i="15"/>
  <c r="M20" i="14"/>
  <c r="M21" i="14" s="1"/>
  <c r="S26" i="14"/>
  <c r="O7" i="15" s="1"/>
  <c r="N36" i="14" l="1"/>
  <c r="O39" i="14"/>
  <c r="M23" i="15"/>
  <c r="M85" i="15" s="1"/>
  <c r="O85" i="15" s="1"/>
  <c r="O100" i="15"/>
  <c r="Q100" i="15" s="1"/>
  <c r="O42" i="15"/>
  <c r="P42" i="15" s="1"/>
  <c r="O22" i="15"/>
  <c r="O10" i="15"/>
  <c r="M41" i="14" l="1"/>
  <c r="M24" i="15"/>
  <c r="O23" i="15"/>
  <c r="O24" i="15" s="1"/>
  <c r="Q93" i="15" s="1"/>
  <c r="O43" i="15"/>
  <c r="P43" i="15" s="1"/>
  <c r="P44" i="15" s="1"/>
  <c r="P45" i="15" s="1"/>
  <c r="P48" i="15" s="1"/>
  <c r="M73" i="15" s="1"/>
  <c r="O98" i="15"/>
  <c r="Q98" i="15" s="1"/>
  <c r="M74" i="15" l="1"/>
  <c r="M75" i="15" s="1"/>
  <c r="O73" i="15"/>
  <c r="M88" i="15"/>
  <c r="O88" i="15" s="1"/>
  <c r="O75" i="15" l="1"/>
  <c r="M84" i="15"/>
  <c r="M76" i="15"/>
  <c r="O74" i="15"/>
  <c r="M86" i="15"/>
  <c r="O86" i="15" s="1"/>
  <c r="O76" i="15" l="1"/>
  <c r="Q94" i="15" s="1"/>
  <c r="Q102" i="15" s="1"/>
  <c r="O84" i="15"/>
  <c r="O89" i="15" s="1"/>
  <c r="M89" i="15"/>
  <c r="M53" i="15" l="1"/>
</calcChain>
</file>

<file path=xl/sharedStrings.xml><?xml version="1.0" encoding="utf-8"?>
<sst xmlns="http://schemas.openxmlformats.org/spreadsheetml/2006/main" count="1807" uniqueCount="308">
  <si>
    <t>FIG. 22-1</t>
  </si>
  <si>
    <t>Nomenclature</t>
  </si>
  <si>
    <t>H</t>
  </si>
  <si>
    <t>=</t>
  </si>
  <si>
    <t>heat content or enthalpy, Btu/lb or Btu/lb-mole</t>
  </si>
  <si>
    <t>Acid Gas</t>
  </si>
  <si>
    <r>
      <t>feed stream to sulfur recovery plant consisting of H</t>
    </r>
    <r>
      <rPr>
        <vertAlign val="subscript"/>
        <sz val="10"/>
        <rFont val="Times New Roman"/>
        <family val="1"/>
      </rPr>
      <t>2</t>
    </r>
    <r>
      <rPr>
        <sz val="10"/>
        <rFont val="Times New Roman"/>
        <family val="1"/>
      </rPr>
      <t>S, CO</t>
    </r>
    <r>
      <rPr>
        <vertAlign val="subscript"/>
        <sz val="10"/>
        <rFont val="Times New Roman"/>
        <family val="1"/>
      </rPr>
      <t>2</t>
    </r>
    <r>
      <rPr>
        <sz val="10"/>
        <rFont val="Times New Roman"/>
        <family val="1"/>
      </rPr>
      <t>, H</t>
    </r>
    <r>
      <rPr>
        <vertAlign val="subscript"/>
        <sz val="10"/>
        <rFont val="Times New Roman"/>
        <family val="1"/>
      </rPr>
      <t>2</t>
    </r>
    <r>
      <rPr>
        <sz val="10"/>
        <rFont val="Times New Roman"/>
        <family val="1"/>
      </rPr>
      <t>O, and usually less than 2 mol % hydrocarbons</t>
    </r>
  </si>
  <si>
    <r>
      <t>K</t>
    </r>
    <r>
      <rPr>
        <vertAlign val="subscript"/>
        <sz val="11"/>
        <color indexed="8"/>
        <rFont val="Calibri"/>
        <family val="2"/>
      </rPr>
      <t>p</t>
    </r>
  </si>
  <si>
    <t>equilibrium constant*</t>
  </si>
  <si>
    <t>Claus Process</t>
  </si>
  <si>
    <r>
      <t>a process in which 1/3 of the H</t>
    </r>
    <r>
      <rPr>
        <vertAlign val="subscript"/>
        <sz val="10"/>
        <rFont val="Times New Roman"/>
        <family val="1"/>
      </rPr>
      <t>2</t>
    </r>
    <r>
      <rPr>
        <sz val="10"/>
        <rFont val="Times New Roman"/>
        <family val="1"/>
      </rPr>
      <t>S in the acid gas feed is burned to SO</t>
    </r>
    <r>
      <rPr>
        <vertAlign val="subscript"/>
        <sz val="10"/>
        <rFont val="Times New Roman"/>
        <family val="1"/>
      </rPr>
      <t>2</t>
    </r>
    <r>
      <rPr>
        <sz val="10"/>
        <rFont val="Times New Roman"/>
        <family val="1"/>
      </rPr>
      <t xml:space="preserve"> which is then reacted with the remaining H</t>
    </r>
    <r>
      <rPr>
        <vertAlign val="subscript"/>
        <sz val="10"/>
        <rFont val="Times New Roman"/>
        <family val="1"/>
      </rPr>
      <t>2</t>
    </r>
    <r>
      <rPr>
        <sz val="10"/>
        <rFont val="Times New Roman"/>
        <family val="1"/>
      </rPr>
      <t>S to produce sulfur.  This is also referred to as the modified Claus process</t>
    </r>
  </si>
  <si>
    <t>LT/D</t>
  </si>
  <si>
    <t>long ton per day (A long ton is 2240 lb)</t>
  </si>
  <si>
    <t>Residence Time</t>
  </si>
  <si>
    <t>the period of time in which a process stream will be contained within a certain volume or piece of equipment, seconds</t>
  </si>
  <si>
    <t>P</t>
  </si>
  <si>
    <t>partial pressure, atmospheres</t>
  </si>
  <si>
    <t>Tail Gas Cleanup Unit</t>
  </si>
  <si>
    <t>a process unit designed to take tail gas from a Claus sulfur recovery plant and remove additional sulfur with the goal of meeting environmental sulfur emission standards</t>
  </si>
  <si>
    <t>π</t>
  </si>
  <si>
    <t>total pressure, atmospheres</t>
  </si>
  <si>
    <t>*</t>
  </si>
  <si>
    <t>For the low pressure, vapor phase Claus reaction</t>
  </si>
  <si>
    <r>
      <t>2H</t>
    </r>
    <r>
      <rPr>
        <vertAlign val="subscript"/>
        <sz val="10"/>
        <rFont val="Times New Roman"/>
        <family val="1"/>
      </rPr>
      <t>2</t>
    </r>
    <r>
      <rPr>
        <sz val="10"/>
        <rFont val="Times New Roman"/>
        <family val="1"/>
      </rPr>
      <t>S + SO</t>
    </r>
    <r>
      <rPr>
        <vertAlign val="subscript"/>
        <sz val="10"/>
        <rFont val="Times New Roman"/>
        <family val="1"/>
      </rPr>
      <t>2</t>
    </r>
    <r>
      <rPr>
        <sz val="10"/>
        <rFont val="Times New Roman"/>
        <family val="1"/>
      </rPr>
      <t xml:space="preserve"> → 2H</t>
    </r>
    <r>
      <rPr>
        <vertAlign val="subscript"/>
        <sz val="10"/>
        <rFont val="Times New Roman"/>
        <family val="1"/>
      </rPr>
      <t>2</t>
    </r>
    <r>
      <rPr>
        <sz val="10"/>
        <rFont val="Times New Roman"/>
        <family val="1"/>
      </rPr>
      <t>O + 3/x S</t>
    </r>
    <r>
      <rPr>
        <vertAlign val="subscript"/>
        <sz val="10"/>
        <rFont val="Times New Roman"/>
        <family val="1"/>
      </rPr>
      <t>x</t>
    </r>
  </si>
  <si>
    <r>
      <t>K</t>
    </r>
    <r>
      <rPr>
        <vertAlign val="subscript"/>
        <sz val="10"/>
        <rFont val="Times New Roman"/>
        <family val="1"/>
      </rPr>
      <t>p</t>
    </r>
    <r>
      <rPr>
        <sz val="10"/>
        <rFont val="Times New Roman"/>
        <family val="1"/>
      </rPr>
      <t xml:space="preserve"> = ( (P</t>
    </r>
    <r>
      <rPr>
        <vertAlign val="subscript"/>
        <sz val="10"/>
        <rFont val="Times New Roman"/>
        <family val="1"/>
      </rPr>
      <t>H2O</t>
    </r>
    <r>
      <rPr>
        <sz val="10"/>
        <rFont val="Times New Roman"/>
        <family val="1"/>
      </rPr>
      <t>)</t>
    </r>
    <r>
      <rPr>
        <vertAlign val="superscript"/>
        <sz val="10"/>
        <rFont val="Times New Roman"/>
        <family val="1"/>
      </rPr>
      <t>2</t>
    </r>
    <r>
      <rPr>
        <sz val="10"/>
        <rFont val="Times New Roman"/>
        <family val="1"/>
      </rPr>
      <t>(P</t>
    </r>
    <r>
      <rPr>
        <vertAlign val="subscript"/>
        <sz val="10"/>
        <rFont val="Times New Roman"/>
        <family val="1"/>
      </rPr>
      <t>Sx</t>
    </r>
    <r>
      <rPr>
        <sz val="10"/>
        <rFont val="Times New Roman"/>
        <family val="1"/>
      </rPr>
      <t>)</t>
    </r>
    <r>
      <rPr>
        <vertAlign val="superscript"/>
        <sz val="10"/>
        <rFont val="Times New Roman"/>
        <family val="1"/>
      </rPr>
      <t>3/x</t>
    </r>
    <r>
      <rPr>
        <sz val="10"/>
        <rFont val="Times New Roman"/>
        <family val="1"/>
      </rPr>
      <t xml:space="preserve"> ) / ( (P</t>
    </r>
    <r>
      <rPr>
        <vertAlign val="subscript"/>
        <sz val="10"/>
        <rFont val="Times New Roman"/>
        <family val="1"/>
      </rPr>
      <t>H2S</t>
    </r>
    <r>
      <rPr>
        <sz val="10"/>
        <rFont val="Times New Roman"/>
        <family val="1"/>
      </rPr>
      <t>)</t>
    </r>
    <r>
      <rPr>
        <vertAlign val="superscript"/>
        <sz val="10"/>
        <rFont val="Times New Roman"/>
        <family val="1"/>
      </rPr>
      <t>2</t>
    </r>
    <r>
      <rPr>
        <sz val="10"/>
        <rFont val="Times New Roman"/>
        <family val="1"/>
      </rPr>
      <t>(P</t>
    </r>
    <r>
      <rPr>
        <vertAlign val="subscript"/>
        <sz val="10"/>
        <rFont val="Times New Roman"/>
        <family val="1"/>
      </rPr>
      <t>SO2</t>
    </r>
    <r>
      <rPr>
        <sz val="10"/>
        <rFont val="Times New Roman"/>
        <family val="1"/>
      </rPr>
      <t xml:space="preserve">) ) </t>
    </r>
  </si>
  <si>
    <t>Kp = ( (PH2O)2(PSx)3/x ) / ( (PH2S)2(PSO2) ) = ( [Mols H­2O]2[Mols S2]3/2 ) / ( [Mols H2S]2[Mols SO2] ) * ( π / Total Mols )3/x – 1</t>
  </si>
  <si>
    <t>KEY</t>
  </si>
  <si>
    <t>Example calculation from the book</t>
  </si>
  <si>
    <t>Application worksheet for user to fill out</t>
  </si>
  <si>
    <r>
      <t>Example 22-1</t>
    </r>
    <r>
      <rPr>
        <sz val="16"/>
        <rFont val="Times New Roman"/>
        <family val="1"/>
      </rPr>
      <t xml:space="preserve"> -- Claus Process Calculation</t>
    </r>
  </si>
  <si>
    <r>
      <t>Application 22-1</t>
    </r>
    <r>
      <rPr>
        <sz val="16"/>
        <rFont val="Times New Roman"/>
        <family val="1"/>
      </rPr>
      <t xml:space="preserve"> -- Claus Process Calculation</t>
    </r>
  </si>
  <si>
    <t>Feed Gas Conditions:</t>
  </si>
  <si>
    <t>°F</t>
  </si>
  <si>
    <t>Dry Bulb Temp</t>
  </si>
  <si>
    <t>psia</t>
  </si>
  <si>
    <t>Wet Bulb Temp</t>
  </si>
  <si>
    <t>Plant Size - Feed</t>
  </si>
  <si>
    <t>LTD sulfur</t>
  </si>
  <si>
    <t>Air Blower Discharge Temp</t>
  </si>
  <si>
    <t>mol %</t>
  </si>
  <si>
    <t>mols/hr</t>
  </si>
  <si>
    <r>
      <t>H</t>
    </r>
    <r>
      <rPr>
        <vertAlign val="subscript"/>
        <sz val="11"/>
        <rFont val="Times New Roman"/>
        <family val="1"/>
      </rPr>
      <t>2</t>
    </r>
    <r>
      <rPr>
        <sz val="11"/>
        <rFont val="Times New Roman"/>
        <family val="1"/>
      </rPr>
      <t>S</t>
    </r>
  </si>
  <si>
    <t>Specific Humidity</t>
  </si>
  <si>
    <t>Fig. 11-2</t>
  </si>
  <si>
    <r>
      <t>CO</t>
    </r>
    <r>
      <rPr>
        <vertAlign val="subscript"/>
        <sz val="11"/>
        <rFont val="Times New Roman"/>
        <family val="1"/>
      </rPr>
      <t>2</t>
    </r>
  </si>
  <si>
    <t>(from psychometric charts)</t>
  </si>
  <si>
    <t>lb-mol vapor/lb-mol dry air</t>
  </si>
  <si>
    <r>
      <t>H</t>
    </r>
    <r>
      <rPr>
        <vertAlign val="subscript"/>
        <sz val="11"/>
        <rFont val="Times New Roman"/>
        <family val="1"/>
      </rPr>
      <t>2</t>
    </r>
    <r>
      <rPr>
        <sz val="11"/>
        <rFont val="Times New Roman"/>
        <family val="1"/>
      </rPr>
      <t>O</t>
    </r>
  </si>
  <si>
    <r>
      <t>Hydrocarbons (as C</t>
    </r>
    <r>
      <rPr>
        <vertAlign val="subscript"/>
        <sz val="11"/>
        <rFont val="Times New Roman"/>
        <family val="1"/>
      </rPr>
      <t>1</t>
    </r>
    <r>
      <rPr>
        <sz val="11"/>
        <rFont val="Times New Roman"/>
        <family val="1"/>
      </rPr>
      <t>)</t>
    </r>
  </si>
  <si>
    <r>
      <t>Calculate air required to burn 1/3 of the H</t>
    </r>
    <r>
      <rPr>
        <vertAlign val="subscript"/>
        <sz val="11"/>
        <rFont val="Times New Roman"/>
        <family val="1"/>
      </rPr>
      <t>2</t>
    </r>
    <r>
      <rPr>
        <sz val="11"/>
        <rFont val="Times New Roman"/>
        <family val="1"/>
      </rPr>
      <t>S in the feed and for total combustion of hydrocarbons</t>
    </r>
  </si>
  <si>
    <r>
      <t>H</t>
    </r>
    <r>
      <rPr>
        <vertAlign val="subscript"/>
        <sz val="11"/>
        <rFont val="Times New Roman"/>
        <family val="1"/>
      </rPr>
      <t>2</t>
    </r>
    <r>
      <rPr>
        <sz val="11"/>
        <rFont val="Times New Roman"/>
        <family val="1"/>
      </rPr>
      <t>S + 1½ O</t>
    </r>
    <r>
      <rPr>
        <vertAlign val="subscript"/>
        <sz val="11"/>
        <rFont val="Times New Roman"/>
        <family val="1"/>
      </rPr>
      <t>2</t>
    </r>
    <r>
      <rPr>
        <sz val="11"/>
        <rFont val="Times New Roman"/>
        <family val="1"/>
      </rPr>
      <t xml:space="preserve"> → H</t>
    </r>
    <r>
      <rPr>
        <vertAlign val="subscript"/>
        <sz val="11"/>
        <rFont val="Times New Roman"/>
        <family val="1"/>
      </rPr>
      <t>2</t>
    </r>
    <r>
      <rPr>
        <sz val="11"/>
        <rFont val="Times New Roman"/>
        <family val="1"/>
      </rPr>
      <t>O + SO</t>
    </r>
    <r>
      <rPr>
        <vertAlign val="subscript"/>
        <sz val="11"/>
        <rFont val="Times New Roman"/>
        <family val="1"/>
      </rPr>
      <t>2</t>
    </r>
  </si>
  <si>
    <t>From Eq 22-2</t>
  </si>
  <si>
    <t>∆Ĥ (32°F)</t>
  </si>
  <si>
    <t>Btu</t>
  </si>
  <si>
    <r>
      <t>CH</t>
    </r>
    <r>
      <rPr>
        <vertAlign val="subscript"/>
        <sz val="11"/>
        <rFont val="Times New Roman"/>
        <family val="1"/>
      </rPr>
      <t>4</t>
    </r>
    <r>
      <rPr>
        <sz val="11"/>
        <rFont val="Times New Roman"/>
        <family val="1"/>
      </rPr>
      <t xml:space="preserve"> + 2O</t>
    </r>
    <r>
      <rPr>
        <vertAlign val="subscript"/>
        <sz val="11"/>
        <rFont val="Times New Roman"/>
        <family val="1"/>
      </rPr>
      <t>2</t>
    </r>
    <r>
      <rPr>
        <sz val="11"/>
        <rFont val="Times New Roman"/>
        <family val="1"/>
      </rPr>
      <t xml:space="preserve"> → CO</t>
    </r>
    <r>
      <rPr>
        <vertAlign val="subscript"/>
        <sz val="11"/>
        <rFont val="Times New Roman"/>
        <family val="1"/>
      </rPr>
      <t>2</t>
    </r>
    <r>
      <rPr>
        <sz val="11"/>
        <rFont val="Times New Roman"/>
        <family val="1"/>
      </rPr>
      <t xml:space="preserve"> + 2H</t>
    </r>
    <r>
      <rPr>
        <vertAlign val="subscript"/>
        <sz val="11"/>
        <rFont val="Times New Roman"/>
        <family val="1"/>
      </rPr>
      <t>2</t>
    </r>
    <r>
      <rPr>
        <sz val="11"/>
        <rFont val="Times New Roman"/>
        <family val="1"/>
      </rPr>
      <t>O</t>
    </r>
  </si>
  <si>
    <r>
      <t>H</t>
    </r>
    <r>
      <rPr>
        <vertAlign val="subscript"/>
        <sz val="11"/>
        <rFont val="Times New Roman"/>
        <family val="1"/>
      </rPr>
      <t>2</t>
    </r>
    <r>
      <rPr>
        <sz val="11"/>
        <rFont val="Times New Roman"/>
        <family val="1"/>
      </rPr>
      <t>S → SO</t>
    </r>
    <r>
      <rPr>
        <vertAlign val="subscript"/>
        <sz val="11"/>
        <rFont val="Times New Roman"/>
        <family val="1"/>
      </rPr>
      <t>2</t>
    </r>
  </si>
  <si>
    <r>
      <t>mols/hr O</t>
    </r>
    <r>
      <rPr>
        <vertAlign val="subscript"/>
        <sz val="11"/>
        <color indexed="8"/>
        <rFont val="Times New Roman"/>
        <family val="1"/>
      </rPr>
      <t>2</t>
    </r>
  </si>
  <si>
    <t>Total</t>
  </si>
  <si>
    <r>
      <t>Assume x=mols of H</t>
    </r>
    <r>
      <rPr>
        <vertAlign val="subscript"/>
        <sz val="11"/>
        <rFont val="Times New Roman"/>
        <family val="1"/>
      </rPr>
      <t>2</t>
    </r>
    <r>
      <rPr>
        <sz val="11"/>
        <rFont val="Times New Roman"/>
        <family val="1"/>
      </rPr>
      <t>S reacting</t>
    </r>
  </si>
  <si>
    <r>
      <t>2H</t>
    </r>
    <r>
      <rPr>
        <vertAlign val="subscript"/>
        <sz val="11"/>
        <rFont val="Times New Roman"/>
        <family val="1"/>
      </rPr>
      <t>2</t>
    </r>
    <r>
      <rPr>
        <sz val="11"/>
        <rFont val="Times New Roman"/>
        <family val="1"/>
      </rPr>
      <t>S + SO</t>
    </r>
    <r>
      <rPr>
        <vertAlign val="subscript"/>
        <sz val="11"/>
        <rFont val="Times New Roman"/>
        <family val="1"/>
      </rPr>
      <t>2</t>
    </r>
    <r>
      <rPr>
        <sz val="11"/>
        <rFont val="Times New Roman"/>
        <family val="1"/>
      </rPr>
      <t xml:space="preserve"> → 2H</t>
    </r>
    <r>
      <rPr>
        <vertAlign val="subscript"/>
        <sz val="11"/>
        <rFont val="Times New Roman"/>
        <family val="1"/>
      </rPr>
      <t>2</t>
    </r>
    <r>
      <rPr>
        <sz val="11"/>
        <rFont val="Times New Roman"/>
        <family val="1"/>
      </rPr>
      <t>O + 3/2 S</t>
    </r>
    <r>
      <rPr>
        <vertAlign val="subscript"/>
        <sz val="11"/>
        <rFont val="Times New Roman"/>
        <family val="1"/>
      </rPr>
      <t>2</t>
    </r>
  </si>
  <si>
    <t xml:space="preserve">   x       1/2x         x        3/4x</t>
  </si>
  <si>
    <t>Material Balance (Combustion/Reaction Section)</t>
  </si>
  <si>
    <t>Feed Gas (mol/hr)</t>
  </si>
  <si>
    <t>Air (mol/hr)</t>
  </si>
  <si>
    <t>Combustion Products (mol/hr)</t>
  </si>
  <si>
    <t>Reaction Products (mol/hr)</t>
  </si>
  <si>
    <t>x</t>
  </si>
  <si>
    <r>
      <t>SO</t>
    </r>
    <r>
      <rPr>
        <vertAlign val="subscript"/>
        <sz val="11"/>
        <rFont val="Times New Roman"/>
        <family val="1"/>
      </rPr>
      <t>2</t>
    </r>
  </si>
  <si>
    <r>
      <t>N</t>
    </r>
    <r>
      <rPr>
        <vertAlign val="subscript"/>
        <sz val="11"/>
        <rFont val="Times New Roman"/>
        <family val="1"/>
      </rPr>
      <t>2</t>
    </r>
  </si>
  <si>
    <r>
      <t>O</t>
    </r>
    <r>
      <rPr>
        <vertAlign val="subscript"/>
        <sz val="11"/>
        <rFont val="Times New Roman"/>
        <family val="1"/>
      </rPr>
      <t>2</t>
    </r>
  </si>
  <si>
    <r>
      <t>S</t>
    </r>
    <r>
      <rPr>
        <vertAlign val="subscript"/>
        <sz val="11"/>
        <rFont val="Times New Roman"/>
        <family val="1"/>
      </rPr>
      <t>2</t>
    </r>
  </si>
  <si>
    <r>
      <t>S</t>
    </r>
    <r>
      <rPr>
        <vertAlign val="subscript"/>
        <sz val="11"/>
        <rFont val="Times New Roman"/>
        <family val="1"/>
      </rPr>
      <t>6</t>
    </r>
  </si>
  <si>
    <r>
      <t>S</t>
    </r>
    <r>
      <rPr>
        <vertAlign val="subscript"/>
        <sz val="11"/>
        <rFont val="Times New Roman"/>
        <family val="1"/>
      </rPr>
      <t>8</t>
    </r>
  </si>
  <si>
    <t xml:space="preserve">Assume ∆P through the burner and furnace is: </t>
  </si>
  <si>
    <t>psi</t>
  </si>
  <si>
    <t>Then P=</t>
  </si>
  <si>
    <t>psia        =</t>
  </si>
  <si>
    <t>atmospheres</t>
  </si>
  <si>
    <t>At equilibrium</t>
  </si>
  <si>
    <r>
      <t xml:space="preserve">Equilibrium Temperature (°F) = -963.3 + 2131 </t>
    </r>
    <r>
      <rPr>
        <sz val="11"/>
        <rFont val="Calibri"/>
        <family val="2"/>
      </rPr>
      <t>·</t>
    </r>
    <r>
      <rPr>
        <sz val="11"/>
        <rFont val="Times New Roman"/>
        <family val="1"/>
      </rPr>
      <t xml:space="preserve"> ln(K</t>
    </r>
    <r>
      <rPr>
        <vertAlign val="subscript"/>
        <sz val="11"/>
        <rFont val="Times New Roman"/>
        <family val="1"/>
      </rPr>
      <t>p</t>
    </r>
    <r>
      <rPr>
        <sz val="11"/>
        <rFont val="Times New Roman"/>
        <family val="1"/>
      </rPr>
      <t>) - 660.4 · ln(K</t>
    </r>
    <r>
      <rPr>
        <vertAlign val="subscript"/>
        <sz val="11"/>
        <rFont val="Times New Roman"/>
        <family val="1"/>
      </rPr>
      <t>p</t>
    </r>
    <r>
      <rPr>
        <sz val="11"/>
        <rFont val="Times New Roman"/>
        <family val="1"/>
      </rPr>
      <t>)</t>
    </r>
    <r>
      <rPr>
        <vertAlign val="superscript"/>
        <sz val="11"/>
        <rFont val="Times New Roman"/>
        <family val="1"/>
      </rPr>
      <t>2</t>
    </r>
    <r>
      <rPr>
        <sz val="11"/>
        <rFont val="Times New Roman"/>
        <family val="1"/>
      </rPr>
      <t xml:space="preserve"> + 89.68 · ln(K</t>
    </r>
    <r>
      <rPr>
        <vertAlign val="subscript"/>
        <sz val="11"/>
        <rFont val="Times New Roman"/>
        <family val="1"/>
      </rPr>
      <t>p</t>
    </r>
    <r>
      <rPr>
        <sz val="11"/>
        <rFont val="Times New Roman"/>
        <family val="1"/>
      </rPr>
      <t>)</t>
    </r>
    <r>
      <rPr>
        <vertAlign val="superscript"/>
        <sz val="11"/>
        <rFont val="Times New Roman"/>
        <family val="1"/>
      </rPr>
      <t>3</t>
    </r>
  </si>
  <si>
    <r>
      <t>K</t>
    </r>
    <r>
      <rPr>
        <vertAlign val="subscript"/>
        <sz val="11"/>
        <color indexed="8"/>
        <rFont val="Times New Roman"/>
        <family val="1"/>
      </rPr>
      <t>p</t>
    </r>
    <r>
      <rPr>
        <sz val="11"/>
        <color indexed="8"/>
        <rFont val="Times New Roman"/>
        <family val="1"/>
      </rPr>
      <t xml:space="preserve"> (calculated)</t>
    </r>
  </si>
  <si>
    <t>moles/hr</t>
  </si>
  <si>
    <t>Enthalpy Difference</t>
  </si>
  <si>
    <t>Btu/hr</t>
  </si>
  <si>
    <t>Feed Gas</t>
  </si>
  <si>
    <t>H @</t>
  </si>
  <si>
    <t>mol/hr</t>
  </si>
  <si>
    <t>Btu/lb-mol</t>
  </si>
  <si>
    <t>Combustion Air</t>
  </si>
  <si>
    <t>But/lb-mol</t>
  </si>
  <si>
    <t>Reaction Products</t>
  </si>
  <si>
    <t>Heat in</t>
  </si>
  <si>
    <t>HC Combustion</t>
  </si>
  <si>
    <t>Claus Reaction</t>
  </si>
  <si>
    <r>
      <t>H</t>
    </r>
    <r>
      <rPr>
        <vertAlign val="subscript"/>
        <sz val="11"/>
        <rFont val="Times New Roman"/>
        <family val="1"/>
      </rPr>
      <t>2</t>
    </r>
    <r>
      <rPr>
        <sz val="11"/>
        <rFont val="Times New Roman"/>
        <family val="1"/>
      </rPr>
      <t>S Combustion</t>
    </r>
  </si>
  <si>
    <t>Assume that</t>
  </si>
  <si>
    <t>psig steam is generated in the waste heat boiler</t>
  </si>
  <si>
    <t>Assume temp of the cooled combustion products is</t>
  </si>
  <si>
    <r>
      <t>Distribution of vapor species at the given temperature, ignoring S</t>
    </r>
    <r>
      <rPr>
        <vertAlign val="subscript"/>
        <sz val="11"/>
        <rFont val="Times New Roman"/>
        <family val="1"/>
      </rPr>
      <t>7</t>
    </r>
  </si>
  <si>
    <t>Fig. 22-21</t>
  </si>
  <si>
    <t>Cooled Reaction Products</t>
  </si>
  <si>
    <t>∆H=</t>
  </si>
  <si>
    <r>
      <t>S</t>
    </r>
    <r>
      <rPr>
        <vertAlign val="subscript"/>
        <sz val="11"/>
        <color indexed="8"/>
        <rFont val="Times New Roman"/>
        <family val="1"/>
      </rPr>
      <t>2</t>
    </r>
    <r>
      <rPr>
        <sz val="11"/>
        <color indexed="8"/>
        <rFont val="Times New Roman"/>
        <family val="1"/>
      </rPr>
      <t xml:space="preserve"> → S</t>
    </r>
    <r>
      <rPr>
        <vertAlign val="subscript"/>
        <sz val="11"/>
        <color indexed="8"/>
        <rFont val="Times New Roman"/>
        <family val="1"/>
      </rPr>
      <t>6</t>
    </r>
    <r>
      <rPr>
        <sz val="11"/>
        <color indexed="8"/>
        <rFont val="Times New Roman"/>
        <family val="1"/>
      </rPr>
      <t xml:space="preserve">          ∆Ĥ=</t>
    </r>
  </si>
  <si>
    <t>Fig. 22-29</t>
  </si>
  <si>
    <r>
      <t>S</t>
    </r>
    <r>
      <rPr>
        <vertAlign val="subscript"/>
        <sz val="11"/>
        <color indexed="8"/>
        <rFont val="Times New Roman"/>
        <family val="1"/>
      </rPr>
      <t>2</t>
    </r>
    <r>
      <rPr>
        <sz val="11"/>
        <color indexed="8"/>
        <rFont val="Times New Roman"/>
        <family val="1"/>
      </rPr>
      <t xml:space="preserve"> → S</t>
    </r>
    <r>
      <rPr>
        <vertAlign val="subscript"/>
        <sz val="11"/>
        <color indexed="8"/>
        <rFont val="Times New Roman"/>
        <family val="1"/>
      </rPr>
      <t>8</t>
    </r>
    <r>
      <rPr>
        <sz val="11"/>
        <color indexed="8"/>
        <rFont val="Times New Roman"/>
        <family val="1"/>
      </rPr>
      <t xml:space="preserve">          ∆Ĥ=</t>
    </r>
  </si>
  <si>
    <t>Total heat duty:</t>
  </si>
  <si>
    <t>Note: Partial pressure of sulfur vapor</t>
  </si>
  <si>
    <r>
      <t>((S</t>
    </r>
    <r>
      <rPr>
        <vertAlign val="subscript"/>
        <sz val="11"/>
        <color indexed="8"/>
        <rFont val="Times New Roman"/>
        <family val="1"/>
      </rPr>
      <t>2</t>
    </r>
    <r>
      <rPr>
        <sz val="11"/>
        <color indexed="8"/>
        <rFont val="Times New Roman"/>
        <family val="1"/>
      </rPr>
      <t xml:space="preserve"> + S</t>
    </r>
    <r>
      <rPr>
        <vertAlign val="subscript"/>
        <sz val="11"/>
        <color indexed="8"/>
        <rFont val="Times New Roman"/>
        <family val="1"/>
      </rPr>
      <t>6</t>
    </r>
    <r>
      <rPr>
        <sz val="11"/>
        <color indexed="8"/>
        <rFont val="Times New Roman"/>
        <family val="1"/>
      </rPr>
      <t xml:space="preserve"> + S</t>
    </r>
    <r>
      <rPr>
        <vertAlign val="subscript"/>
        <sz val="11"/>
        <color indexed="8"/>
        <rFont val="Times New Roman"/>
        <family val="1"/>
      </rPr>
      <t>8</t>
    </r>
    <r>
      <rPr>
        <sz val="11"/>
        <color indexed="8"/>
        <rFont val="Times New Roman"/>
        <family val="1"/>
      </rPr>
      <t>) / Total moles) *(Total pressure)</t>
    </r>
  </si>
  <si>
    <t>atm.</t>
  </si>
  <si>
    <t>Assume pressure drop through the condenser:</t>
  </si>
  <si>
    <t>Process stream further cooled to :</t>
  </si>
  <si>
    <t>atm</t>
  </si>
  <si>
    <t>Distribution of sulfur species is:</t>
  </si>
  <si>
    <t>Therefore, if no sulfur condensed there would be:</t>
  </si>
  <si>
    <r>
      <t>mol S</t>
    </r>
    <r>
      <rPr>
        <vertAlign val="subscript"/>
        <sz val="11"/>
        <color indexed="8"/>
        <rFont val="Times New Roman"/>
        <family val="1"/>
      </rPr>
      <t>6</t>
    </r>
  </si>
  <si>
    <r>
      <t>mol S</t>
    </r>
    <r>
      <rPr>
        <vertAlign val="subscript"/>
        <sz val="11"/>
        <color indexed="8"/>
        <rFont val="Times New Roman"/>
        <family val="1"/>
      </rPr>
      <t>8</t>
    </r>
  </si>
  <si>
    <t>Uncondensed sulfur</t>
  </si>
  <si>
    <t>mol/hr uncondensed</t>
  </si>
  <si>
    <t>mol/hr condensed</t>
  </si>
  <si>
    <t>Condenser Outlet Conditions</t>
  </si>
  <si>
    <t>Cumulative Removal</t>
  </si>
  <si>
    <r>
      <t>S</t>
    </r>
    <r>
      <rPr>
        <vertAlign val="subscript"/>
        <sz val="11"/>
        <color indexed="8"/>
        <rFont val="Times New Roman"/>
        <family val="1"/>
      </rPr>
      <t>2</t>
    </r>
    <r>
      <rPr>
        <sz val="11"/>
        <color indexed="8"/>
        <rFont val="Times New Roman"/>
        <family val="1"/>
      </rPr>
      <t xml:space="preserve"> (vapor)</t>
    </r>
  </si>
  <si>
    <r>
      <t>S</t>
    </r>
    <r>
      <rPr>
        <vertAlign val="subscript"/>
        <sz val="11"/>
        <color indexed="8"/>
        <rFont val="Times New Roman"/>
        <family val="1"/>
      </rPr>
      <t>6</t>
    </r>
    <r>
      <rPr>
        <sz val="11"/>
        <color indexed="8"/>
        <rFont val="Times New Roman"/>
        <family val="1"/>
      </rPr>
      <t xml:space="preserve"> (vap/liq)</t>
    </r>
  </si>
  <si>
    <r>
      <t>S</t>
    </r>
    <r>
      <rPr>
        <vertAlign val="subscript"/>
        <sz val="11"/>
        <color indexed="8"/>
        <rFont val="Times New Roman"/>
        <family val="1"/>
      </rPr>
      <t>6</t>
    </r>
    <r>
      <rPr>
        <sz val="11"/>
        <color indexed="8"/>
        <rFont val="Times New Roman"/>
        <family val="1"/>
      </rPr>
      <t xml:space="preserve"> (vapor)</t>
    </r>
  </si>
  <si>
    <r>
      <t>S</t>
    </r>
    <r>
      <rPr>
        <vertAlign val="subscript"/>
        <sz val="11"/>
        <color indexed="8"/>
        <rFont val="Times New Roman"/>
        <family val="1"/>
      </rPr>
      <t>8</t>
    </r>
    <r>
      <rPr>
        <sz val="11"/>
        <color indexed="8"/>
        <rFont val="Times New Roman"/>
        <family val="1"/>
      </rPr>
      <t xml:space="preserve"> (vap/liq)</t>
    </r>
  </si>
  <si>
    <r>
      <t>S</t>
    </r>
    <r>
      <rPr>
        <vertAlign val="subscript"/>
        <sz val="11"/>
        <color indexed="8"/>
        <rFont val="Times New Roman"/>
        <family val="1"/>
      </rPr>
      <t>8</t>
    </r>
    <r>
      <rPr>
        <sz val="11"/>
        <color indexed="8"/>
        <rFont val="Times New Roman"/>
        <family val="1"/>
      </rPr>
      <t xml:space="preserve"> (vapor)</t>
    </r>
  </si>
  <si>
    <r>
      <t>S</t>
    </r>
    <r>
      <rPr>
        <vertAlign val="subscript"/>
        <sz val="11"/>
        <color indexed="8"/>
        <rFont val="Times New Roman"/>
        <family val="1"/>
      </rPr>
      <t>6</t>
    </r>
    <r>
      <rPr>
        <sz val="11"/>
        <color indexed="8"/>
        <rFont val="Times New Roman"/>
        <family val="1"/>
      </rPr>
      <t xml:space="preserve"> (vapor) → S</t>
    </r>
    <r>
      <rPr>
        <vertAlign val="subscript"/>
        <sz val="11"/>
        <color indexed="8"/>
        <rFont val="Times New Roman"/>
        <family val="1"/>
      </rPr>
      <t>liq</t>
    </r>
  </si>
  <si>
    <t>Btu/lb</t>
  </si>
  <si>
    <r>
      <t>S</t>
    </r>
    <r>
      <rPr>
        <vertAlign val="subscript"/>
        <sz val="11"/>
        <color indexed="8"/>
        <rFont val="Times New Roman"/>
        <family val="1"/>
      </rPr>
      <t>8</t>
    </r>
    <r>
      <rPr>
        <sz val="11"/>
        <color indexed="8"/>
        <rFont val="Times New Roman"/>
        <family val="1"/>
      </rPr>
      <t xml:space="preserve"> (vapor) → S</t>
    </r>
    <r>
      <rPr>
        <vertAlign val="subscript"/>
        <sz val="11"/>
        <color indexed="8"/>
        <rFont val="Times New Roman"/>
        <family val="1"/>
      </rPr>
      <t>liq</t>
    </r>
  </si>
  <si>
    <r>
      <t>S</t>
    </r>
    <r>
      <rPr>
        <vertAlign val="subscript"/>
        <sz val="11"/>
        <color indexed="8"/>
        <rFont val="Times New Roman"/>
        <family val="1"/>
      </rPr>
      <t>2</t>
    </r>
    <r>
      <rPr>
        <sz val="11"/>
        <color indexed="8"/>
        <rFont val="Times New Roman"/>
        <family val="1"/>
      </rPr>
      <t xml:space="preserve"> (vapor) → S</t>
    </r>
    <r>
      <rPr>
        <vertAlign val="subscript"/>
        <sz val="11"/>
        <color indexed="8"/>
        <rFont val="Times New Roman"/>
        <family val="1"/>
      </rPr>
      <t>6</t>
    </r>
    <r>
      <rPr>
        <sz val="11"/>
        <color indexed="8"/>
        <rFont val="Times New Roman"/>
        <family val="1"/>
      </rPr>
      <t xml:space="preserve"> (vapor)</t>
    </r>
  </si>
  <si>
    <t>Btu/lb-mole</t>
  </si>
  <si>
    <r>
      <t>S</t>
    </r>
    <r>
      <rPr>
        <vertAlign val="subscript"/>
        <sz val="11"/>
        <color indexed="8"/>
        <rFont val="Times New Roman"/>
        <family val="1"/>
      </rPr>
      <t>2</t>
    </r>
    <r>
      <rPr>
        <sz val="11"/>
        <color indexed="8"/>
        <rFont val="Times New Roman"/>
        <family val="1"/>
      </rPr>
      <t xml:space="preserve"> (vapor) → S</t>
    </r>
    <r>
      <rPr>
        <vertAlign val="subscript"/>
        <sz val="11"/>
        <color indexed="8"/>
        <rFont val="Times New Roman"/>
        <family val="1"/>
      </rPr>
      <t>8</t>
    </r>
    <r>
      <rPr>
        <sz val="11"/>
        <color indexed="8"/>
        <rFont val="Times New Roman"/>
        <family val="1"/>
      </rPr>
      <t xml:space="preserve"> (vapor)</t>
    </r>
  </si>
  <si>
    <t>Total Duty:</t>
  </si>
  <si>
    <t xml:space="preserve">One of the principal purposes of reheating is to maintain the process gas above the sulfur dewpoint throughout the catalyst bed.  </t>
  </si>
  <si>
    <t>Assume</t>
  </si>
  <si>
    <r>
      <t>Total sulfur as S</t>
    </r>
    <r>
      <rPr>
        <vertAlign val="subscript"/>
        <sz val="11"/>
        <color indexed="8"/>
        <rFont val="Times New Roman"/>
        <family val="1"/>
      </rPr>
      <t>1</t>
    </r>
    <r>
      <rPr>
        <sz val="11"/>
        <color indexed="8"/>
        <rFont val="Times New Roman"/>
        <family val="1"/>
      </rPr>
      <t xml:space="preserve"> vapor =</t>
    </r>
  </si>
  <si>
    <t>Assume pressure drop for reheater and catalyst bed:</t>
  </si>
  <si>
    <t>New pressure:</t>
  </si>
  <si>
    <r>
      <t>Sulfur vapor pressure (as S</t>
    </r>
    <r>
      <rPr>
        <vertAlign val="subscript"/>
        <sz val="11"/>
        <color indexed="8"/>
        <rFont val="Times New Roman"/>
        <family val="1"/>
      </rPr>
      <t>1</t>
    </r>
    <r>
      <rPr>
        <sz val="11"/>
        <color indexed="8"/>
        <rFont val="Times New Roman"/>
        <family val="1"/>
      </rPr>
      <t>) then is:</t>
    </r>
  </si>
  <si>
    <t>The preheater outlet temperature is typically set</t>
  </si>
  <si>
    <t>°F higher.</t>
  </si>
  <si>
    <t>Therefore preheater outlet temperature should be set to</t>
  </si>
  <si>
    <t>Sulfur dist. at outlet temperature:</t>
  </si>
  <si>
    <r>
      <t>mol frac S</t>
    </r>
    <r>
      <rPr>
        <vertAlign val="subscript"/>
        <sz val="11"/>
        <color indexed="8"/>
        <rFont val="Times New Roman"/>
        <family val="1"/>
      </rPr>
      <t>6</t>
    </r>
  </si>
  <si>
    <r>
      <t>mol frac S</t>
    </r>
    <r>
      <rPr>
        <vertAlign val="subscript"/>
        <sz val="11"/>
        <color indexed="8"/>
        <rFont val="Times New Roman"/>
        <family val="1"/>
      </rPr>
      <t>8</t>
    </r>
  </si>
  <si>
    <t>Reheater Heat Duty:</t>
  </si>
  <si>
    <r>
      <t>In the temperature range of 400°F-700°F prevailing in the catalytic reactors, the Claus Reaction equilibrium involving formation of S</t>
    </r>
    <r>
      <rPr>
        <vertAlign val="subscript"/>
        <sz val="11"/>
        <rFont val="Times New Roman"/>
        <family val="1"/>
      </rPr>
      <t>2</t>
    </r>
    <r>
      <rPr>
        <sz val="11"/>
        <rFont val="Times New Roman"/>
        <family val="1"/>
      </rPr>
      <t>, S</t>
    </r>
    <r>
      <rPr>
        <vertAlign val="subscript"/>
        <sz val="11"/>
        <rFont val="Times New Roman"/>
        <family val="1"/>
      </rPr>
      <t>6</t>
    </r>
    <r>
      <rPr>
        <sz val="11"/>
        <rFont val="Times New Roman"/>
        <family val="1"/>
      </rPr>
      <t>, and S</t>
    </r>
    <r>
      <rPr>
        <vertAlign val="subscript"/>
        <sz val="11"/>
        <rFont val="Times New Roman"/>
        <family val="1"/>
      </rPr>
      <t>8</t>
    </r>
    <r>
      <rPr>
        <sz val="11"/>
        <rFont val="Times New Roman"/>
        <family val="1"/>
      </rPr>
      <t xml:space="preserve"> should all be used in equilibrium calculations.  </t>
    </r>
  </si>
  <si>
    <r>
      <t>Assume y mols of H</t>
    </r>
    <r>
      <rPr>
        <vertAlign val="subscript"/>
        <sz val="11"/>
        <color indexed="8"/>
        <rFont val="Times New Roman"/>
        <family val="1"/>
      </rPr>
      <t>2</t>
    </r>
    <r>
      <rPr>
        <sz val="11"/>
        <color indexed="8"/>
        <rFont val="Times New Roman"/>
        <family val="1"/>
      </rPr>
      <t>S react</t>
    </r>
  </si>
  <si>
    <r>
      <t>2H</t>
    </r>
    <r>
      <rPr>
        <vertAlign val="subscript"/>
        <sz val="11"/>
        <rFont val="Times New Roman"/>
        <family val="1"/>
      </rPr>
      <t>2</t>
    </r>
    <r>
      <rPr>
        <sz val="11"/>
        <rFont val="Times New Roman"/>
        <family val="1"/>
      </rPr>
      <t>S + SO</t>
    </r>
    <r>
      <rPr>
        <vertAlign val="subscript"/>
        <sz val="11"/>
        <rFont val="Times New Roman"/>
        <family val="1"/>
      </rPr>
      <t>2</t>
    </r>
    <r>
      <rPr>
        <sz val="11"/>
        <rFont val="Times New Roman"/>
        <family val="1"/>
      </rPr>
      <t xml:space="preserve"> → 2H</t>
    </r>
    <r>
      <rPr>
        <vertAlign val="subscript"/>
        <sz val="11"/>
        <rFont val="Times New Roman"/>
        <family val="1"/>
      </rPr>
      <t>2</t>
    </r>
    <r>
      <rPr>
        <sz val="11"/>
        <rFont val="Times New Roman"/>
        <family val="1"/>
      </rPr>
      <t>O + 3/8 S</t>
    </r>
    <r>
      <rPr>
        <vertAlign val="subscript"/>
        <sz val="11"/>
        <rFont val="Times New Roman"/>
        <family val="1"/>
      </rPr>
      <t>8</t>
    </r>
  </si>
  <si>
    <t xml:space="preserve">   y       1/2y         y        3/16y</t>
  </si>
  <si>
    <t>∆H (32°F)</t>
  </si>
  <si>
    <t>Outlet Conditions</t>
  </si>
  <si>
    <t>- y</t>
  </si>
  <si>
    <t>+ y</t>
  </si>
  <si>
    <t>- y/2</t>
  </si>
  <si>
    <t>+ 3/16 y</t>
  </si>
  <si>
    <t>- .3125 y</t>
  </si>
  <si>
    <r>
      <t xml:space="preserve">Equil Temp (°F) calculated = 1143 - 90.19 </t>
    </r>
    <r>
      <rPr>
        <sz val="11"/>
        <rFont val="Calibri"/>
        <family val="2"/>
      </rPr>
      <t xml:space="preserve">· </t>
    </r>
    <r>
      <rPr>
        <sz val="11"/>
        <rFont val="Times New Roman"/>
        <family val="1"/>
      </rPr>
      <t>ln(K</t>
    </r>
    <r>
      <rPr>
        <vertAlign val="subscript"/>
        <sz val="11"/>
        <rFont val="Times New Roman"/>
        <family val="1"/>
      </rPr>
      <t>p</t>
    </r>
    <r>
      <rPr>
        <sz val="11"/>
        <rFont val="Times New Roman"/>
        <family val="1"/>
      </rPr>
      <t>) + 3.108 · ln(K</t>
    </r>
    <r>
      <rPr>
        <vertAlign val="subscript"/>
        <sz val="11"/>
        <rFont val="Times New Roman"/>
        <family val="1"/>
      </rPr>
      <t>p</t>
    </r>
    <r>
      <rPr>
        <sz val="11"/>
        <rFont val="Times New Roman"/>
        <family val="1"/>
      </rPr>
      <t>)</t>
    </r>
    <r>
      <rPr>
        <vertAlign val="superscript"/>
        <sz val="11"/>
        <rFont val="Times New Roman"/>
        <family val="1"/>
      </rPr>
      <t>2</t>
    </r>
    <r>
      <rPr>
        <sz val="11"/>
        <rFont val="Times New Roman"/>
        <family val="1"/>
      </rPr>
      <t xml:space="preserve"> - 0.04539 · ln(K</t>
    </r>
    <r>
      <rPr>
        <vertAlign val="subscript"/>
        <sz val="11"/>
        <rFont val="Times New Roman"/>
        <family val="1"/>
      </rPr>
      <t>p</t>
    </r>
    <r>
      <rPr>
        <sz val="11"/>
        <rFont val="Times New Roman"/>
        <family val="1"/>
      </rPr>
      <t>)</t>
    </r>
    <r>
      <rPr>
        <vertAlign val="superscript"/>
        <sz val="11"/>
        <rFont val="Times New Roman"/>
        <family val="1"/>
      </rPr>
      <t>3</t>
    </r>
  </si>
  <si>
    <t>At equilibrium temperature, composition is:</t>
  </si>
  <si>
    <r>
      <t>but we are examining only S</t>
    </r>
    <r>
      <rPr>
        <vertAlign val="subscript"/>
        <sz val="11"/>
        <rFont val="Times New Roman"/>
        <family val="1"/>
      </rPr>
      <t>8</t>
    </r>
    <r>
      <rPr>
        <sz val="11"/>
        <rFont val="Times New Roman"/>
        <family val="1"/>
      </rPr>
      <t xml:space="preserve"> formation here.</t>
    </r>
  </si>
  <si>
    <t>Outlet Stream</t>
  </si>
  <si>
    <t>Heat Balance:</t>
  </si>
  <si>
    <t>Heat In (Step 4)</t>
  </si>
  <si>
    <t>Total Heat Out</t>
  </si>
  <si>
    <t>Heat Balance</t>
  </si>
  <si>
    <t>As an alternative to reading Fig. 22-27, the following approximation can be used</t>
  </si>
  <si>
    <t>Heat In</t>
  </si>
  <si>
    <t>Incinerator</t>
  </si>
  <si>
    <t>Conversion Efficiency:</t>
  </si>
  <si>
    <t>Tail gas composition:</t>
  </si>
  <si>
    <r>
      <t>S</t>
    </r>
    <r>
      <rPr>
        <vertAlign val="subscript"/>
        <sz val="11"/>
        <color indexed="8"/>
        <rFont val="Times New Roman"/>
        <family val="1"/>
      </rPr>
      <t>liq</t>
    </r>
    <r>
      <rPr>
        <sz val="11"/>
        <color indexed="8"/>
        <rFont val="Times New Roman"/>
        <family val="1"/>
      </rPr>
      <t xml:space="preserve"> (as S</t>
    </r>
    <r>
      <rPr>
        <vertAlign val="subscript"/>
        <sz val="11"/>
        <color indexed="8"/>
        <rFont val="Times New Roman"/>
        <family val="1"/>
      </rPr>
      <t>1</t>
    </r>
    <r>
      <rPr>
        <sz val="11"/>
        <color indexed="8"/>
        <rFont val="Times New Roman"/>
        <family val="1"/>
      </rPr>
      <t>)</t>
    </r>
  </si>
  <si>
    <t>Excess air, based upon combustion:</t>
  </si>
  <si>
    <r>
      <t>S</t>
    </r>
    <r>
      <rPr>
        <vertAlign val="subscript"/>
        <sz val="11"/>
        <rFont val="Times New Roman"/>
        <family val="1"/>
      </rPr>
      <t>1</t>
    </r>
    <r>
      <rPr>
        <sz val="11"/>
        <rFont val="Times New Roman"/>
        <family val="1"/>
      </rPr>
      <t xml:space="preserve"> + O</t>
    </r>
    <r>
      <rPr>
        <vertAlign val="subscript"/>
        <sz val="11"/>
        <rFont val="Times New Roman"/>
        <family val="1"/>
      </rPr>
      <t>2</t>
    </r>
    <r>
      <rPr>
        <sz val="11"/>
        <rFont val="Times New Roman"/>
        <family val="1"/>
      </rPr>
      <t xml:space="preserve"> → SO</t>
    </r>
    <r>
      <rPr>
        <vertAlign val="subscript"/>
        <sz val="11"/>
        <rFont val="Times New Roman"/>
        <family val="1"/>
      </rPr>
      <t>2</t>
    </r>
  </si>
  <si>
    <t>Eq 22-10</t>
  </si>
  <si>
    <r>
      <t>S</t>
    </r>
    <r>
      <rPr>
        <vertAlign val="subscript"/>
        <sz val="11"/>
        <rFont val="Times New Roman"/>
        <family val="1"/>
      </rPr>
      <t>6</t>
    </r>
    <r>
      <rPr>
        <sz val="11"/>
        <rFont val="Times New Roman"/>
        <family val="1"/>
      </rPr>
      <t xml:space="preserve"> + 6O</t>
    </r>
    <r>
      <rPr>
        <vertAlign val="subscript"/>
        <sz val="11"/>
        <rFont val="Times New Roman"/>
        <family val="1"/>
      </rPr>
      <t>2</t>
    </r>
    <r>
      <rPr>
        <sz val="11"/>
        <rFont val="Times New Roman"/>
        <family val="1"/>
      </rPr>
      <t xml:space="preserve"> → 6SO</t>
    </r>
    <r>
      <rPr>
        <vertAlign val="subscript"/>
        <sz val="11"/>
        <rFont val="Times New Roman"/>
        <family val="1"/>
      </rPr>
      <t>2</t>
    </r>
  </si>
  <si>
    <r>
      <t>S</t>
    </r>
    <r>
      <rPr>
        <vertAlign val="subscript"/>
        <sz val="11"/>
        <rFont val="Times New Roman"/>
        <family val="1"/>
      </rPr>
      <t>8</t>
    </r>
    <r>
      <rPr>
        <sz val="11"/>
        <rFont val="Times New Roman"/>
        <family val="1"/>
      </rPr>
      <t xml:space="preserve"> + 8O</t>
    </r>
    <r>
      <rPr>
        <vertAlign val="subscript"/>
        <sz val="11"/>
        <rFont val="Times New Roman"/>
        <family val="1"/>
      </rPr>
      <t>2</t>
    </r>
    <r>
      <rPr>
        <sz val="11"/>
        <rFont val="Times New Roman"/>
        <family val="1"/>
      </rPr>
      <t xml:space="preserve"> → 8SO</t>
    </r>
    <r>
      <rPr>
        <vertAlign val="subscript"/>
        <sz val="11"/>
        <rFont val="Times New Roman"/>
        <family val="1"/>
      </rPr>
      <t>2</t>
    </r>
  </si>
  <si>
    <r>
      <t>H</t>
    </r>
    <r>
      <rPr>
        <vertAlign val="subscript"/>
        <sz val="11"/>
        <rFont val="Times New Roman"/>
        <family val="1"/>
      </rPr>
      <t>2</t>
    </r>
    <r>
      <rPr>
        <sz val="11"/>
        <rFont val="Times New Roman"/>
        <family val="1"/>
      </rPr>
      <t>S:</t>
    </r>
  </si>
  <si>
    <r>
      <t>mol/hr O</t>
    </r>
    <r>
      <rPr>
        <vertAlign val="subscript"/>
        <sz val="11"/>
        <rFont val="Times New Roman"/>
        <family val="1"/>
      </rPr>
      <t>2</t>
    </r>
  </si>
  <si>
    <r>
      <t>CH</t>
    </r>
    <r>
      <rPr>
        <vertAlign val="subscript"/>
        <sz val="11"/>
        <rFont val="Times New Roman"/>
        <family val="1"/>
      </rPr>
      <t>4</t>
    </r>
    <r>
      <rPr>
        <sz val="11"/>
        <rFont val="Times New Roman"/>
        <family val="1"/>
      </rPr>
      <t>:</t>
    </r>
  </si>
  <si>
    <t>Air</t>
  </si>
  <si>
    <r>
      <t>S</t>
    </r>
    <r>
      <rPr>
        <sz val="11"/>
        <color indexed="8"/>
        <rFont val="Times New Roman"/>
        <family val="1"/>
      </rPr>
      <t xml:space="preserve"> (as S</t>
    </r>
    <r>
      <rPr>
        <vertAlign val="subscript"/>
        <sz val="11"/>
        <color indexed="8"/>
        <rFont val="Times New Roman"/>
        <family val="1"/>
      </rPr>
      <t>1</t>
    </r>
    <r>
      <rPr>
        <sz val="11"/>
        <color indexed="8"/>
        <rFont val="Times New Roman"/>
        <family val="1"/>
      </rPr>
      <t>)</t>
    </r>
  </si>
  <si>
    <t>page 22-31</t>
  </si>
  <si>
    <t>Fuel</t>
  </si>
  <si>
    <r>
      <t>CH</t>
    </r>
    <r>
      <rPr>
        <vertAlign val="subscript"/>
        <sz val="11"/>
        <rFont val="Times New Roman"/>
        <family val="1"/>
      </rPr>
      <t>4</t>
    </r>
  </si>
  <si>
    <t>Combustion Products</t>
  </si>
  <si>
    <r>
      <t>S</t>
    </r>
    <r>
      <rPr>
        <vertAlign val="subscript"/>
        <sz val="11"/>
        <rFont val="Times New Roman"/>
        <family val="1"/>
      </rPr>
      <t>1</t>
    </r>
    <r>
      <rPr>
        <sz val="11"/>
        <rFont val="Times New Roman"/>
        <family val="1"/>
      </rPr>
      <t xml:space="preserve"> Combustion</t>
    </r>
  </si>
  <si>
    <r>
      <t>S</t>
    </r>
    <r>
      <rPr>
        <vertAlign val="subscript"/>
        <sz val="11"/>
        <rFont val="Times New Roman"/>
        <family val="1"/>
      </rPr>
      <t>8</t>
    </r>
    <r>
      <rPr>
        <sz val="11"/>
        <rFont val="Times New Roman"/>
        <family val="1"/>
      </rPr>
      <t xml:space="preserve"> Combustion</t>
    </r>
  </si>
  <si>
    <t>Enthalpies of Paraffin Hydrocarbons, Combustion Products and Sulfur Compounds</t>
  </si>
  <si>
    <t>CO</t>
  </si>
  <si>
    <t>COS</t>
  </si>
  <si>
    <r>
      <t>C</t>
    </r>
    <r>
      <rPr>
        <b/>
        <vertAlign val="subscript"/>
        <sz val="11"/>
        <color indexed="8"/>
        <rFont val="Times New Roman"/>
        <family val="1"/>
      </rPr>
      <t>1</t>
    </r>
  </si>
  <si>
    <r>
      <t>C</t>
    </r>
    <r>
      <rPr>
        <b/>
        <vertAlign val="subscript"/>
        <sz val="11"/>
        <color indexed="8"/>
        <rFont val="Times New Roman"/>
        <family val="1"/>
      </rPr>
      <t>2</t>
    </r>
  </si>
  <si>
    <r>
      <t>C</t>
    </r>
    <r>
      <rPr>
        <b/>
        <vertAlign val="subscript"/>
        <sz val="11"/>
        <color indexed="8"/>
        <rFont val="Times New Roman"/>
        <family val="1"/>
      </rPr>
      <t>3</t>
    </r>
  </si>
  <si>
    <r>
      <t>nC</t>
    </r>
    <r>
      <rPr>
        <b/>
        <vertAlign val="subscript"/>
        <sz val="11"/>
        <color indexed="8"/>
        <rFont val="Times New Roman"/>
        <family val="1"/>
      </rPr>
      <t>4</t>
    </r>
  </si>
  <si>
    <r>
      <t>iC</t>
    </r>
    <r>
      <rPr>
        <b/>
        <vertAlign val="subscript"/>
        <sz val="11"/>
        <color indexed="8"/>
        <rFont val="Times New Roman"/>
        <family val="1"/>
      </rPr>
      <t>4</t>
    </r>
  </si>
  <si>
    <r>
      <t>nC</t>
    </r>
    <r>
      <rPr>
        <b/>
        <vertAlign val="subscript"/>
        <sz val="11"/>
        <color indexed="8"/>
        <rFont val="Times New Roman"/>
        <family val="1"/>
      </rPr>
      <t>5</t>
    </r>
  </si>
  <si>
    <r>
      <t>nC</t>
    </r>
    <r>
      <rPr>
        <b/>
        <vertAlign val="subscript"/>
        <sz val="11"/>
        <color indexed="8"/>
        <rFont val="Times New Roman"/>
        <family val="1"/>
      </rPr>
      <t>6</t>
    </r>
  </si>
  <si>
    <r>
      <t>N</t>
    </r>
    <r>
      <rPr>
        <vertAlign val="subscript"/>
        <sz val="11"/>
        <color indexed="8"/>
        <rFont val="Times New Roman"/>
        <family val="1"/>
      </rPr>
      <t>2</t>
    </r>
  </si>
  <si>
    <r>
      <t>O</t>
    </r>
    <r>
      <rPr>
        <vertAlign val="subscript"/>
        <sz val="11"/>
        <color indexed="8"/>
        <rFont val="Times New Roman"/>
        <family val="1"/>
      </rPr>
      <t>2</t>
    </r>
  </si>
  <si>
    <r>
      <t>H</t>
    </r>
    <r>
      <rPr>
        <vertAlign val="subscript"/>
        <sz val="11"/>
        <color indexed="8"/>
        <rFont val="Times New Roman"/>
        <family val="1"/>
      </rPr>
      <t>2</t>
    </r>
  </si>
  <si>
    <r>
      <t>CO</t>
    </r>
    <r>
      <rPr>
        <vertAlign val="subscript"/>
        <sz val="11"/>
        <color indexed="8"/>
        <rFont val="Times New Roman"/>
        <family val="1"/>
      </rPr>
      <t>2</t>
    </r>
  </si>
  <si>
    <r>
      <t>H</t>
    </r>
    <r>
      <rPr>
        <vertAlign val="subscript"/>
        <sz val="11"/>
        <color indexed="8"/>
        <rFont val="Times New Roman"/>
        <family val="1"/>
      </rPr>
      <t>2</t>
    </r>
    <r>
      <rPr>
        <b/>
        <sz val="11"/>
        <color indexed="8"/>
        <rFont val="Times New Roman"/>
        <family val="1"/>
      </rPr>
      <t>O</t>
    </r>
  </si>
  <si>
    <r>
      <t>S</t>
    </r>
    <r>
      <rPr>
        <vertAlign val="subscript"/>
        <sz val="11"/>
        <color indexed="8"/>
        <rFont val="Times New Roman"/>
        <family val="1"/>
      </rPr>
      <t>2</t>
    </r>
  </si>
  <si>
    <r>
      <t>SO</t>
    </r>
    <r>
      <rPr>
        <vertAlign val="subscript"/>
        <sz val="11"/>
        <color indexed="8"/>
        <rFont val="Times New Roman"/>
        <family val="1"/>
      </rPr>
      <t>2</t>
    </r>
  </si>
  <si>
    <r>
      <t>SO</t>
    </r>
    <r>
      <rPr>
        <vertAlign val="subscript"/>
        <sz val="11"/>
        <color indexed="8"/>
        <rFont val="Times New Roman"/>
        <family val="1"/>
      </rPr>
      <t>3</t>
    </r>
  </si>
  <si>
    <r>
      <t>H</t>
    </r>
    <r>
      <rPr>
        <vertAlign val="subscript"/>
        <sz val="11"/>
        <color indexed="8"/>
        <rFont val="Times New Roman"/>
        <family val="1"/>
      </rPr>
      <t>2</t>
    </r>
    <r>
      <rPr>
        <sz val="11"/>
        <color indexed="8"/>
        <rFont val="Times New Roman"/>
        <family val="1"/>
      </rPr>
      <t>S</t>
    </r>
  </si>
  <si>
    <r>
      <t>CS</t>
    </r>
    <r>
      <rPr>
        <vertAlign val="subscript"/>
        <sz val="11"/>
        <color indexed="8"/>
        <rFont val="Times New Roman"/>
        <family val="1"/>
      </rPr>
      <t>2</t>
    </r>
  </si>
  <si>
    <r>
      <t>S</t>
    </r>
    <r>
      <rPr>
        <vertAlign val="subscript"/>
        <sz val="11"/>
        <color indexed="8"/>
        <rFont val="Times New Roman"/>
        <family val="1"/>
      </rPr>
      <t>6</t>
    </r>
  </si>
  <si>
    <r>
      <t>S</t>
    </r>
    <r>
      <rPr>
        <vertAlign val="subscript"/>
        <sz val="11"/>
        <color indexed="8"/>
        <rFont val="Times New Roman"/>
        <family val="1"/>
      </rPr>
      <t>8</t>
    </r>
  </si>
  <si>
    <t xml:space="preserve">∆Ĥ (32°F) = </t>
  </si>
  <si>
    <t>Heat out</t>
  </si>
  <si>
    <r>
      <t>H</t>
    </r>
    <r>
      <rPr>
        <vertAlign val="subscript"/>
        <sz val="11"/>
        <rFont val="Times New Roman"/>
        <family val="1"/>
      </rPr>
      <t>2</t>
    </r>
    <r>
      <rPr>
        <sz val="11"/>
        <rFont val="Times New Roman"/>
        <family val="1"/>
      </rPr>
      <t>S → H</t>
    </r>
    <r>
      <rPr>
        <vertAlign val="subscript"/>
        <sz val="11"/>
        <rFont val="Times New Roman"/>
        <family val="1"/>
      </rPr>
      <t>2</t>
    </r>
    <r>
      <rPr>
        <sz val="11"/>
        <rFont val="Times New Roman"/>
        <family val="1"/>
      </rPr>
      <t xml:space="preserve"> + ½S</t>
    </r>
    <r>
      <rPr>
        <vertAlign val="subscript"/>
        <sz val="11"/>
        <rFont val="Times New Roman"/>
        <family val="1"/>
      </rPr>
      <t>2</t>
    </r>
  </si>
  <si>
    <r>
      <t>H</t>
    </r>
    <r>
      <rPr>
        <vertAlign val="subscript"/>
        <sz val="11"/>
        <rFont val="Times New Roman"/>
        <family val="1"/>
      </rPr>
      <t>2</t>
    </r>
  </si>
  <si>
    <r>
      <t>H</t>
    </r>
    <r>
      <rPr>
        <vertAlign val="subscript"/>
        <sz val="11"/>
        <rFont val="Times New Roman"/>
        <family val="1"/>
      </rPr>
      <t>2</t>
    </r>
    <r>
      <rPr>
        <sz val="11"/>
        <rFont val="Times New Roman"/>
        <family val="1"/>
      </rPr>
      <t>S Cracking</t>
    </r>
  </si>
  <si>
    <r>
      <t>H</t>
    </r>
    <r>
      <rPr>
        <vertAlign val="subscript"/>
        <sz val="11"/>
        <rFont val="Times New Roman"/>
        <family val="1"/>
      </rPr>
      <t>2</t>
    </r>
    <r>
      <rPr>
        <sz val="11"/>
        <rFont val="Times New Roman"/>
        <family val="1"/>
      </rPr>
      <t xml:space="preserve"> + ½ O</t>
    </r>
    <r>
      <rPr>
        <vertAlign val="subscript"/>
        <sz val="11"/>
        <rFont val="Times New Roman"/>
        <family val="1"/>
      </rPr>
      <t>2</t>
    </r>
    <r>
      <rPr>
        <sz val="11"/>
        <rFont val="Times New Roman"/>
        <family val="1"/>
      </rPr>
      <t xml:space="preserve"> → H</t>
    </r>
    <r>
      <rPr>
        <vertAlign val="subscript"/>
        <sz val="11"/>
        <rFont val="Times New Roman"/>
        <family val="1"/>
      </rPr>
      <t>2</t>
    </r>
    <r>
      <rPr>
        <sz val="11"/>
        <rFont val="Times New Roman"/>
        <family val="1"/>
      </rPr>
      <t>O</t>
    </r>
  </si>
  <si>
    <r>
      <t>H</t>
    </r>
    <r>
      <rPr>
        <vertAlign val="subscript"/>
        <sz val="11"/>
        <rFont val="Times New Roman"/>
        <family val="1"/>
      </rPr>
      <t>2</t>
    </r>
    <r>
      <rPr>
        <sz val="11"/>
        <rFont val="Times New Roman"/>
        <family val="1"/>
      </rPr>
      <t>:</t>
    </r>
  </si>
  <si>
    <r>
      <t>S</t>
    </r>
    <r>
      <rPr>
        <sz val="11"/>
        <color indexed="8"/>
        <rFont val="Times New Roman"/>
        <family val="1"/>
      </rPr>
      <t>:</t>
    </r>
  </si>
  <si>
    <t>From Eq 22-5</t>
  </si>
  <si>
    <t>Eq 22-14</t>
  </si>
  <si>
    <r>
      <t>Percentage H</t>
    </r>
    <r>
      <rPr>
        <vertAlign val="subscript"/>
        <sz val="11"/>
        <rFont val="Times New Roman"/>
        <family val="1"/>
      </rPr>
      <t>2</t>
    </r>
    <r>
      <rPr>
        <sz val="11"/>
        <rFont val="Times New Roman"/>
        <family val="1"/>
      </rPr>
      <t>S cracking</t>
    </r>
  </si>
  <si>
    <t>From Eq 22-7</t>
  </si>
  <si>
    <t>Eq 22-11</t>
  </si>
  <si>
    <t>x ==&gt;</t>
  </si>
  <si>
    <r>
      <rPr>
        <b/>
        <sz val="11"/>
        <rFont val="Times New Roman"/>
        <family val="1"/>
      </rPr>
      <t>Fig. 22-30</t>
    </r>
    <r>
      <rPr>
        <sz val="11"/>
        <rFont val="Times New Roman"/>
        <family val="1"/>
      </rPr>
      <t xml:space="preserve"> ∆H:</t>
    </r>
  </si>
  <si>
    <r>
      <t xml:space="preserve">From </t>
    </r>
    <r>
      <rPr>
        <b/>
        <sz val="11"/>
        <rFont val="Times New Roman"/>
        <family val="1"/>
      </rPr>
      <t>Fig. 22-22</t>
    </r>
    <r>
      <rPr>
        <sz val="11"/>
        <rFont val="Times New Roman"/>
        <family val="1"/>
      </rPr>
      <t>, vapor pressure of sulfur at above temperature:</t>
    </r>
  </si>
  <si>
    <r>
      <rPr>
        <b/>
        <sz val="11"/>
        <rFont val="Times New Roman"/>
        <family val="1"/>
      </rPr>
      <t>Fig. 22-29</t>
    </r>
    <r>
      <rPr>
        <sz val="11"/>
        <rFont val="Times New Roman"/>
        <family val="1"/>
      </rPr>
      <t xml:space="preserve"> ∆H:</t>
    </r>
  </si>
  <si>
    <r>
      <t xml:space="preserve">Looking at </t>
    </r>
    <r>
      <rPr>
        <b/>
        <sz val="11"/>
        <rFont val="Times New Roman"/>
        <family val="1"/>
      </rPr>
      <t>Fig. 22-22</t>
    </r>
    <r>
      <rPr>
        <sz val="11"/>
        <rFont val="Times New Roman"/>
        <family val="1"/>
      </rPr>
      <t>, the vapor pressure of sulfur is the above value at about</t>
    </r>
  </si>
  <si>
    <r>
      <t xml:space="preserve">As an alternative to reading </t>
    </r>
    <r>
      <rPr>
        <b/>
        <sz val="11"/>
        <rFont val="Times New Roman"/>
        <family val="1"/>
      </rPr>
      <t>Fig. 22-27</t>
    </r>
    <r>
      <rPr>
        <sz val="11"/>
        <rFont val="Times New Roman"/>
        <family val="1"/>
      </rPr>
      <t>, the following approximation can be used</t>
    </r>
  </si>
  <si>
    <r>
      <t xml:space="preserve">Btu/hr  &lt;== </t>
    </r>
    <r>
      <rPr>
        <i/>
        <sz val="11"/>
        <rFont val="Times New Roman"/>
        <family val="1"/>
      </rPr>
      <t>adjust x until near zero</t>
    </r>
  </si>
  <si>
    <t>Eq 22-12</t>
  </si>
  <si>
    <r>
      <t>K</t>
    </r>
    <r>
      <rPr>
        <vertAlign val="subscript"/>
        <sz val="10"/>
        <color indexed="8"/>
        <rFont val="Calibri"/>
        <family val="2"/>
      </rPr>
      <t>p</t>
    </r>
    <r>
      <rPr>
        <sz val="10"/>
        <color indexed="8"/>
        <rFont val="Calibri"/>
        <family val="2"/>
      </rPr>
      <t xml:space="preserve"> = ( [Mols H</t>
    </r>
    <r>
      <rPr>
        <vertAlign val="subscript"/>
        <sz val="10"/>
        <color indexed="8"/>
        <rFont val="Calibri"/>
        <family val="2"/>
      </rPr>
      <t>2</t>
    </r>
    <r>
      <rPr>
        <sz val="10"/>
        <color indexed="8"/>
        <rFont val="Calibri"/>
        <family val="2"/>
      </rPr>
      <t>O]</t>
    </r>
    <r>
      <rPr>
        <vertAlign val="superscript"/>
        <sz val="10"/>
        <color indexed="8"/>
        <rFont val="Calibri"/>
        <family val="2"/>
      </rPr>
      <t>2</t>
    </r>
    <r>
      <rPr>
        <sz val="10"/>
        <color indexed="8"/>
        <rFont val="Calibri"/>
        <family val="2"/>
      </rPr>
      <t>[Mols S</t>
    </r>
    <r>
      <rPr>
        <vertAlign val="subscript"/>
        <sz val="10"/>
        <color indexed="8"/>
        <rFont val="Calibri"/>
        <family val="2"/>
      </rPr>
      <t>x</t>
    </r>
    <r>
      <rPr>
        <sz val="10"/>
        <color indexed="8"/>
        <rFont val="Calibri"/>
        <family val="2"/>
      </rPr>
      <t>]</t>
    </r>
    <r>
      <rPr>
        <vertAlign val="superscript"/>
        <sz val="10"/>
        <color indexed="8"/>
        <rFont val="Calibri"/>
        <family val="2"/>
      </rPr>
      <t>3/x</t>
    </r>
    <r>
      <rPr>
        <sz val="10"/>
        <color indexed="8"/>
        <rFont val="Calibri"/>
        <family val="2"/>
      </rPr>
      <t xml:space="preserve"> ) / ( [Mols H</t>
    </r>
    <r>
      <rPr>
        <vertAlign val="subscript"/>
        <sz val="10"/>
        <color indexed="8"/>
        <rFont val="Calibri"/>
        <family val="2"/>
      </rPr>
      <t>2</t>
    </r>
    <r>
      <rPr>
        <sz val="10"/>
        <color indexed="8"/>
        <rFont val="Calibri"/>
        <family val="2"/>
      </rPr>
      <t>S]</t>
    </r>
    <r>
      <rPr>
        <vertAlign val="superscript"/>
        <sz val="10"/>
        <color indexed="8"/>
        <rFont val="Calibri"/>
        <family val="2"/>
      </rPr>
      <t>2</t>
    </r>
    <r>
      <rPr>
        <sz val="10"/>
        <color indexed="8"/>
        <rFont val="Calibri"/>
        <family val="2"/>
      </rPr>
      <t>[Mols SO</t>
    </r>
    <r>
      <rPr>
        <vertAlign val="subscript"/>
        <sz val="10"/>
        <color indexed="8"/>
        <rFont val="Calibri"/>
        <family val="2"/>
      </rPr>
      <t>2</t>
    </r>
    <r>
      <rPr>
        <sz val="10"/>
        <color indexed="8"/>
        <rFont val="Calibri"/>
        <family val="2"/>
      </rPr>
      <t>] ) * ( π / Total Mols )</t>
    </r>
    <r>
      <rPr>
        <vertAlign val="superscript"/>
        <sz val="10"/>
        <color indexed="8"/>
        <rFont val="Calibri"/>
        <family val="2"/>
      </rPr>
      <t>(3/x – 1)</t>
    </r>
  </si>
  <si>
    <t>From Eq 22-3</t>
  </si>
  <si>
    <r>
      <t>K</t>
    </r>
    <r>
      <rPr>
        <vertAlign val="subscript"/>
        <sz val="11"/>
        <color indexed="8"/>
        <rFont val="Times New Roman"/>
        <family val="1"/>
      </rPr>
      <t>p</t>
    </r>
    <r>
      <rPr>
        <sz val="11"/>
        <color indexed="8"/>
        <rFont val="Times New Roman"/>
        <family val="1"/>
      </rPr>
      <t xml:space="preserve"> = ( [H</t>
    </r>
    <r>
      <rPr>
        <vertAlign val="subscript"/>
        <sz val="11"/>
        <color indexed="8"/>
        <rFont val="Times New Roman"/>
        <family val="1"/>
      </rPr>
      <t>2</t>
    </r>
    <r>
      <rPr>
        <sz val="11"/>
        <color indexed="8"/>
        <rFont val="Times New Roman"/>
        <family val="1"/>
      </rPr>
      <t>O]</t>
    </r>
    <r>
      <rPr>
        <vertAlign val="superscript"/>
        <sz val="11"/>
        <color indexed="8"/>
        <rFont val="Times New Roman"/>
        <family val="1"/>
      </rPr>
      <t>2</t>
    </r>
    <r>
      <rPr>
        <sz val="11"/>
        <color indexed="8"/>
        <rFont val="Times New Roman"/>
        <family val="1"/>
      </rPr>
      <t>[S</t>
    </r>
    <r>
      <rPr>
        <vertAlign val="subscript"/>
        <sz val="11"/>
        <color indexed="8"/>
        <rFont val="Times New Roman"/>
        <family val="1"/>
      </rPr>
      <t>8</t>
    </r>
    <r>
      <rPr>
        <sz val="11"/>
        <color indexed="8"/>
        <rFont val="Times New Roman"/>
        <family val="1"/>
      </rPr>
      <t>]</t>
    </r>
    <r>
      <rPr>
        <vertAlign val="superscript"/>
        <sz val="11"/>
        <color indexed="8"/>
        <rFont val="Times New Roman"/>
        <family val="1"/>
      </rPr>
      <t>3/8</t>
    </r>
    <r>
      <rPr>
        <sz val="11"/>
        <color indexed="8"/>
        <rFont val="Times New Roman"/>
        <family val="1"/>
      </rPr>
      <t xml:space="preserve"> ) / ( [H</t>
    </r>
    <r>
      <rPr>
        <vertAlign val="subscript"/>
        <sz val="11"/>
        <color indexed="8"/>
        <rFont val="Times New Roman"/>
        <family val="1"/>
      </rPr>
      <t>2</t>
    </r>
    <r>
      <rPr>
        <sz val="11"/>
        <color indexed="8"/>
        <rFont val="Times New Roman"/>
        <family val="1"/>
      </rPr>
      <t>S]</t>
    </r>
    <r>
      <rPr>
        <vertAlign val="superscript"/>
        <sz val="11"/>
        <color indexed="8"/>
        <rFont val="Times New Roman"/>
        <family val="1"/>
      </rPr>
      <t>2</t>
    </r>
    <r>
      <rPr>
        <sz val="11"/>
        <color indexed="8"/>
        <rFont val="Times New Roman"/>
        <family val="1"/>
      </rPr>
      <t>[SO</t>
    </r>
    <r>
      <rPr>
        <vertAlign val="subscript"/>
        <sz val="11"/>
        <color indexed="8"/>
        <rFont val="Times New Roman"/>
        <family val="1"/>
      </rPr>
      <t>2</t>
    </r>
    <r>
      <rPr>
        <sz val="11"/>
        <color indexed="8"/>
        <rFont val="Times New Roman"/>
        <family val="1"/>
      </rPr>
      <t>] ) * ( π / Total Mols )</t>
    </r>
    <r>
      <rPr>
        <vertAlign val="superscript"/>
        <sz val="11"/>
        <color indexed="8"/>
        <rFont val="Cambria"/>
        <family val="1"/>
      </rPr>
      <t xml:space="preserve">(3/8 </t>
    </r>
    <r>
      <rPr>
        <vertAlign val="superscript"/>
        <sz val="11"/>
        <color indexed="8"/>
        <rFont val="Calibri"/>
        <family val="2"/>
      </rPr>
      <t>– 1)</t>
    </r>
  </si>
  <si>
    <r>
      <rPr>
        <i/>
        <sz val="11"/>
        <rFont val="Times New Roman"/>
        <family val="1"/>
      </rPr>
      <t xml:space="preserve">The Equilibrium Temperature calculated by </t>
    </r>
    <r>
      <rPr>
        <b/>
        <i/>
        <sz val="11"/>
        <rFont val="Times New Roman"/>
        <family val="1"/>
      </rPr>
      <t>Eq 22-12</t>
    </r>
    <r>
      <rPr>
        <i/>
        <sz val="11"/>
        <rFont val="Times New Roman"/>
        <family val="1"/>
      </rPr>
      <t xml:space="preserve"> is used in the below example.</t>
    </r>
  </si>
  <si>
    <r>
      <rPr>
        <b/>
        <sz val="11"/>
        <rFont val="Times New Roman"/>
        <family val="1"/>
      </rPr>
      <t>Fig. 22-30</t>
    </r>
    <r>
      <rPr>
        <sz val="11"/>
        <rFont val="Times New Roman"/>
        <family val="1"/>
      </rPr>
      <t xml:space="preserve"> ∆H of Condensation:</t>
    </r>
  </si>
  <si>
    <r>
      <t xml:space="preserve">Equilibrium Temperature (°F) </t>
    </r>
    <r>
      <rPr>
        <b/>
        <sz val="11"/>
        <rFont val="Times New Roman"/>
        <family val="1"/>
      </rPr>
      <t>Fig. 22-27</t>
    </r>
  </si>
  <si>
    <r>
      <t xml:space="preserve">Equilibrium Temperature (°F) calculated </t>
    </r>
    <r>
      <rPr>
        <b/>
        <sz val="11"/>
        <rFont val="Times New Roman"/>
        <family val="1"/>
      </rPr>
      <t>Eq 22-12</t>
    </r>
  </si>
  <si>
    <t xml:space="preserve">Estimate of liquid sulfur entrainment: </t>
  </si>
  <si>
    <t>Recovery Efficiency (allowing sulfur vapor losses and liquid sulfur entrainment):</t>
  </si>
  <si>
    <t>Step 1. Calculate oxygen required for combustibles in feed gas</t>
  </si>
  <si>
    <t>Outlet temperature</t>
  </si>
  <si>
    <t>Btu/mole</t>
  </si>
  <si>
    <t>mole/hr</t>
  </si>
  <si>
    <r>
      <t>H</t>
    </r>
    <r>
      <rPr>
        <vertAlign val="subscript"/>
        <sz val="11"/>
        <rFont val="Times New Roman"/>
        <family val="1"/>
      </rPr>
      <t>2</t>
    </r>
    <r>
      <rPr>
        <sz val="11"/>
        <rFont val="Times New Roman"/>
        <family val="1"/>
      </rPr>
      <t xml:space="preserve"> Combustion </t>
    </r>
  </si>
  <si>
    <r>
      <t>S</t>
    </r>
    <r>
      <rPr>
        <vertAlign val="subscript"/>
        <sz val="11"/>
        <rFont val="Times New Roman"/>
        <family val="1"/>
      </rPr>
      <t xml:space="preserve">6 </t>
    </r>
    <r>
      <rPr>
        <sz val="11"/>
        <rFont val="Times New Roman"/>
        <family val="1"/>
      </rPr>
      <t>Combustion</t>
    </r>
  </si>
  <si>
    <r>
      <t>CH</t>
    </r>
    <r>
      <rPr>
        <vertAlign val="subscript"/>
        <sz val="11"/>
        <rFont val="Times New Roman"/>
        <family val="1"/>
      </rPr>
      <t>4</t>
    </r>
    <r>
      <rPr>
        <sz val="11"/>
        <rFont val="Times New Roman"/>
        <family val="1"/>
      </rPr>
      <t xml:space="preserve"> Combustion</t>
    </r>
  </si>
  <si>
    <t>Exponent</t>
  </si>
  <si>
    <r>
      <t xml:space="preserve">Find oxygen required to burn </t>
    </r>
    <r>
      <rPr>
        <vertAlign val="superscript"/>
        <sz val="11"/>
        <rFont val="Times New Roman"/>
        <family val="1"/>
      </rPr>
      <t>1</t>
    </r>
    <r>
      <rPr>
        <sz val="11"/>
        <rFont val="Times New Roman"/>
        <family val="1"/>
      </rPr>
      <t>/</t>
    </r>
    <r>
      <rPr>
        <vertAlign val="subscript"/>
        <sz val="11"/>
        <rFont val="Times New Roman"/>
        <family val="1"/>
      </rPr>
      <t>3</t>
    </r>
    <r>
      <rPr>
        <sz val="11"/>
        <rFont val="Times New Roman"/>
        <family val="1"/>
      </rPr>
      <t xml:space="preserve"> of the H</t>
    </r>
    <r>
      <rPr>
        <vertAlign val="subscript"/>
        <sz val="11"/>
        <rFont val="Times New Roman"/>
        <family val="1"/>
      </rPr>
      <t>2</t>
    </r>
    <r>
      <rPr>
        <sz val="11"/>
        <rFont val="Times New Roman"/>
        <family val="1"/>
      </rPr>
      <t>S and total combustion of hydrocarbons</t>
    </r>
  </si>
  <si>
    <r>
      <t>Equilibrium Temperature from K</t>
    </r>
    <r>
      <rPr>
        <i/>
        <vertAlign val="subscript"/>
        <sz val="11"/>
        <rFont val="Times New Roman"/>
        <family val="1"/>
      </rPr>
      <t>p</t>
    </r>
    <r>
      <rPr>
        <i/>
        <sz val="11"/>
        <rFont val="Times New Roman"/>
        <family val="1"/>
      </rPr>
      <t xml:space="preserve"> Approximate is used in the calculations below.</t>
    </r>
  </si>
  <si>
    <r>
      <t xml:space="preserve">Equilibrium Temperature (°F) from </t>
    </r>
    <r>
      <rPr>
        <b/>
        <sz val="11"/>
        <rFont val="Times New Roman"/>
        <family val="1"/>
      </rPr>
      <t>Fig. 22-27</t>
    </r>
  </si>
  <si>
    <r>
      <t>Equilibrium Temperature (°F) from K</t>
    </r>
    <r>
      <rPr>
        <vertAlign val="subscript"/>
        <sz val="11"/>
        <rFont val="Times New Roman"/>
        <family val="1"/>
      </rPr>
      <t>p</t>
    </r>
    <r>
      <rPr>
        <sz val="11"/>
        <rFont val="Times New Roman"/>
        <family val="1"/>
      </rPr>
      <t xml:space="preserve"> Approximate </t>
    </r>
    <r>
      <rPr>
        <b/>
        <sz val="11"/>
        <rFont val="Times New Roman"/>
        <family val="1"/>
      </rPr>
      <t>Eq 22-11</t>
    </r>
  </si>
  <si>
    <r>
      <t xml:space="preserve">x, mol/hr
</t>
    </r>
    <r>
      <rPr>
        <i/>
        <sz val="11"/>
        <rFont val="Times New Roman"/>
        <family val="1"/>
      </rPr>
      <t>see note</t>
    </r>
  </si>
  <si>
    <r>
      <t xml:space="preserve">Equilibrium temperature can determined by reading </t>
    </r>
    <r>
      <rPr>
        <b/>
        <sz val="11"/>
        <rFont val="Times New Roman"/>
        <family val="1"/>
      </rPr>
      <t>Fig. 22-27</t>
    </r>
    <r>
      <rPr>
        <sz val="11"/>
        <rFont val="Times New Roman"/>
        <family val="1"/>
      </rPr>
      <t xml:space="preserve"> or can be approximated by the following</t>
    </r>
  </si>
  <si>
    <r>
      <t>mol/hr vapor as S</t>
    </r>
    <r>
      <rPr>
        <vertAlign val="subscript"/>
        <sz val="11"/>
        <rFont val="Times New Roman"/>
        <family val="1"/>
      </rPr>
      <t>1</t>
    </r>
  </si>
  <si>
    <t>converging moles converted to balance enthalpy in and out.</t>
  </si>
  <si>
    <r>
      <t>y, mol/hr 
(</t>
    </r>
    <r>
      <rPr>
        <i/>
        <sz val="11"/>
        <rFont val="Times New Roman"/>
        <family val="1"/>
      </rPr>
      <t>see note</t>
    </r>
    <r>
      <rPr>
        <sz val="11"/>
        <rFont val="Times New Roman"/>
        <family val="1"/>
      </rPr>
      <t>)</t>
    </r>
  </si>
  <si>
    <t>Note: You can use the Excel Add-In Solver to find the value of y that gives a zero Enthalpy Difference. Make sure you have Solver in your Data ribbon, Analysis tab. Set Objective = B31, Value of 0, Variable B29. Solver will find y.</t>
  </si>
  <si>
    <t>&lt;= adjust y until near zero</t>
  </si>
  <si>
    <t>&lt;== adjust y until near zero</t>
  </si>
  <si>
    <t>Step 1(b).  Calculate net heat release for fuel (assumed methane), base rate methane (Y) =</t>
  </si>
  <si>
    <r>
      <t xml:space="preserve">mol/hr, </t>
    </r>
    <r>
      <rPr>
        <i/>
        <sz val="11"/>
        <rFont val="Times New Roman"/>
        <family val="1"/>
      </rPr>
      <t>see note</t>
    </r>
  </si>
  <si>
    <t>&lt;== adjust Y until near zero</t>
  </si>
  <si>
    <t>Note: You can use the Excel Add-In Solver to find the value of Y that gives a zero Enthalpy Difference. Make sure you have Solver in your Data ribbon, Analysis tab. Set Objective = B49, Value of 0, Variable F48. Solver will find Y.</t>
  </si>
  <si>
    <r>
      <t>mol fraction S</t>
    </r>
    <r>
      <rPr>
        <vertAlign val="subscript"/>
        <sz val="11"/>
        <color indexed="8"/>
        <rFont val="Times New Roman"/>
        <family val="1"/>
      </rPr>
      <t>6</t>
    </r>
  </si>
  <si>
    <r>
      <t>molfraction S</t>
    </r>
    <r>
      <rPr>
        <vertAlign val="subscript"/>
        <sz val="11"/>
        <color indexed="8"/>
        <rFont val="Times New Roman"/>
        <family val="1"/>
      </rPr>
      <t>8</t>
    </r>
  </si>
  <si>
    <r>
      <t>mol fractrion S</t>
    </r>
    <r>
      <rPr>
        <vertAlign val="subscript"/>
        <sz val="11"/>
        <color indexed="8"/>
        <rFont val="Times New Roman"/>
        <family val="1"/>
      </rPr>
      <t>2</t>
    </r>
  </si>
  <si>
    <r>
      <t>mol fraction S</t>
    </r>
    <r>
      <rPr>
        <vertAlign val="subscript"/>
        <sz val="11"/>
        <color indexed="8"/>
        <rFont val="Times New Roman"/>
        <family val="1"/>
      </rPr>
      <t>8</t>
    </r>
  </si>
  <si>
    <r>
      <t>molfraction S</t>
    </r>
    <r>
      <rPr>
        <vertAlign val="subscript"/>
        <sz val="11"/>
        <color indexed="8"/>
        <rFont val="Times New Roman"/>
        <family val="1"/>
      </rPr>
      <t>6</t>
    </r>
  </si>
  <si>
    <t>Note: You can use the Excel Add-In Solver to find the value of y that gives a zero Enthalpy Difference. Make sure you have Solver in your Data ribbon, Analysis tab. Set Objective = M31, Value of 0, Variable M29. Solver will find y.</t>
  </si>
  <si>
    <t>Note: You can use the Excel Add-In Solver to find the value of Y that gives a zero Enthalpy Difference. Make sure you have Solver in your Data ribbon, Analysis tab. Set Objective = M49, Value of 0, Variable Q48. Solver will find Y.</t>
  </si>
  <si>
    <r>
      <t>K</t>
    </r>
    <r>
      <rPr>
        <vertAlign val="subscript"/>
        <sz val="11"/>
        <color indexed="8"/>
        <rFont val="Times New Roman"/>
        <family val="1"/>
      </rPr>
      <t>p</t>
    </r>
    <r>
      <rPr>
        <sz val="11"/>
        <color indexed="8"/>
        <rFont val="Times New Roman"/>
        <family val="1"/>
      </rPr>
      <t xml:space="preserve"> = ( (P</t>
    </r>
    <r>
      <rPr>
        <vertAlign val="subscript"/>
        <sz val="11"/>
        <color indexed="8"/>
        <rFont val="Times New Roman"/>
        <family val="1"/>
      </rPr>
      <t>H2O</t>
    </r>
    <r>
      <rPr>
        <sz val="11"/>
        <color indexed="8"/>
        <rFont val="Times New Roman"/>
        <family val="1"/>
      </rPr>
      <t>)</t>
    </r>
    <r>
      <rPr>
        <vertAlign val="superscript"/>
        <sz val="11"/>
        <color indexed="8"/>
        <rFont val="Times New Roman"/>
        <family val="1"/>
      </rPr>
      <t>2</t>
    </r>
    <r>
      <rPr>
        <sz val="11"/>
        <color indexed="8"/>
        <rFont val="Times New Roman"/>
        <family val="1"/>
      </rPr>
      <t>(P</t>
    </r>
    <r>
      <rPr>
        <vertAlign val="subscript"/>
        <sz val="11"/>
        <color indexed="8"/>
        <rFont val="Times New Roman"/>
        <family val="1"/>
      </rPr>
      <t>Sx</t>
    </r>
    <r>
      <rPr>
        <sz val="11"/>
        <color indexed="8"/>
        <rFont val="Times New Roman"/>
        <family val="1"/>
      </rPr>
      <t>)</t>
    </r>
    <r>
      <rPr>
        <vertAlign val="superscript"/>
        <sz val="11"/>
        <color indexed="8"/>
        <rFont val="Times New Roman"/>
        <family val="1"/>
      </rPr>
      <t>3/x</t>
    </r>
    <r>
      <rPr>
        <sz val="11"/>
        <color indexed="8"/>
        <rFont val="Times New Roman"/>
        <family val="1"/>
      </rPr>
      <t xml:space="preserve"> ) / ( (P</t>
    </r>
    <r>
      <rPr>
        <vertAlign val="subscript"/>
        <sz val="11"/>
        <color indexed="8"/>
        <rFont val="Times New Roman"/>
        <family val="1"/>
      </rPr>
      <t>H2S</t>
    </r>
    <r>
      <rPr>
        <sz val="11"/>
        <color indexed="8"/>
        <rFont val="Times New Roman"/>
        <family val="1"/>
      </rPr>
      <t>)</t>
    </r>
    <r>
      <rPr>
        <vertAlign val="superscript"/>
        <sz val="11"/>
        <color indexed="8"/>
        <rFont val="Times New Roman"/>
        <family val="1"/>
      </rPr>
      <t>2</t>
    </r>
    <r>
      <rPr>
        <sz val="11"/>
        <color indexed="8"/>
        <rFont val="Times New Roman"/>
        <family val="1"/>
      </rPr>
      <t>(P</t>
    </r>
    <r>
      <rPr>
        <vertAlign val="subscript"/>
        <sz val="11"/>
        <color indexed="8"/>
        <rFont val="Times New Roman"/>
        <family val="1"/>
      </rPr>
      <t>SO2</t>
    </r>
    <r>
      <rPr>
        <sz val="11"/>
        <color indexed="8"/>
        <rFont val="Times New Roman"/>
        <family val="1"/>
      </rPr>
      <t>) ) = ( [Mols H</t>
    </r>
    <r>
      <rPr>
        <vertAlign val="subscript"/>
        <sz val="11"/>
        <color indexed="8"/>
        <rFont val="Times New Roman"/>
        <family val="1"/>
      </rPr>
      <t>2</t>
    </r>
    <r>
      <rPr>
        <sz val="11"/>
        <color indexed="8"/>
        <rFont val="Times New Roman"/>
        <family val="1"/>
      </rPr>
      <t>O]</t>
    </r>
    <r>
      <rPr>
        <vertAlign val="superscript"/>
        <sz val="11"/>
        <color indexed="8"/>
        <rFont val="Times New Roman"/>
        <family val="1"/>
      </rPr>
      <t>2</t>
    </r>
    <r>
      <rPr>
        <sz val="11"/>
        <color indexed="8"/>
        <rFont val="Times New Roman"/>
        <family val="1"/>
      </rPr>
      <t>[Mols S</t>
    </r>
    <r>
      <rPr>
        <vertAlign val="subscript"/>
        <sz val="11"/>
        <color indexed="8"/>
        <rFont val="Times New Roman"/>
        <family val="1"/>
      </rPr>
      <t>2</t>
    </r>
    <r>
      <rPr>
        <sz val="11"/>
        <color indexed="8"/>
        <rFont val="Times New Roman"/>
        <family val="1"/>
      </rPr>
      <t>]</t>
    </r>
    <r>
      <rPr>
        <vertAlign val="superscript"/>
        <sz val="11"/>
        <color indexed="8"/>
        <rFont val="Times New Roman"/>
        <family val="1"/>
      </rPr>
      <t>3/2</t>
    </r>
    <r>
      <rPr>
        <sz val="11"/>
        <color indexed="8"/>
        <rFont val="Times New Roman"/>
        <family val="1"/>
      </rPr>
      <t xml:space="preserve"> ) / ( [Mols H</t>
    </r>
    <r>
      <rPr>
        <vertAlign val="subscript"/>
        <sz val="11"/>
        <color indexed="8"/>
        <rFont val="Times New Roman"/>
        <family val="1"/>
      </rPr>
      <t>2</t>
    </r>
    <r>
      <rPr>
        <sz val="11"/>
        <color indexed="8"/>
        <rFont val="Times New Roman"/>
        <family val="1"/>
      </rPr>
      <t>S]</t>
    </r>
    <r>
      <rPr>
        <vertAlign val="superscript"/>
        <sz val="11"/>
        <color indexed="8"/>
        <rFont val="Times New Roman"/>
        <family val="1"/>
      </rPr>
      <t>2</t>
    </r>
    <r>
      <rPr>
        <sz val="11"/>
        <color indexed="8"/>
        <rFont val="Times New Roman"/>
        <family val="1"/>
      </rPr>
      <t>[Mols SO</t>
    </r>
    <r>
      <rPr>
        <vertAlign val="subscript"/>
        <sz val="11"/>
        <color indexed="8"/>
        <rFont val="Times New Roman"/>
        <family val="1"/>
      </rPr>
      <t>2</t>
    </r>
    <r>
      <rPr>
        <sz val="11"/>
        <color indexed="8"/>
        <rFont val="Times New Roman"/>
        <family val="1"/>
      </rPr>
      <t>] ) * ( π / Total Mols )</t>
    </r>
    <r>
      <rPr>
        <vertAlign val="superscript"/>
        <sz val="11"/>
        <color indexed="8"/>
        <rFont val="Cambria"/>
        <family val="1"/>
      </rPr>
      <t xml:space="preserve">(3/2 </t>
    </r>
    <r>
      <rPr>
        <vertAlign val="superscript"/>
        <sz val="11"/>
        <color indexed="8"/>
        <rFont val="Calibri"/>
        <family val="2"/>
      </rPr>
      <t>– 1)</t>
    </r>
  </si>
  <si>
    <r>
      <t>mol fraction S</t>
    </r>
    <r>
      <rPr>
        <vertAlign val="subscript"/>
        <sz val="11"/>
        <color indexed="8"/>
        <rFont val="Times New Roman"/>
        <family val="1"/>
      </rPr>
      <t>2</t>
    </r>
  </si>
  <si>
    <r>
      <t xml:space="preserve">Step 1 </t>
    </r>
    <r>
      <rPr>
        <sz val="16"/>
        <rFont val="Arial"/>
        <family val="2"/>
      </rPr>
      <t xml:space="preserve">─ </t>
    </r>
    <r>
      <rPr>
        <i/>
        <sz val="16"/>
        <rFont val="Times New Roman"/>
        <family val="1"/>
      </rPr>
      <t>Combustion/Reaction Section</t>
    </r>
  </si>
  <si>
    <t>Step 1 ─ Combustion/Reaction Section</t>
  </si>
  <si>
    <t>Step 2 ─ Waste Heat Boiler Duty</t>
  </si>
  <si>
    <t>Step 3 ─ 1st Sulfur Condenser</t>
  </si>
  <si>
    <t>Step 4 ─ 1st Reheater</t>
  </si>
  <si>
    <t>Step 5 ─ 1st Catalytic Converter</t>
  </si>
  <si>
    <r>
      <t>Step 6 ─ 2</t>
    </r>
    <r>
      <rPr>
        <i/>
        <vertAlign val="superscript"/>
        <sz val="16"/>
        <rFont val="Times New Roman"/>
        <family val="1"/>
      </rPr>
      <t>nd</t>
    </r>
    <r>
      <rPr>
        <i/>
        <sz val="16"/>
        <rFont val="Times New Roman"/>
        <family val="1"/>
      </rPr>
      <t xml:space="preserve"> Sulfur Condenser</t>
    </r>
  </si>
  <si>
    <r>
      <t>Step 7 ─ 2</t>
    </r>
    <r>
      <rPr>
        <i/>
        <vertAlign val="superscript"/>
        <sz val="16"/>
        <rFont val="Times New Roman"/>
        <family val="1"/>
      </rPr>
      <t>nd</t>
    </r>
    <r>
      <rPr>
        <i/>
        <sz val="16"/>
        <rFont val="Times New Roman"/>
        <family val="1"/>
      </rPr>
      <t xml:space="preserve"> Reheater</t>
    </r>
  </si>
  <si>
    <r>
      <t>Step 8 ─ 2</t>
    </r>
    <r>
      <rPr>
        <i/>
        <vertAlign val="superscript"/>
        <sz val="16"/>
        <rFont val="Times New Roman"/>
        <family val="1"/>
      </rPr>
      <t>nd</t>
    </r>
    <r>
      <rPr>
        <i/>
        <sz val="16"/>
        <rFont val="Times New Roman"/>
        <family val="1"/>
      </rPr>
      <t xml:space="preserve"> Catalytic Converter</t>
    </r>
  </si>
  <si>
    <r>
      <t>Step 9 ─ 3</t>
    </r>
    <r>
      <rPr>
        <i/>
        <vertAlign val="superscript"/>
        <sz val="16"/>
        <rFont val="Times New Roman"/>
        <family val="1"/>
      </rPr>
      <t>rd</t>
    </r>
    <r>
      <rPr>
        <i/>
        <sz val="16"/>
        <rFont val="Times New Roman"/>
        <family val="1"/>
      </rPr>
      <t xml:space="preserve"> Sulfur Condenser</t>
    </r>
  </si>
  <si>
    <r>
      <t>Step 10 ─ 3</t>
    </r>
    <r>
      <rPr>
        <i/>
        <vertAlign val="superscript"/>
        <sz val="16"/>
        <rFont val="Times New Roman"/>
        <family val="1"/>
      </rPr>
      <t>rd</t>
    </r>
    <r>
      <rPr>
        <i/>
        <sz val="16"/>
        <rFont val="Times New Roman"/>
        <family val="1"/>
      </rPr>
      <t xml:space="preserve"> Reheater</t>
    </r>
  </si>
  <si>
    <r>
      <t>Step 11 ─ 3</t>
    </r>
    <r>
      <rPr>
        <i/>
        <vertAlign val="superscript"/>
        <sz val="16"/>
        <rFont val="Times New Roman"/>
        <family val="1"/>
      </rPr>
      <t>rd</t>
    </r>
    <r>
      <rPr>
        <i/>
        <sz val="16"/>
        <rFont val="Times New Roman"/>
        <family val="1"/>
      </rPr>
      <t xml:space="preserve"> Catalytic Converter</t>
    </r>
  </si>
  <si>
    <t>Step 12 ─ Final Sulfur Condenser</t>
  </si>
  <si>
    <t>From Western Research, Reference 41</t>
  </si>
  <si>
    <r>
      <t>% estimate H</t>
    </r>
    <r>
      <rPr>
        <vertAlign val="subscript"/>
        <sz val="11"/>
        <color indexed="8"/>
        <rFont val="Times New Roman"/>
        <family val="1"/>
      </rPr>
      <t>2</t>
    </r>
    <r>
      <rPr>
        <sz val="11"/>
        <color indexed="8"/>
        <rFont val="Times New Roman"/>
        <family val="1"/>
      </rPr>
      <t>S conversion to sulfur in the first catalyst bed</t>
    </r>
  </si>
  <si>
    <t>Eq 22-13</t>
  </si>
  <si>
    <t>Eq 22-15</t>
  </si>
  <si>
    <t>Eq 22-16</t>
  </si>
  <si>
    <t>page 22-27</t>
  </si>
  <si>
    <r>
      <t xml:space="preserve">As an alternative to reading </t>
    </r>
    <r>
      <rPr>
        <b/>
        <sz val="11"/>
        <rFont val="Times New Roman"/>
        <family val="1"/>
      </rPr>
      <t>Fig. 22-27</t>
    </r>
    <r>
      <rPr>
        <sz val="11"/>
        <rFont val="Times New Roman"/>
        <family val="1"/>
      </rPr>
      <t>, the following approximation was used</t>
    </r>
  </si>
  <si>
    <t>Note: You can use the Excel Add-In Solver to find the value of x that gives a zero Enthalpy Difference. Make sure you have Solver in your Data ribbon, Analysis tab. Set Objective = B54, Value of 0, Variable B52. Solver will find x.</t>
  </si>
  <si>
    <t>Note: You can use the Excel Add-In Solver to find the value of y that gives a zero Enthalpy Difference. Make sure you have Solver in your Data ribbon, Analysis tab. Set Objective = M33, Value of 0, Variable M31. Solver will find y.</t>
  </si>
  <si>
    <t>Note: You can use the Excel Add-In Solver to find the value of y that gives a zero Enthalpy Difference. Make sure you have Solver in your Data ribbon, Analysis tab. Set Objective = B33, Value of 0, Variable B31 Solver will find y.</t>
  </si>
  <si>
    <t>Note: You can use the Excel Add-In Solver to find the value of x in cell M52 that gives a zero Enthalpy Difference. Make sure you have Solver in your Data ribbon, Analysis tab. Set Objective = M54, Value of 0, Variable M52. Solver will find x. If your initial value for x in cell M52 is far from the balanced amount, the Equilibrium Temperature in cell P52 may be negative or #NUM!. If this happens, manually change M52 until the Equilibrium Temperature is positive. Then use Solver as described. You may need to run Solver multiple time until cell M54 = 0.</t>
  </si>
  <si>
    <t xml:space="preserve">Numbers that must be filled in according to the user's data, specific situation, graphs, charts and figures </t>
  </si>
  <si>
    <r>
      <t>A good approximation (within 1% total overall conversion) obtained if only the reaction to form S</t>
    </r>
    <r>
      <rPr>
        <vertAlign val="subscript"/>
        <sz val="11"/>
        <color indexed="8"/>
        <rFont val="Times New Roman"/>
        <family val="1"/>
      </rPr>
      <t>8</t>
    </r>
    <r>
      <rPr>
        <sz val="11"/>
        <color indexed="8"/>
        <rFont val="Times New Roman"/>
        <family val="1"/>
      </rPr>
      <t xml:space="preserve"> is considered.</t>
    </r>
  </si>
  <si>
    <t>GPSA Engineering Data Book 14th Edition</t>
  </si>
  <si>
    <t>REVISION</t>
  </si>
  <si>
    <t>DATE</t>
  </si>
  <si>
    <t>REASON(S) FOR REVISION</t>
  </si>
  <si>
    <t xml:space="preserve">Initial release </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</si>
  <si>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</si>
  <si>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</si>
  <si>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reference to or reliance on the information in this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</si>
  <si>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</si>
  <si>
    <t>The sample calculations, equations and spreadsheets presented herein were developed using examples published in the Engineering Data Book as published by the Gas Processors Suppliers Association as a service to the gas processing industry.  All information and calculation formulae has been compiled and edited in cooperation with Gas Processors Association (GPA).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</si>
</sst>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quot; (&quot;#,##0.00\);&quot; -&quot;#\ ;@\ "/>
    <numFmt numFmtId="165" formatCode="#,##0\ ;&quot; (&quot;#,##0\);&quot; -&quot;#\ ;@\ "/>
    <numFmt numFmtId="166" formatCode="0.0"/>
    <numFmt numFmtId="167" formatCode="0.000"/>
    <numFmt numFmtId="168" formatCode="0.0%"/>
    <numFmt numFmtId="169" formatCode="#,###.00"/>
  </numFmts>
  <fonts count="35" x14ac:knownFonts="1">
    <font>
      <sz val="10"/>
      <name val="Arial"/>
      <family val="2"/>
    </font>
    <font>
      <sz val="11"/>
      <color indexed="8"/>
      <name val="Calibri"/>
      <family val="2"/>
    </font>
    <font>
      <sz val="10"/>
      <name val="Times New Roman"/>
      <family val="1"/>
    </font>
    <font>
      <vertAlign val="subscript"/>
      <sz val="10"/>
      <name val="Times New Roman"/>
      <family val="1"/>
    </font>
    <font>
      <sz val="11"/>
      <color indexed="8"/>
      <name val="Times New Roman"/>
      <family val="1"/>
    </font>
    <font>
      <vertAlign val="subscript"/>
      <sz val="11"/>
      <color indexed="8"/>
      <name val="Calibri"/>
      <family val="2"/>
    </font>
    <font>
      <vertAlign val="superscript"/>
      <sz val="10"/>
      <name val="Times New Roman"/>
      <family val="1"/>
    </font>
    <font>
      <sz val="10"/>
      <color indexed="8"/>
      <name val="Calibri"/>
      <family val="2"/>
    </font>
    <font>
      <vertAlign val="subscript"/>
      <sz val="10"/>
      <color indexed="8"/>
      <name val="Calibri"/>
      <family val="2"/>
    </font>
    <font>
      <vertAlign val="superscript"/>
      <sz val="10"/>
      <color indexed="8"/>
      <name val="Calibri"/>
      <family val="2"/>
    </font>
    <font>
      <sz val="11"/>
      <name val="Times New Roman"/>
      <family val="1"/>
    </font>
    <font>
      <sz val="10"/>
      <color indexed="8"/>
      <name val="Times New Roman"/>
      <family val="1"/>
    </font>
    <font>
      <b/>
      <sz val="16"/>
      <name val="Times New Roman"/>
      <family val="1"/>
    </font>
    <font>
      <sz val="16"/>
      <name val="Times New Roman"/>
      <family val="1"/>
    </font>
    <font>
      <vertAlign val="subscript"/>
      <sz val="11"/>
      <name val="Times New Roman"/>
      <family val="1"/>
    </font>
    <font>
      <sz val="11"/>
      <name val="Calibri"/>
      <family val="2"/>
    </font>
    <font>
      <i/>
      <sz val="16"/>
      <name val="Times New Roman"/>
      <family val="1"/>
    </font>
    <font>
      <vertAlign val="subscript"/>
      <sz val="11"/>
      <color indexed="8"/>
      <name val="Times New Roman"/>
      <family val="1"/>
    </font>
    <font>
      <vertAlign val="superscript"/>
      <sz val="11"/>
      <color indexed="8"/>
      <name val="Times New Roman"/>
      <family val="1"/>
    </font>
    <font>
      <vertAlign val="superscript"/>
      <sz val="11"/>
      <color indexed="8"/>
      <name val="Calibri"/>
      <family val="2"/>
    </font>
    <font>
      <vertAlign val="superscript"/>
      <sz val="11"/>
      <name val="Times New Roman"/>
      <family val="1"/>
    </font>
    <font>
      <i/>
      <sz val="11"/>
      <name val="Times New Roman"/>
      <family val="1"/>
    </font>
    <font>
      <b/>
      <sz val="11"/>
      <name val="Times New Roman"/>
      <family val="1"/>
    </font>
    <font>
      <i/>
      <vertAlign val="superscript"/>
      <sz val="16"/>
      <name val="Times New Roman"/>
      <family val="1"/>
    </font>
    <font>
      <b/>
      <sz val="11"/>
      <color indexed="8"/>
      <name val="Times New Roman"/>
      <family val="1"/>
    </font>
    <font>
      <b/>
      <vertAlign val="subscript"/>
      <sz val="11"/>
      <color indexed="8"/>
      <name val="Times New Roman"/>
      <family val="1"/>
    </font>
    <font>
      <b/>
      <sz val="11"/>
      <color indexed="8"/>
      <name val="Calibri"/>
      <family val="2"/>
    </font>
    <font>
      <sz val="9"/>
      <name val="Times New Roman"/>
      <family val="1"/>
    </font>
    <font>
      <vertAlign val="superscript"/>
      <sz val="11"/>
      <color indexed="8"/>
      <name val="Cambria"/>
      <family val="1"/>
    </font>
    <font>
      <b/>
      <i/>
      <sz val="11"/>
      <name val="Times New Roman"/>
      <family val="1"/>
    </font>
    <font>
      <i/>
      <vertAlign val="subscript"/>
      <sz val="11"/>
      <name val="Times New Roman"/>
      <family val="1"/>
    </font>
    <font>
      <sz val="16"/>
      <name val="Arial"/>
      <family val="2"/>
    </font>
    <font>
      <sz val="11"/>
      <color rgb="FFFF9900"/>
      <name val="Times New Roman"/>
      <family val="1"/>
    </font>
    <font>
      <b/>
      <sz val="10"/>
      <name val="Times New Roman"/>
      <family val="1"/>
    </font>
    <font>
      <sz val="11"/>
      <color rgb="FFC00000"/>
      <name val="Times New Roman"/>
      <family val="1"/>
    </font>
  </fonts>
  <fills count="20">
    <fill>
      <patternFill patternType="none"/>
    </fill>
    <fill>
      <patternFill patternType="gray125"/>
    </fill>
    <fill>
      <patternFill patternType="solid">
        <fgColor indexed="42"/>
        <bgColor indexed="27"/>
      </patternFill>
    </fill>
    <fill>
      <patternFill patternType="solid">
        <fgColor rgb="FFCCFFCC"/>
        <bgColor indexed="27"/>
      </patternFill>
    </fill>
    <fill>
      <patternFill patternType="solid">
        <fgColor rgb="FFFF9900"/>
        <bgColor indexed="27"/>
      </patternFill>
    </fill>
    <fill>
      <patternFill patternType="solid">
        <fgColor theme="6" tint="0.59996337778862885"/>
        <bgColor indexed="64"/>
      </patternFill>
    </fill>
    <fill>
      <patternFill patternType="solid">
        <fgColor theme="9" tint="0.59996337778862885"/>
        <bgColor indexed="64"/>
      </patternFill>
    </fill>
    <fill>
      <patternFill patternType="solid">
        <fgColor theme="9" tint="0.79998168889431442"/>
        <bgColor indexed="64"/>
      </patternFill>
    </fill>
    <fill>
      <patternFill patternType="solid">
        <fgColor rgb="FFD8E4BC"/>
        <bgColor indexed="27"/>
      </patternFill>
    </fill>
    <fill>
      <patternFill patternType="solid">
        <fgColor rgb="FFD8E4BC"/>
        <bgColor indexed="51"/>
      </patternFill>
    </fill>
    <fill>
      <patternFill patternType="solid">
        <fgColor rgb="FFD8E4BC"/>
        <bgColor indexed="34"/>
      </patternFill>
    </fill>
    <fill>
      <patternFill patternType="solid">
        <fgColor theme="9" tint="0.59996337778862885"/>
        <bgColor indexed="51"/>
      </patternFill>
    </fill>
    <fill>
      <patternFill patternType="solid">
        <fgColor theme="9" tint="0.59996337778862885"/>
        <bgColor indexed="27"/>
      </patternFill>
    </fill>
    <fill>
      <patternFill patternType="solid">
        <fgColor theme="9" tint="0.59996337778862885"/>
        <bgColor indexed="34"/>
      </patternFill>
    </fill>
    <fill>
      <patternFill patternType="solid">
        <fgColor theme="9" tint="0.79998168889431442"/>
        <bgColor indexed="34"/>
      </patternFill>
    </fill>
    <fill>
      <patternFill patternType="solid">
        <fgColor theme="9" tint="0.79998168889431442"/>
        <bgColor indexed="27"/>
      </patternFill>
    </fill>
    <fill>
      <patternFill patternType="solid">
        <fgColor theme="9" tint="0.79998168889431442"/>
        <bgColor indexed="54"/>
      </patternFill>
    </fill>
    <fill>
      <patternFill patternType="solid">
        <fgColor theme="6" tint="0.59996337778862885"/>
        <bgColor indexed="54"/>
      </patternFill>
    </fill>
    <fill>
      <patternFill patternType="solid">
        <fgColor theme="9" tint="0.59996337778862885"/>
        <bgColor indexed="54"/>
      </patternFill>
    </fill>
    <fill>
      <patternFill patternType="solid">
        <fgColor theme="0" tint="-0.14999847407452621"/>
        <bgColor indexed="64"/>
      </patternFill>
    </fill>
  </fills>
  <borders count="24">
    <border>
      <left/>
      <right/>
      <top/>
      <bottom/>
      <diagonal/>
    </border>
    <border>
      <left/>
      <right/>
      <top/>
      <bottom style="thin">
        <color indexed="8"/>
      </bottom>
      <diagonal/>
    </border>
    <border>
      <left/>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thin">
        <color indexed="8"/>
      </right>
      <top/>
      <bottom style="thin">
        <color indexed="8"/>
      </bottom>
      <diagonal/>
    </border>
    <border>
      <left style="thin">
        <color indexed="8"/>
      </left>
      <right/>
      <top/>
      <bottom style="thin">
        <color indexed="8"/>
      </bottom>
      <diagonal/>
    </border>
    <border>
      <left/>
      <right/>
      <top style="hair">
        <color indexed="8"/>
      </top>
      <bottom/>
      <diagonal/>
    </border>
    <border>
      <left/>
      <right/>
      <top/>
      <bottom style="hair">
        <color indexed="8"/>
      </bottom>
      <diagonal/>
    </border>
    <border>
      <left style="thin">
        <color indexed="8"/>
      </left>
      <right style="thick">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8"/>
      </bottom>
      <diagonal/>
    </border>
    <border>
      <left/>
      <right/>
      <top/>
      <bottom style="medium">
        <color indexed="8"/>
      </bottom>
      <diagonal/>
    </border>
    <border>
      <left/>
      <right/>
      <top style="thin">
        <color indexed="8"/>
      </top>
      <bottom style="thin">
        <color indexed="64"/>
      </bottom>
      <diagonal/>
    </border>
    <border>
      <left style="thin">
        <color indexed="8"/>
      </left>
      <right style="thin">
        <color indexed="8"/>
      </right>
      <top/>
      <bottom style="thin">
        <color indexed="8"/>
      </bottom>
      <diagonal/>
    </border>
  </borders>
  <cellStyleXfs count="3">
    <xf numFmtId="0" fontId="0" fillId="0" borderId="0"/>
    <xf numFmtId="164" fontId="1" fillId="0" borderId="0"/>
    <xf numFmtId="0" fontId="1" fillId="0" borderId="0"/>
  </cellStyleXfs>
  <cellXfs count="330">
    <xf numFmtId="0" fontId="0" fillId="0" borderId="0" xfId="0"/>
    <xf numFmtId="0" fontId="15" fillId="0" borderId="13" xfId="2" applyNumberFormat="1" applyFont="1" applyFill="1" applyBorder="1" applyAlignment="1" applyProtection="1"/>
    <xf numFmtId="165" fontId="10" fillId="8" borderId="0" xfId="1" applyNumberFormat="1" applyFont="1" applyFill="1" applyBorder="1" applyAlignment="1" applyProtection="1">
      <alignment horizontal="center"/>
    </xf>
    <xf numFmtId="0" fontId="10" fillId="0" borderId="0" xfId="0" applyFont="1" applyProtection="1"/>
    <xf numFmtId="0" fontId="0" fillId="0" borderId="0" xfId="0" applyProtection="1"/>
    <xf numFmtId="0" fontId="33" fillId="19" borderId="16" xfId="0" applyFont="1" applyFill="1" applyBorder="1" applyAlignment="1" applyProtection="1">
      <alignment horizontal="center"/>
    </xf>
    <xf numFmtId="0" fontId="33" fillId="19" borderId="16" xfId="0" applyFont="1" applyFill="1" applyBorder="1" applyAlignment="1" applyProtection="1">
      <alignment horizontal="left"/>
    </xf>
    <xf numFmtId="0" fontId="10" fillId="0" borderId="16" xfId="0" applyFont="1" applyBorder="1" applyAlignment="1" applyProtection="1">
      <alignment horizontal="center"/>
    </xf>
    <xf numFmtId="14" fontId="10" fillId="0" borderId="16" xfId="0" applyNumberFormat="1" applyFont="1" applyBorder="1" applyAlignment="1" applyProtection="1">
      <alignment horizontal="center"/>
    </xf>
    <xf numFmtId="0" fontId="10" fillId="0" borderId="16" xfId="0" applyFont="1" applyBorder="1" applyProtection="1"/>
    <xf numFmtId="0" fontId="2" fillId="0" borderId="16" xfId="0" applyFont="1" applyBorder="1" applyProtection="1"/>
    <xf numFmtId="0" fontId="1" fillId="0" borderId="0" xfId="2" applyProtection="1"/>
    <xf numFmtId="0" fontId="22" fillId="0" borderId="0" xfId="2" applyFont="1" applyBorder="1" applyAlignment="1" applyProtection="1">
      <alignment horizontal="center" vertical="top" wrapText="1"/>
    </xf>
    <xf numFmtId="0" fontId="22" fillId="0" borderId="21" xfId="2" applyFont="1" applyBorder="1" applyAlignment="1" applyProtection="1">
      <alignment horizontal="center" vertical="top" wrapText="1"/>
    </xf>
    <xf numFmtId="0" fontId="2" fillId="0" borderId="0" xfId="2" applyFont="1" applyAlignment="1" applyProtection="1">
      <alignment horizontal="center" vertical="top"/>
    </xf>
    <xf numFmtId="0" fontId="2" fillId="0" borderId="0" xfId="2" applyFont="1" applyAlignment="1" applyProtection="1">
      <alignment vertical="top" wrapText="1"/>
    </xf>
    <xf numFmtId="0" fontId="2" fillId="0" borderId="0" xfId="2" applyFont="1" applyProtection="1"/>
    <xf numFmtId="0" fontId="4" fillId="0" borderId="0" xfId="2" applyFont="1" applyProtection="1"/>
    <xf numFmtId="0" fontId="2" fillId="0" borderId="0" xfId="2" applyFont="1" applyAlignment="1" applyProtection="1">
      <alignment horizontal="center" vertical="top" wrapText="1"/>
    </xf>
    <xf numFmtId="0" fontId="2" fillId="0" borderId="0" xfId="2" applyFont="1" applyBorder="1" applyAlignment="1" applyProtection="1">
      <alignment vertical="top" wrapText="1"/>
    </xf>
    <xf numFmtId="0" fontId="7" fillId="0" borderId="0" xfId="2" applyFont="1" applyBorder="1" applyAlignment="1" applyProtection="1">
      <alignment wrapText="1"/>
    </xf>
    <xf numFmtId="0" fontId="24" fillId="0" borderId="0" xfId="2" applyFont="1" applyProtection="1"/>
    <xf numFmtId="0" fontId="10" fillId="5" borderId="0" xfId="0" applyFont="1" applyFill="1" applyBorder="1" applyProtection="1"/>
    <xf numFmtId="0" fontId="11" fillId="0" borderId="0" xfId="0" applyFont="1" applyAlignment="1" applyProtection="1">
      <alignment horizontal="center"/>
    </xf>
    <xf numFmtId="0" fontId="11" fillId="0" borderId="0" xfId="0" applyFont="1" applyProtection="1"/>
    <xf numFmtId="0" fontId="10" fillId="6" borderId="0" xfId="0" applyFont="1" applyFill="1" applyBorder="1" applyProtection="1"/>
    <xf numFmtId="0" fontId="10" fillId="7" borderId="0" xfId="0" applyFont="1" applyFill="1" applyBorder="1" applyAlignment="1" applyProtection="1">
      <alignment horizontal="center"/>
    </xf>
    <xf numFmtId="0" fontId="10" fillId="0" borderId="0" xfId="0" applyFont="1" applyProtection="1">
      <protection locked="0"/>
    </xf>
    <xf numFmtId="0" fontId="1" fillId="0" borderId="0" xfId="2" applyProtection="1">
      <protection locked="0"/>
    </xf>
    <xf numFmtId="0" fontId="12" fillId="11" borderId="0" xfId="2" applyFont="1" applyFill="1" applyBorder="1" applyProtection="1">
      <protection locked="0"/>
    </xf>
    <xf numFmtId="0" fontId="10" fillId="11" borderId="0" xfId="2" applyFont="1" applyFill="1" applyBorder="1" applyProtection="1">
      <protection locked="0"/>
    </xf>
    <xf numFmtId="0" fontId="1" fillId="11" borderId="0" xfId="2" applyFill="1" applyProtection="1">
      <protection locked="0"/>
    </xf>
    <xf numFmtId="0" fontId="10" fillId="12" borderId="0" xfId="2" applyFont="1" applyFill="1" applyBorder="1" applyProtection="1">
      <protection locked="0"/>
    </xf>
    <xf numFmtId="0" fontId="10" fillId="14" borderId="0" xfId="2" applyFont="1" applyFill="1" applyBorder="1" applyAlignment="1" applyProtection="1">
      <alignment horizontal="center"/>
      <protection locked="0"/>
    </xf>
    <xf numFmtId="0" fontId="10" fillId="12" borderId="0" xfId="2" applyFont="1" applyFill="1" applyBorder="1" applyAlignment="1" applyProtection="1">
      <alignment horizontal="center"/>
      <protection locked="0"/>
    </xf>
    <xf numFmtId="0" fontId="10" fillId="12" borderId="1" xfId="2" applyFont="1" applyFill="1" applyBorder="1" applyAlignment="1" applyProtection="1">
      <alignment horizontal="right"/>
      <protection locked="0"/>
    </xf>
    <xf numFmtId="0" fontId="10" fillId="14" borderId="0" xfId="2" applyFont="1" applyFill="1" applyBorder="1" applyAlignment="1" applyProtection="1">
      <alignment horizontal="right"/>
      <protection locked="0"/>
    </xf>
    <xf numFmtId="0" fontId="10" fillId="16" borderId="0" xfId="2" applyFont="1" applyFill="1" applyBorder="1" applyAlignment="1" applyProtection="1">
      <alignment horizontal="left"/>
      <protection locked="0"/>
    </xf>
    <xf numFmtId="0" fontId="0" fillId="0" borderId="0" xfId="0" applyAlignment="1" applyProtection="1">
      <protection locked="0"/>
    </xf>
    <xf numFmtId="2" fontId="10" fillId="12" borderId="0" xfId="2" applyNumberFormat="1" applyFont="1" applyFill="1" applyBorder="1" applyAlignment="1" applyProtection="1">
      <alignment horizontal="right"/>
      <protection locked="0"/>
    </xf>
    <xf numFmtId="0" fontId="22" fillId="12" borderId="0" xfId="2" applyFont="1" applyFill="1" applyBorder="1" applyAlignment="1" applyProtection="1">
      <protection locked="0"/>
    </xf>
    <xf numFmtId="0" fontId="10" fillId="12" borderId="0" xfId="2" applyFont="1" applyFill="1" applyBorder="1" applyAlignment="1" applyProtection="1">
      <alignment horizontal="right"/>
      <protection locked="0"/>
    </xf>
    <xf numFmtId="0" fontId="10" fillId="14" borderId="1" xfId="2" applyFont="1" applyFill="1" applyBorder="1" applyAlignment="1" applyProtection="1">
      <alignment horizontal="right"/>
      <protection locked="0"/>
    </xf>
    <xf numFmtId="2" fontId="10" fillId="12" borderId="1" xfId="2" applyNumberFormat="1" applyFont="1" applyFill="1" applyBorder="1" applyAlignment="1" applyProtection="1">
      <alignment horizontal="right"/>
      <protection locked="0"/>
    </xf>
    <xf numFmtId="0" fontId="34" fillId="0" borderId="0" xfId="0" applyFont="1" applyFill="1" applyProtection="1">
      <protection locked="0"/>
    </xf>
    <xf numFmtId="0" fontId="34" fillId="0" borderId="0" xfId="0" applyFont="1" applyProtection="1">
      <protection locked="0"/>
    </xf>
    <xf numFmtId="0" fontId="12" fillId="8" borderId="0" xfId="2" applyFont="1" applyFill="1" applyBorder="1" applyProtection="1"/>
    <xf numFmtId="0" fontId="10" fillId="8" borderId="0" xfId="2" applyFont="1" applyFill="1" applyBorder="1" applyProtection="1"/>
    <xf numFmtId="0" fontId="10" fillId="14" borderId="0" xfId="2" applyFont="1" applyFill="1" applyBorder="1" applyAlignment="1" applyProtection="1">
      <alignment horizontal="center"/>
    </xf>
    <xf numFmtId="0" fontId="10" fillId="8" borderId="0" xfId="2" applyFont="1" applyFill="1" applyBorder="1" applyAlignment="1" applyProtection="1">
      <alignment horizontal="center"/>
    </xf>
    <xf numFmtId="0" fontId="10" fillId="8" borderId="1" xfId="2" applyFont="1" applyFill="1" applyBorder="1" applyAlignment="1" applyProtection="1">
      <alignment horizontal="right"/>
    </xf>
    <xf numFmtId="0" fontId="10" fillId="14" borderId="0" xfId="2" applyFont="1" applyFill="1" applyBorder="1" applyAlignment="1" applyProtection="1">
      <alignment horizontal="right"/>
    </xf>
    <xf numFmtId="2" fontId="10" fillId="8" borderId="0" xfId="2" applyNumberFormat="1" applyFont="1" applyFill="1" applyBorder="1" applyAlignment="1" applyProtection="1">
      <alignment horizontal="right"/>
    </xf>
    <xf numFmtId="0" fontId="10" fillId="16" borderId="0" xfId="2" applyFont="1" applyFill="1" applyBorder="1" applyAlignment="1" applyProtection="1">
      <alignment horizontal="left"/>
    </xf>
    <xf numFmtId="0" fontId="22" fillId="8" borderId="0" xfId="2" applyFont="1" applyFill="1" applyBorder="1" applyAlignment="1" applyProtection="1"/>
    <xf numFmtId="0" fontId="0" fillId="0" borderId="0" xfId="0" applyAlignment="1" applyProtection="1"/>
    <xf numFmtId="0" fontId="10" fillId="8" borderId="0" xfId="2" applyFont="1" applyFill="1" applyBorder="1" applyAlignment="1" applyProtection="1">
      <alignment horizontal="right"/>
    </xf>
    <xf numFmtId="0" fontId="10" fillId="14" borderId="1" xfId="2" applyFont="1" applyFill="1" applyBorder="1" applyAlignment="1" applyProtection="1">
      <alignment horizontal="right"/>
    </xf>
    <xf numFmtId="2" fontId="10" fillId="8" borderId="1" xfId="2" applyNumberFormat="1" applyFont="1" applyFill="1" applyBorder="1" applyAlignment="1" applyProtection="1">
      <alignment horizontal="right"/>
    </xf>
    <xf numFmtId="0" fontId="15" fillId="0" borderId="0" xfId="2" applyFont="1" applyProtection="1">
      <protection locked="0"/>
    </xf>
    <xf numFmtId="0" fontId="10" fillId="0" borderId="0" xfId="2" applyFont="1" applyProtection="1">
      <protection locked="0"/>
    </xf>
    <xf numFmtId="0" fontId="16" fillId="11" borderId="0" xfId="2" applyFont="1" applyFill="1" applyBorder="1" applyProtection="1">
      <protection locked="0"/>
    </xf>
    <xf numFmtId="0" fontId="10" fillId="11" borderId="0" xfId="2" applyFont="1" applyFill="1" applyBorder="1" applyAlignment="1" applyProtection="1">
      <alignment horizontal="center"/>
      <protection locked="0"/>
    </xf>
    <xf numFmtId="0" fontId="22" fillId="12" borderId="0" xfId="2" applyFont="1" applyFill="1" applyBorder="1" applyAlignment="1" applyProtection="1">
      <alignment horizontal="center"/>
      <protection locked="0"/>
    </xf>
    <xf numFmtId="3" fontId="10" fillId="18" borderId="0" xfId="2" applyNumberFormat="1" applyFont="1" applyFill="1" applyAlignment="1" applyProtection="1">
      <alignment horizontal="center" vertical="top"/>
      <protection locked="0"/>
    </xf>
    <xf numFmtId="168" fontId="10" fillId="15" borderId="0" xfId="2" applyNumberFormat="1" applyFont="1" applyFill="1" applyBorder="1" applyAlignment="1" applyProtection="1">
      <alignment horizontal="center"/>
      <protection locked="0"/>
    </xf>
    <xf numFmtId="0" fontId="10" fillId="12" borderId="0" xfId="2" applyFont="1" applyFill="1" applyBorder="1" applyAlignment="1" applyProtection="1">
      <alignment horizontal="left"/>
      <protection locked="0"/>
    </xf>
    <xf numFmtId="0" fontId="10" fillId="12" borderId="1" xfId="2" applyFont="1" applyFill="1" applyBorder="1" applyProtection="1">
      <protection locked="0"/>
    </xf>
    <xf numFmtId="0" fontId="10" fillId="2" borderId="1" xfId="2" applyFont="1" applyFill="1" applyBorder="1" applyAlignment="1" applyProtection="1">
      <alignment horizontal="right" wrapText="1"/>
      <protection locked="0"/>
    </xf>
    <xf numFmtId="0" fontId="10" fillId="12" borderId="1" xfId="2" applyFont="1" applyFill="1" applyBorder="1" applyAlignment="1" applyProtection="1">
      <alignment horizontal="right" wrapText="1"/>
      <protection locked="0"/>
    </xf>
    <xf numFmtId="0" fontId="10" fillId="12" borderId="1" xfId="2" applyFont="1" applyFill="1" applyBorder="1" applyAlignment="1" applyProtection="1">
      <alignment horizontal="right" wrapText="1"/>
      <protection locked="0"/>
    </xf>
    <xf numFmtId="4" fontId="10" fillId="12" borderId="0" xfId="2" applyNumberFormat="1" applyFont="1" applyFill="1" applyBorder="1" applyAlignment="1" applyProtection="1">
      <alignment horizontal="right"/>
      <protection locked="0"/>
    </xf>
    <xf numFmtId="4" fontId="10" fillId="12" borderId="1" xfId="2" applyNumberFormat="1" applyFont="1" applyFill="1" applyBorder="1" applyAlignment="1" applyProtection="1">
      <alignment horizontal="right"/>
      <protection locked="0"/>
    </xf>
    <xf numFmtId="0" fontId="10" fillId="14" borderId="0" xfId="2" applyFont="1" applyFill="1" applyBorder="1" applyProtection="1">
      <protection locked="0"/>
    </xf>
    <xf numFmtId="166" fontId="10" fillId="12" borderId="0" xfId="2" applyNumberFormat="1" applyFont="1" applyFill="1" applyBorder="1" applyProtection="1">
      <protection locked="0"/>
    </xf>
    <xf numFmtId="0" fontId="10" fillId="2" borderId="0" xfId="2" applyFont="1" applyFill="1" applyBorder="1" applyAlignment="1" applyProtection="1">
      <alignment wrapText="1"/>
      <protection locked="0"/>
    </xf>
    <xf numFmtId="0" fontId="10" fillId="12" borderId="0" xfId="2" applyFont="1" applyFill="1" applyBorder="1" applyAlignment="1" applyProtection="1">
      <alignment wrapText="1"/>
      <protection locked="0"/>
    </xf>
    <xf numFmtId="0" fontId="0" fillId="0" borderId="0" xfId="0" applyAlignment="1" applyProtection="1">
      <alignment wrapText="1"/>
      <protection locked="0"/>
    </xf>
    <xf numFmtId="0" fontId="22" fillId="12" borderId="0" xfId="2" applyFont="1" applyFill="1" applyBorder="1" applyAlignment="1" applyProtection="1">
      <alignment wrapText="1"/>
      <protection locked="0"/>
    </xf>
    <xf numFmtId="0" fontId="10" fillId="12" borderId="0" xfId="2" applyFont="1" applyFill="1" applyBorder="1" applyAlignment="1" applyProtection="1">
      <alignment wrapText="1"/>
      <protection locked="0"/>
    </xf>
    <xf numFmtId="0" fontId="32" fillId="12" borderId="0" xfId="2" applyFont="1" applyFill="1" applyBorder="1" applyProtection="1">
      <protection locked="0"/>
    </xf>
    <xf numFmtId="0" fontId="10" fillId="12" borderId="1" xfId="2" applyFont="1" applyFill="1" applyBorder="1" applyAlignment="1" applyProtection="1">
      <alignment horizontal="center" wrapText="1"/>
      <protection locked="0"/>
    </xf>
    <xf numFmtId="0" fontId="10" fillId="12" borderId="0" xfId="2" applyFont="1" applyFill="1" applyBorder="1" applyAlignment="1" applyProtection="1">
      <alignment horizontal="center" wrapText="1"/>
      <protection locked="0"/>
    </xf>
    <xf numFmtId="0" fontId="21" fillId="12" borderId="0" xfId="2" applyFont="1" applyFill="1" applyBorder="1" applyAlignment="1" applyProtection="1">
      <alignment horizontal="center" vertical="center" wrapText="1"/>
      <protection locked="0"/>
    </xf>
    <xf numFmtId="0" fontId="21" fillId="4" borderId="0" xfId="2" applyFont="1" applyFill="1" applyBorder="1" applyAlignment="1" applyProtection="1">
      <alignment horizontal="center" vertical="center" wrapText="1"/>
      <protection locked="0"/>
    </xf>
    <xf numFmtId="4" fontId="10" fillId="14" borderId="0" xfId="2" applyNumberFormat="1" applyFont="1" applyFill="1" applyBorder="1" applyAlignment="1" applyProtection="1">
      <alignment horizontal="center"/>
      <protection locked="0"/>
    </xf>
    <xf numFmtId="0" fontId="10" fillId="15" borderId="0" xfId="2" applyFont="1" applyFill="1" applyBorder="1" applyAlignment="1" applyProtection="1">
      <alignment horizontal="center"/>
      <protection locked="0"/>
    </xf>
    <xf numFmtId="2" fontId="10" fillId="12" borderId="0" xfId="2" applyNumberFormat="1" applyFont="1" applyFill="1" applyBorder="1" applyAlignment="1" applyProtection="1">
      <alignment horizontal="center"/>
      <protection locked="0"/>
    </xf>
    <xf numFmtId="1" fontId="10" fillId="12" borderId="16" xfId="2" applyNumberFormat="1" applyFont="1" applyFill="1" applyBorder="1" applyAlignment="1" applyProtection="1">
      <alignment horizontal="center" wrapText="1"/>
      <protection locked="0"/>
    </xf>
    <xf numFmtId="0" fontId="21" fillId="12" borderId="0" xfId="2" applyFont="1" applyFill="1" applyBorder="1" applyAlignment="1" applyProtection="1">
      <alignment vertical="top" wrapText="1"/>
      <protection locked="0"/>
    </xf>
    <xf numFmtId="0" fontId="21" fillId="4" borderId="0" xfId="2" applyFont="1" applyFill="1" applyBorder="1" applyAlignment="1" applyProtection="1">
      <alignment vertical="top" wrapText="1"/>
      <protection locked="0"/>
    </xf>
    <xf numFmtId="0" fontId="21" fillId="12" borderId="0" xfId="2" applyFont="1" applyFill="1" applyBorder="1" applyProtection="1">
      <protection locked="0"/>
    </xf>
    <xf numFmtId="0" fontId="10" fillId="2" borderId="0" xfId="2" applyFont="1" applyFill="1" applyBorder="1" applyAlignment="1" applyProtection="1">
      <alignment horizontal="center"/>
      <protection locked="0"/>
    </xf>
    <xf numFmtId="0" fontId="10" fillId="12" borderId="0" xfId="2" applyFont="1" applyFill="1" applyBorder="1" applyAlignment="1" applyProtection="1">
      <alignment horizontal="center"/>
      <protection locked="0"/>
    </xf>
    <xf numFmtId="166" fontId="10" fillId="12" borderId="0" xfId="2" applyNumberFormat="1" applyFont="1" applyFill="1" applyBorder="1" applyAlignment="1" applyProtection="1">
      <alignment horizontal="right"/>
      <protection locked="0"/>
    </xf>
    <xf numFmtId="3" fontId="10" fillId="12" borderId="0" xfId="2" applyNumberFormat="1" applyFont="1" applyFill="1" applyBorder="1" applyAlignment="1" applyProtection="1">
      <alignment horizontal="right"/>
      <protection locked="0"/>
    </xf>
    <xf numFmtId="0" fontId="21" fillId="12" borderId="0" xfId="2" applyFont="1" applyFill="1" applyBorder="1" applyAlignment="1" applyProtection="1">
      <alignment vertical="top" wrapText="1"/>
      <protection locked="0"/>
    </xf>
    <xf numFmtId="3" fontId="10" fillId="12" borderId="14" xfId="2" applyNumberFormat="1" applyFont="1" applyFill="1" applyBorder="1" applyAlignment="1" applyProtection="1">
      <alignment horizontal="right"/>
      <protection locked="0"/>
    </xf>
    <xf numFmtId="1" fontId="10" fillId="12" borderId="0" xfId="2" applyNumberFormat="1" applyFont="1" applyFill="1" applyBorder="1" applyAlignment="1" applyProtection="1">
      <alignment horizontal="center"/>
      <protection locked="0"/>
    </xf>
    <xf numFmtId="1" fontId="10" fillId="12" borderId="1" xfId="2" applyNumberFormat="1" applyFont="1" applyFill="1" applyBorder="1" applyAlignment="1" applyProtection="1">
      <alignment horizontal="right"/>
      <protection locked="0"/>
    </xf>
    <xf numFmtId="4" fontId="10" fillId="12" borderId="14" xfId="2" applyNumberFormat="1" applyFont="1" applyFill="1" applyBorder="1" applyAlignment="1" applyProtection="1">
      <alignment horizontal="right"/>
      <protection locked="0"/>
    </xf>
    <xf numFmtId="4" fontId="10" fillId="12" borderId="16" xfId="2" applyNumberFormat="1" applyFont="1" applyFill="1" applyBorder="1" applyAlignment="1" applyProtection="1">
      <alignment horizontal="right"/>
      <protection locked="0"/>
    </xf>
    <xf numFmtId="0" fontId="22" fillId="12" borderId="0" xfId="2" applyFont="1" applyFill="1" applyBorder="1" applyAlignment="1" applyProtection="1">
      <alignment horizontal="left"/>
      <protection locked="0"/>
    </xf>
    <xf numFmtId="3" fontId="10" fillId="12" borderId="1" xfId="2" applyNumberFormat="1" applyFont="1" applyFill="1" applyBorder="1" applyAlignment="1" applyProtection="1">
      <alignment horizontal="right"/>
      <protection locked="0"/>
    </xf>
    <xf numFmtId="0" fontId="10" fillId="12" borderId="14" xfId="2" applyFont="1" applyFill="1" applyBorder="1" applyAlignment="1" applyProtection="1">
      <alignment horizontal="center"/>
      <protection locked="0"/>
    </xf>
    <xf numFmtId="3" fontId="10" fillId="12" borderId="0" xfId="2" applyNumberFormat="1" applyFont="1" applyFill="1" applyBorder="1" applyProtection="1">
      <protection locked="0"/>
    </xf>
    <xf numFmtId="0" fontId="16" fillId="8" borderId="0" xfId="2" applyFont="1" applyFill="1" applyBorder="1" applyProtection="1"/>
    <xf numFmtId="0" fontId="22" fillId="8" borderId="0" xfId="2" applyFont="1" applyFill="1" applyBorder="1" applyAlignment="1" applyProtection="1">
      <alignment horizontal="center"/>
    </xf>
    <xf numFmtId="3" fontId="10" fillId="17" borderId="0" xfId="2" applyNumberFormat="1" applyFont="1" applyFill="1" applyAlignment="1" applyProtection="1">
      <alignment horizontal="center" vertical="top"/>
    </xf>
    <xf numFmtId="168" fontId="10" fillId="15" borderId="0" xfId="2" applyNumberFormat="1" applyFont="1" applyFill="1" applyBorder="1" applyAlignment="1" applyProtection="1">
      <alignment horizontal="center"/>
    </xf>
    <xf numFmtId="0" fontId="10" fillId="8" borderId="0" xfId="2" applyFont="1" applyFill="1" applyBorder="1" applyAlignment="1" applyProtection="1">
      <alignment horizontal="left"/>
    </xf>
    <xf numFmtId="0" fontId="10" fillId="8" borderId="1" xfId="2" applyFont="1" applyFill="1" applyBorder="1" applyProtection="1"/>
    <xf numFmtId="0" fontId="10" fillId="8" borderId="1" xfId="2" applyFont="1" applyFill="1" applyBorder="1" applyAlignment="1" applyProtection="1">
      <alignment horizontal="right" wrapText="1"/>
    </xf>
    <xf numFmtId="0" fontId="10" fillId="8" borderId="1" xfId="2" applyFont="1" applyFill="1" applyBorder="1" applyAlignment="1" applyProtection="1">
      <alignment horizontal="right" wrapText="1"/>
    </xf>
    <xf numFmtId="0" fontId="10" fillId="2" borderId="1" xfId="2" applyFont="1" applyFill="1" applyBorder="1" applyAlignment="1" applyProtection="1">
      <alignment horizontal="right" wrapText="1"/>
    </xf>
    <xf numFmtId="4" fontId="10" fillId="8" borderId="0" xfId="2" applyNumberFormat="1" applyFont="1" applyFill="1" applyBorder="1" applyAlignment="1" applyProtection="1">
      <alignment horizontal="right"/>
    </xf>
    <xf numFmtId="4" fontId="10" fillId="8" borderId="1" xfId="2" applyNumberFormat="1" applyFont="1" applyFill="1" applyBorder="1" applyAlignment="1" applyProtection="1">
      <alignment horizontal="right"/>
    </xf>
    <xf numFmtId="0" fontId="10" fillId="14" borderId="0" xfId="2" applyFont="1" applyFill="1" applyBorder="1" applyProtection="1"/>
    <xf numFmtId="166" fontId="10" fillId="8" borderId="0" xfId="2" applyNumberFormat="1" applyFont="1" applyFill="1" applyBorder="1" applyProtection="1"/>
    <xf numFmtId="0" fontId="10" fillId="8" borderId="0" xfId="2" applyFont="1" applyFill="1" applyBorder="1" applyAlignment="1" applyProtection="1">
      <alignment wrapText="1"/>
    </xf>
    <xf numFmtId="0" fontId="10" fillId="2" borderId="0" xfId="2" applyFont="1" applyFill="1" applyBorder="1" applyAlignment="1" applyProtection="1">
      <alignment wrapText="1"/>
    </xf>
    <xf numFmtId="0" fontId="0" fillId="0" borderId="0" xfId="0" applyAlignment="1" applyProtection="1">
      <alignment wrapText="1"/>
    </xf>
    <xf numFmtId="0" fontId="22" fillId="8" borderId="0" xfId="2" applyFont="1" applyFill="1" applyBorder="1" applyAlignment="1" applyProtection="1">
      <alignment wrapText="1"/>
    </xf>
    <xf numFmtId="0" fontId="10" fillId="8" borderId="0" xfId="2" applyFont="1" applyFill="1" applyBorder="1" applyAlignment="1" applyProtection="1">
      <alignment wrapText="1"/>
    </xf>
    <xf numFmtId="0" fontId="10" fillId="8" borderId="1" xfId="2" applyFont="1" applyFill="1" applyBorder="1" applyAlignment="1" applyProtection="1">
      <alignment horizontal="center" wrapText="1"/>
    </xf>
    <xf numFmtId="0" fontId="10" fillId="8" borderId="0" xfId="2" applyFont="1" applyFill="1" applyBorder="1" applyAlignment="1" applyProtection="1">
      <alignment horizontal="center" wrapText="1"/>
    </xf>
    <xf numFmtId="4" fontId="10" fillId="14" borderId="0" xfId="2" applyNumberFormat="1" applyFont="1" applyFill="1" applyBorder="1" applyAlignment="1" applyProtection="1">
      <alignment horizontal="center"/>
    </xf>
    <xf numFmtId="2" fontId="10" fillId="8" borderId="0" xfId="2" applyNumberFormat="1" applyFont="1" applyFill="1" applyBorder="1" applyAlignment="1" applyProtection="1">
      <alignment horizontal="center"/>
    </xf>
    <xf numFmtId="0" fontId="10" fillId="15" borderId="0" xfId="2" applyFont="1" applyFill="1" applyBorder="1" applyAlignment="1" applyProtection="1">
      <alignment horizontal="center"/>
    </xf>
    <xf numFmtId="1" fontId="10" fillId="8" borderId="16" xfId="2" applyNumberFormat="1" applyFont="1" applyFill="1" applyBorder="1" applyAlignment="1" applyProtection="1">
      <alignment horizontal="center" wrapText="1"/>
    </xf>
    <xf numFmtId="0" fontId="21" fillId="8" borderId="0" xfId="2" applyFont="1" applyFill="1" applyBorder="1" applyAlignment="1" applyProtection="1">
      <alignment wrapText="1"/>
    </xf>
    <xf numFmtId="0" fontId="21" fillId="2" borderId="0" xfId="2" applyFont="1" applyFill="1" applyBorder="1" applyAlignment="1" applyProtection="1">
      <alignment wrapText="1"/>
    </xf>
    <xf numFmtId="0" fontId="21" fillId="8" borderId="0" xfId="2" applyFont="1" applyFill="1" applyBorder="1" applyProtection="1"/>
    <xf numFmtId="0" fontId="10" fillId="8" borderId="0" xfId="2" applyFont="1" applyFill="1" applyBorder="1" applyAlignment="1" applyProtection="1">
      <alignment horizontal="center"/>
    </xf>
    <xf numFmtId="0" fontId="10" fillId="2" borderId="0" xfId="2" applyFont="1" applyFill="1" applyBorder="1" applyAlignment="1" applyProtection="1">
      <alignment horizontal="center"/>
    </xf>
    <xf numFmtId="166" fontId="10" fillId="8" borderId="0" xfId="2" applyNumberFormat="1" applyFont="1" applyFill="1" applyBorder="1" applyAlignment="1" applyProtection="1">
      <alignment horizontal="right"/>
    </xf>
    <xf numFmtId="3" fontId="10" fillId="8" borderId="0" xfId="2" applyNumberFormat="1" applyFont="1" applyFill="1" applyBorder="1" applyAlignment="1" applyProtection="1">
      <alignment horizontal="right"/>
    </xf>
    <xf numFmtId="3" fontId="10" fillId="8" borderId="14" xfId="2" applyNumberFormat="1" applyFont="1" applyFill="1" applyBorder="1" applyAlignment="1" applyProtection="1">
      <alignment horizontal="right"/>
    </xf>
    <xf numFmtId="1" fontId="10" fillId="8" borderId="0" xfId="2" applyNumberFormat="1" applyFont="1" applyFill="1" applyBorder="1" applyAlignment="1" applyProtection="1">
      <alignment horizontal="center"/>
    </xf>
    <xf numFmtId="1" fontId="10" fillId="8" borderId="1" xfId="2" applyNumberFormat="1" applyFont="1" applyFill="1" applyBorder="1" applyAlignment="1" applyProtection="1">
      <alignment horizontal="right"/>
    </xf>
    <xf numFmtId="2" fontId="10" fillId="8" borderId="14" xfId="2" applyNumberFormat="1" applyFont="1" applyFill="1" applyBorder="1" applyAlignment="1" applyProtection="1">
      <alignment horizontal="right"/>
    </xf>
    <xf numFmtId="2" fontId="10" fillId="8" borderId="16" xfId="2" applyNumberFormat="1" applyFont="1" applyFill="1" applyBorder="1" applyAlignment="1" applyProtection="1">
      <alignment horizontal="right"/>
    </xf>
    <xf numFmtId="0" fontId="22" fillId="8" borderId="0" xfId="2" applyFont="1" applyFill="1" applyBorder="1" applyAlignment="1" applyProtection="1">
      <alignment horizontal="left"/>
    </xf>
    <xf numFmtId="3" fontId="10" fillId="8" borderId="1" xfId="2" applyNumberFormat="1" applyFont="1" applyFill="1" applyBorder="1" applyAlignment="1" applyProtection="1">
      <alignment horizontal="right"/>
    </xf>
    <xf numFmtId="0" fontId="10" fillId="8" borderId="14" xfId="2" applyFont="1" applyFill="1" applyBorder="1" applyAlignment="1" applyProtection="1">
      <alignment horizontal="center"/>
    </xf>
    <xf numFmtId="3" fontId="10" fillId="8" borderId="0" xfId="2" applyNumberFormat="1" applyFont="1" applyFill="1" applyBorder="1" applyProtection="1"/>
    <xf numFmtId="167" fontId="10" fillId="16" borderId="0" xfId="2" applyNumberFormat="1" applyFont="1" applyFill="1" applyBorder="1" applyAlignment="1" applyProtection="1">
      <alignment horizontal="right"/>
      <protection locked="0"/>
    </xf>
    <xf numFmtId="0" fontId="22" fillId="12" borderId="0" xfId="2" applyFont="1" applyFill="1" applyBorder="1" applyProtection="1">
      <protection locked="0"/>
    </xf>
    <xf numFmtId="167" fontId="10" fillId="16" borderId="14" xfId="2" applyNumberFormat="1" applyFont="1" applyFill="1" applyBorder="1" applyAlignment="1" applyProtection="1">
      <alignment horizontal="right"/>
      <protection locked="0"/>
    </xf>
    <xf numFmtId="1" fontId="10" fillId="12" borderId="1" xfId="2" applyNumberFormat="1" applyFont="1" applyFill="1" applyBorder="1" applyAlignment="1" applyProtection="1">
      <alignment horizontal="center"/>
      <protection locked="0"/>
    </xf>
    <xf numFmtId="0" fontId="10" fillId="12" borderId="14" xfId="2" applyFont="1" applyFill="1" applyBorder="1" applyProtection="1">
      <protection locked="0"/>
    </xf>
    <xf numFmtId="0" fontId="10" fillId="12" borderId="20" xfId="2" applyFont="1" applyFill="1" applyBorder="1" applyAlignment="1" applyProtection="1">
      <alignment horizontal="right"/>
      <protection locked="0"/>
    </xf>
    <xf numFmtId="0" fontId="10" fillId="12" borderId="1" xfId="2" applyFont="1" applyFill="1" applyBorder="1" applyAlignment="1" applyProtection="1">
      <alignment horizontal="center"/>
      <protection locked="0"/>
    </xf>
    <xf numFmtId="165" fontId="10" fillId="12" borderId="0" xfId="1" applyNumberFormat="1" applyFont="1" applyFill="1" applyBorder="1" applyAlignment="1" applyProtection="1">
      <alignment horizontal="center"/>
      <protection locked="0"/>
    </xf>
    <xf numFmtId="1" fontId="10" fillId="12" borderId="0" xfId="2" applyNumberFormat="1" applyFont="1" applyFill="1" applyBorder="1" applyAlignment="1" applyProtection="1">
      <alignment horizontal="left"/>
      <protection locked="0"/>
    </xf>
    <xf numFmtId="3" fontId="10" fillId="16" borderId="0" xfId="2" applyNumberFormat="1" applyFont="1" applyFill="1" applyBorder="1" applyAlignment="1" applyProtection="1">
      <alignment horizontal="center"/>
      <protection locked="0"/>
    </xf>
    <xf numFmtId="3" fontId="10" fillId="12" borderId="3" xfId="2" applyNumberFormat="1" applyFont="1" applyFill="1" applyBorder="1" applyAlignment="1" applyProtection="1">
      <alignment horizontal="center"/>
      <protection locked="0"/>
    </xf>
    <xf numFmtId="167" fontId="10" fillId="12" borderId="0" xfId="2" applyNumberFormat="1" applyFont="1" applyFill="1" applyBorder="1" applyAlignment="1" applyProtection="1">
      <alignment horizontal="center"/>
      <protection locked="0"/>
    </xf>
    <xf numFmtId="0" fontId="10" fillId="16" borderId="0" xfId="2" applyFont="1" applyFill="1" applyBorder="1" applyAlignment="1" applyProtection="1">
      <alignment horizontal="center"/>
      <protection locked="0"/>
    </xf>
    <xf numFmtId="0" fontId="10" fillId="12" borderId="4" xfId="2" applyFont="1" applyFill="1" applyBorder="1" applyProtection="1">
      <protection locked="0"/>
    </xf>
    <xf numFmtId="0" fontId="10" fillId="12" borderId="5" xfId="2" applyFont="1" applyFill="1" applyBorder="1" applyAlignment="1" applyProtection="1">
      <alignment horizontal="center"/>
      <protection locked="0"/>
    </xf>
    <xf numFmtId="0" fontId="10" fillId="12" borderId="5" xfId="2" applyFont="1" applyFill="1" applyBorder="1" applyProtection="1">
      <protection locked="0"/>
    </xf>
    <xf numFmtId="0" fontId="10" fillId="12" borderId="6" xfId="2" applyFont="1" applyFill="1" applyBorder="1" applyProtection="1">
      <protection locked="0"/>
    </xf>
    <xf numFmtId="167" fontId="10" fillId="16" borderId="0" xfId="2" applyNumberFormat="1" applyFont="1" applyFill="1" applyBorder="1" applyAlignment="1" applyProtection="1">
      <alignment horizontal="right"/>
    </xf>
    <xf numFmtId="0" fontId="22" fillId="8" borderId="0" xfId="2" applyFont="1" applyFill="1" applyBorder="1" applyProtection="1"/>
    <xf numFmtId="167" fontId="10" fillId="16" borderId="14" xfId="2" applyNumberFormat="1" applyFont="1" applyFill="1" applyBorder="1" applyAlignment="1" applyProtection="1">
      <alignment horizontal="right"/>
    </xf>
    <xf numFmtId="1" fontId="10" fillId="8" borderId="1" xfId="2" applyNumberFormat="1" applyFont="1" applyFill="1" applyBorder="1" applyAlignment="1" applyProtection="1">
      <alignment horizontal="center"/>
    </xf>
    <xf numFmtId="0" fontId="10" fillId="8" borderId="14" xfId="2" applyFont="1" applyFill="1" applyBorder="1" applyProtection="1"/>
    <xf numFmtId="0" fontId="10" fillId="8" borderId="20" xfId="2" applyFont="1" applyFill="1" applyBorder="1" applyAlignment="1" applyProtection="1">
      <alignment horizontal="right"/>
    </xf>
    <xf numFmtId="0" fontId="10" fillId="8" borderId="1" xfId="2" applyFont="1" applyFill="1" applyBorder="1" applyAlignment="1" applyProtection="1">
      <alignment horizontal="center"/>
    </xf>
    <xf numFmtId="1" fontId="10" fillId="8" borderId="0" xfId="2" applyNumberFormat="1" applyFont="1" applyFill="1" applyBorder="1" applyAlignment="1" applyProtection="1">
      <alignment horizontal="left"/>
    </xf>
    <xf numFmtId="3" fontId="10" fillId="16" borderId="0" xfId="2" applyNumberFormat="1" applyFont="1" applyFill="1" applyBorder="1" applyAlignment="1" applyProtection="1">
      <alignment horizontal="center"/>
    </xf>
    <xf numFmtId="3" fontId="10" fillId="8" borderId="3" xfId="2" applyNumberFormat="1" applyFont="1" applyFill="1" applyBorder="1" applyAlignment="1" applyProtection="1">
      <alignment horizontal="center"/>
    </xf>
    <xf numFmtId="167" fontId="10" fillId="8" borderId="0" xfId="2" applyNumberFormat="1" applyFont="1" applyFill="1" applyBorder="1" applyAlignment="1" applyProtection="1">
      <alignment horizontal="center"/>
    </xf>
    <xf numFmtId="0" fontId="10" fillId="16" borderId="0" xfId="2" applyFont="1" applyFill="1" applyBorder="1" applyAlignment="1" applyProtection="1">
      <alignment horizontal="center"/>
    </xf>
    <xf numFmtId="0" fontId="10" fillId="8" borderId="4" xfId="2" applyFont="1" applyFill="1" applyBorder="1" applyProtection="1"/>
    <xf numFmtId="0" fontId="10" fillId="8" borderId="5" xfId="2" applyFont="1" applyFill="1" applyBorder="1" applyAlignment="1" applyProtection="1">
      <alignment horizontal="center"/>
    </xf>
    <xf numFmtId="0" fontId="10" fillId="8" borderId="5" xfId="2" applyFont="1" applyFill="1" applyBorder="1" applyProtection="1"/>
    <xf numFmtId="0" fontId="10" fillId="8" borderId="6" xfId="2" applyFont="1" applyFill="1" applyBorder="1" applyProtection="1"/>
    <xf numFmtId="0" fontId="10" fillId="16" borderId="0" xfId="2" applyFont="1" applyFill="1" applyBorder="1" applyProtection="1">
      <protection locked="0"/>
    </xf>
    <xf numFmtId="0" fontId="10" fillId="16" borderId="0" xfId="2" applyFont="1" applyFill="1" applyBorder="1" applyAlignment="1" applyProtection="1">
      <alignment horizontal="right"/>
      <protection locked="0"/>
    </xf>
    <xf numFmtId="0" fontId="10" fillId="16" borderId="14" xfId="2" applyFont="1" applyFill="1" applyBorder="1" applyAlignment="1" applyProtection="1">
      <alignment horizontal="right"/>
      <protection locked="0"/>
    </xf>
    <xf numFmtId="2" fontId="10" fillId="12" borderId="0" xfId="2" applyNumberFormat="1" applyFont="1" applyFill="1" applyBorder="1" applyProtection="1">
      <protection locked="0"/>
    </xf>
    <xf numFmtId="0" fontId="10" fillId="12" borderId="1" xfId="2" applyFont="1" applyFill="1" applyBorder="1" applyAlignment="1" applyProtection="1">
      <alignment horizontal="left"/>
      <protection locked="0"/>
    </xf>
    <xf numFmtId="0" fontId="10" fillId="3" borderId="0" xfId="2" applyFont="1" applyFill="1" applyBorder="1" applyAlignment="1" applyProtection="1">
      <alignment horizontal="right"/>
      <protection locked="0"/>
    </xf>
    <xf numFmtId="0" fontId="10" fillId="12" borderId="0" xfId="2" applyFont="1" applyFill="1" applyBorder="1" applyAlignment="1" applyProtection="1">
      <alignment horizontal="right"/>
      <protection locked="0"/>
    </xf>
    <xf numFmtId="3" fontId="10" fillId="12" borderId="0" xfId="2" applyNumberFormat="1" applyFont="1" applyFill="1" applyBorder="1" applyAlignment="1" applyProtection="1">
      <alignment horizontal="center"/>
      <protection locked="0"/>
    </xf>
    <xf numFmtId="0" fontId="10" fillId="12" borderId="17" xfId="2" applyFont="1" applyFill="1" applyBorder="1" applyProtection="1">
      <protection locked="0"/>
    </xf>
    <xf numFmtId="0" fontId="10" fillId="12" borderId="18" xfId="2" applyFont="1" applyFill="1" applyBorder="1" applyProtection="1">
      <protection locked="0"/>
    </xf>
    <xf numFmtId="168" fontId="10" fillId="12" borderId="19" xfId="2" applyNumberFormat="1" applyFont="1" applyFill="1" applyBorder="1" applyProtection="1">
      <protection locked="0"/>
    </xf>
    <xf numFmtId="0" fontId="4" fillId="12" borderId="0" xfId="2" applyFont="1" applyFill="1" applyProtection="1">
      <protection locked="0"/>
    </xf>
    <xf numFmtId="3" fontId="10" fillId="12" borderId="1" xfId="2" applyNumberFormat="1" applyFont="1" applyFill="1" applyBorder="1" applyProtection="1">
      <protection locked="0"/>
    </xf>
    <xf numFmtId="0" fontId="4" fillId="12" borderId="0" xfId="2" applyFont="1" applyFill="1" applyAlignment="1" applyProtection="1">
      <alignment horizontal="right"/>
      <protection locked="0"/>
    </xf>
    <xf numFmtId="3" fontId="10" fillId="12" borderId="0" xfId="2" applyNumberFormat="1" applyFont="1" applyFill="1" applyBorder="1" applyAlignment="1" applyProtection="1">
      <protection locked="0"/>
    </xf>
    <xf numFmtId="3" fontId="10" fillId="12" borderId="3" xfId="2" applyNumberFormat="1" applyFont="1" applyFill="1" applyBorder="1" applyAlignment="1" applyProtection="1">
      <alignment horizontal="right"/>
      <protection locked="0"/>
    </xf>
    <xf numFmtId="0" fontId="10" fillId="16" borderId="0" xfId="2" applyFont="1" applyFill="1" applyBorder="1" applyProtection="1"/>
    <xf numFmtId="0" fontId="10" fillId="16" borderId="0" xfId="2" applyFont="1" applyFill="1" applyBorder="1" applyAlignment="1" applyProtection="1">
      <alignment horizontal="right"/>
    </xf>
    <xf numFmtId="0" fontId="10" fillId="16" borderId="14" xfId="2" applyFont="1" applyFill="1" applyBorder="1" applyAlignment="1" applyProtection="1">
      <alignment horizontal="right"/>
    </xf>
    <xf numFmtId="2" fontId="10" fillId="8" borderId="0" xfId="2" applyNumberFormat="1" applyFont="1" applyFill="1" applyBorder="1" applyProtection="1"/>
    <xf numFmtId="0" fontId="10" fillId="8" borderId="1" xfId="2" applyFont="1" applyFill="1" applyBorder="1" applyAlignment="1" applyProtection="1">
      <alignment horizontal="left"/>
    </xf>
    <xf numFmtId="0" fontId="10" fillId="8" borderId="0" xfId="2" applyFont="1" applyFill="1" applyBorder="1" applyAlignment="1" applyProtection="1">
      <alignment horizontal="right"/>
    </xf>
    <xf numFmtId="0" fontId="10" fillId="3" borderId="0" xfId="2" applyFont="1" applyFill="1" applyBorder="1" applyAlignment="1" applyProtection="1">
      <alignment horizontal="right"/>
    </xf>
    <xf numFmtId="3" fontId="10" fillId="8" borderId="0" xfId="2" applyNumberFormat="1" applyFont="1" applyFill="1" applyBorder="1" applyAlignment="1" applyProtection="1">
      <alignment horizontal="center"/>
    </xf>
    <xf numFmtId="0" fontId="10" fillId="8" borderId="17" xfId="2" applyFont="1" applyFill="1" applyBorder="1" applyProtection="1"/>
    <xf numFmtId="0" fontId="10" fillId="8" borderId="18" xfId="2" applyFont="1" applyFill="1" applyBorder="1" applyProtection="1"/>
    <xf numFmtId="168" fontId="10" fillId="8" borderId="19" xfId="2" applyNumberFormat="1" applyFont="1" applyFill="1" applyBorder="1" applyProtection="1"/>
    <xf numFmtId="0" fontId="4" fillId="8" borderId="0" xfId="2" applyFont="1" applyFill="1" applyProtection="1"/>
    <xf numFmtId="3" fontId="10" fillId="8" borderId="1" xfId="2" applyNumberFormat="1" applyFont="1" applyFill="1" applyBorder="1" applyProtection="1"/>
    <xf numFmtId="0" fontId="4" fillId="8" borderId="0" xfId="2" applyFont="1" applyFill="1" applyAlignment="1" applyProtection="1">
      <alignment horizontal="right"/>
    </xf>
    <xf numFmtId="3" fontId="10" fillId="8" borderId="3" xfId="2" applyNumberFormat="1" applyFont="1" applyFill="1" applyBorder="1" applyAlignment="1" applyProtection="1">
      <alignment horizontal="right"/>
    </xf>
    <xf numFmtId="0" fontId="10" fillId="2" borderId="0" xfId="2" applyFont="1" applyFill="1" applyBorder="1" applyAlignment="1" applyProtection="1">
      <alignment horizontal="left" vertical="top" wrapText="1"/>
      <protection locked="0"/>
    </xf>
    <xf numFmtId="0" fontId="10" fillId="12" borderId="0" xfId="2" applyFont="1" applyFill="1" applyBorder="1" applyAlignment="1" applyProtection="1">
      <alignment horizontal="left" vertical="top" wrapText="1"/>
      <protection locked="0"/>
    </xf>
    <xf numFmtId="1" fontId="10" fillId="13" borderId="0" xfId="2" applyNumberFormat="1" applyFont="1" applyFill="1" applyBorder="1" applyAlignment="1" applyProtection="1">
      <alignment horizontal="center"/>
      <protection locked="0"/>
    </xf>
    <xf numFmtId="166" fontId="10" fillId="14" borderId="0" xfId="2" applyNumberFormat="1" applyFont="1" applyFill="1" applyBorder="1" applyProtection="1">
      <protection locked="0"/>
    </xf>
    <xf numFmtId="166" fontId="10" fillId="12" borderId="0" xfId="2" applyNumberFormat="1" applyFont="1" applyFill="1" applyBorder="1" applyAlignment="1" applyProtection="1">
      <alignment horizontal="center"/>
      <protection locked="0"/>
    </xf>
    <xf numFmtId="0" fontId="10" fillId="12" borderId="7" xfId="2" applyFont="1" applyFill="1" applyBorder="1" applyAlignment="1" applyProtection="1">
      <alignment horizontal="left"/>
      <protection locked="0"/>
    </xf>
    <xf numFmtId="0" fontId="10" fillId="12" borderId="8" xfId="2" applyFont="1" applyFill="1" applyBorder="1" applyAlignment="1" applyProtection="1">
      <alignment horizontal="right"/>
      <protection locked="0"/>
    </xf>
    <xf numFmtId="0" fontId="10" fillId="12" borderId="22" xfId="2" applyFont="1" applyFill="1" applyBorder="1" applyAlignment="1" applyProtection="1">
      <alignment horizontal="right"/>
      <protection locked="0"/>
    </xf>
    <xf numFmtId="0" fontId="10" fillId="12" borderId="0" xfId="2" applyFont="1" applyFill="1" applyBorder="1" applyAlignment="1" applyProtection="1">
      <protection locked="0"/>
    </xf>
    <xf numFmtId="0" fontId="10" fillId="8" borderId="0" xfId="2" applyFont="1" applyFill="1" applyBorder="1" applyAlignment="1" applyProtection="1">
      <alignment horizontal="left" vertical="top" wrapText="1"/>
    </xf>
    <xf numFmtId="0" fontId="10" fillId="2" borderId="0" xfId="2" applyFont="1" applyFill="1" applyBorder="1" applyAlignment="1" applyProtection="1">
      <alignment horizontal="left" vertical="top" wrapText="1"/>
    </xf>
    <xf numFmtId="1" fontId="10" fillId="14" borderId="0" xfId="2" applyNumberFormat="1" applyFont="1" applyFill="1" applyBorder="1" applyAlignment="1" applyProtection="1">
      <alignment horizontal="center"/>
    </xf>
    <xf numFmtId="166" fontId="10" fillId="14" borderId="0" xfId="2" applyNumberFormat="1" applyFont="1" applyFill="1" applyBorder="1" applyAlignment="1" applyProtection="1"/>
    <xf numFmtId="166" fontId="10" fillId="8" borderId="0" xfId="2" applyNumberFormat="1" applyFont="1" applyFill="1" applyBorder="1" applyAlignment="1" applyProtection="1">
      <alignment horizontal="center"/>
    </xf>
    <xf numFmtId="0" fontId="10" fillId="8" borderId="7" xfId="2" applyFont="1" applyFill="1" applyBorder="1" applyAlignment="1" applyProtection="1">
      <alignment horizontal="left"/>
    </xf>
    <xf numFmtId="0" fontId="10" fillId="8" borderId="8" xfId="2" applyFont="1" applyFill="1" applyBorder="1" applyAlignment="1" applyProtection="1">
      <alignment horizontal="right"/>
    </xf>
    <xf numFmtId="0" fontId="10" fillId="8" borderId="22" xfId="2" applyFont="1" applyFill="1" applyBorder="1" applyAlignment="1" applyProtection="1">
      <alignment horizontal="right"/>
    </xf>
    <xf numFmtId="4" fontId="10" fillId="8" borderId="0" xfId="2" applyNumberFormat="1" applyFont="1" applyFill="1" applyBorder="1" applyAlignment="1" applyProtection="1"/>
    <xf numFmtId="0" fontId="10" fillId="8" borderId="0" xfId="2" applyFont="1" applyFill="1" applyBorder="1" applyAlignment="1" applyProtection="1"/>
    <xf numFmtId="3" fontId="10" fillId="8" borderId="0" xfId="2" applyNumberFormat="1" applyFont="1" applyFill="1" applyBorder="1" applyAlignment="1" applyProtection="1"/>
    <xf numFmtId="0" fontId="1" fillId="0" borderId="0" xfId="2" applyFont="1" applyProtection="1">
      <protection locked="0"/>
    </xf>
    <xf numFmtId="0" fontId="13" fillId="11" borderId="0" xfId="2" applyFont="1" applyFill="1" applyBorder="1" applyProtection="1">
      <protection locked="0"/>
    </xf>
    <xf numFmtId="3" fontId="1" fillId="6" borderId="0" xfId="1" applyNumberFormat="1" applyFill="1" applyProtection="1">
      <protection locked="0"/>
    </xf>
    <xf numFmtId="0" fontId="10" fillId="2" borderId="1" xfId="2" applyFont="1" applyFill="1" applyBorder="1" applyAlignment="1" applyProtection="1">
      <alignment horizontal="center"/>
      <protection locked="0"/>
    </xf>
    <xf numFmtId="0" fontId="10" fillId="12" borderId="1" xfId="2" applyFont="1" applyFill="1" applyBorder="1" applyAlignment="1" applyProtection="1">
      <alignment horizontal="center"/>
      <protection locked="0"/>
    </xf>
    <xf numFmtId="2" fontId="10" fillId="12" borderId="1" xfId="2" applyNumberFormat="1" applyFont="1" applyFill="1" applyBorder="1" applyAlignment="1" applyProtection="1">
      <alignment horizontal="center"/>
      <protection locked="0"/>
    </xf>
    <xf numFmtId="2" fontId="10" fillId="12" borderId="1" xfId="2" applyNumberFormat="1" applyFont="1" applyFill="1" applyBorder="1" applyProtection="1">
      <protection locked="0"/>
    </xf>
    <xf numFmtId="0" fontId="10" fillId="11" borderId="1" xfId="2" applyFont="1" applyFill="1" applyBorder="1" applyAlignment="1" applyProtection="1">
      <alignment horizontal="center" wrapText="1"/>
      <protection locked="0"/>
    </xf>
    <xf numFmtId="169" fontId="10" fillId="14" borderId="0" xfId="2" applyNumberFormat="1" applyFont="1" applyFill="1" applyBorder="1" applyAlignment="1" applyProtection="1">
      <alignment horizontal="center"/>
      <protection locked="0"/>
    </xf>
    <xf numFmtId="0" fontId="10" fillId="15" borderId="0" xfId="2" applyFont="1" applyFill="1" applyBorder="1" applyProtection="1">
      <protection locked="0"/>
    </xf>
    <xf numFmtId="1" fontId="10" fillId="12" borderId="0" xfId="2" applyNumberFormat="1" applyFont="1" applyFill="1" applyBorder="1" applyAlignment="1" applyProtection="1">
      <alignment horizontal="center" wrapText="1"/>
      <protection locked="0"/>
    </xf>
    <xf numFmtId="0" fontId="21" fillId="12" borderId="0" xfId="2" applyFont="1" applyFill="1" applyBorder="1" applyAlignment="1" applyProtection="1">
      <alignment wrapText="1"/>
      <protection locked="0"/>
    </xf>
    <xf numFmtId="0" fontId="27" fillId="13" borderId="0" xfId="2" applyFont="1" applyFill="1" applyBorder="1" applyProtection="1">
      <protection locked="0"/>
    </xf>
    <xf numFmtId="3" fontId="10" fillId="13" borderId="0" xfId="2" applyNumberFormat="1" applyFont="1" applyFill="1" applyBorder="1" applyProtection="1">
      <protection locked="0"/>
    </xf>
    <xf numFmtId="0" fontId="10" fillId="13" borderId="0" xfId="2" applyFont="1" applyFill="1" applyBorder="1" applyProtection="1">
      <protection locked="0"/>
    </xf>
    <xf numFmtId="0" fontId="21" fillId="13" borderId="0" xfId="2" applyFont="1" applyFill="1" applyBorder="1" applyProtection="1">
      <protection locked="0"/>
    </xf>
    <xf numFmtId="0" fontId="10" fillId="11" borderId="0" xfId="2" applyFont="1" applyFill="1" applyBorder="1" applyAlignment="1" applyProtection="1">
      <alignment horizontal="left"/>
      <protection locked="0"/>
    </xf>
    <xf numFmtId="0" fontId="10" fillId="11" borderId="0" xfId="2" applyFont="1" applyFill="1" applyBorder="1" applyAlignment="1" applyProtection="1">
      <alignment horizontal="right"/>
      <protection locked="0"/>
    </xf>
    <xf numFmtId="0" fontId="10" fillId="2" borderId="0" xfId="2" applyFont="1" applyFill="1" applyBorder="1" applyAlignment="1" applyProtection="1">
      <alignment horizontal="left" wrapText="1"/>
      <protection locked="0"/>
    </xf>
    <xf numFmtId="0" fontId="10" fillId="12" borderId="0" xfId="2" applyFont="1" applyFill="1" applyBorder="1" applyAlignment="1" applyProtection="1">
      <alignment horizontal="left" wrapText="1"/>
      <protection locked="0"/>
    </xf>
    <xf numFmtId="1" fontId="10" fillId="12" borderId="0" xfId="2" applyNumberFormat="1" applyFont="1" applyFill="1" applyBorder="1" applyAlignment="1" applyProtection="1">
      <alignment horizontal="right"/>
      <protection locked="0"/>
    </xf>
    <xf numFmtId="3" fontId="1" fillId="6" borderId="0" xfId="1" applyNumberFormat="1" applyFill="1" applyProtection="1"/>
    <xf numFmtId="0" fontId="10" fillId="8" borderId="1" xfId="2" applyFont="1" applyFill="1" applyBorder="1" applyAlignment="1" applyProtection="1">
      <alignment horizontal="center"/>
    </xf>
    <xf numFmtId="0" fontId="10" fillId="2" borderId="1" xfId="2" applyFont="1" applyFill="1" applyBorder="1" applyAlignment="1" applyProtection="1">
      <alignment horizontal="center"/>
    </xf>
    <xf numFmtId="2" fontId="10" fillId="8" borderId="1" xfId="2" applyNumberFormat="1" applyFont="1" applyFill="1" applyBorder="1" applyAlignment="1" applyProtection="1">
      <alignment horizontal="center"/>
    </xf>
    <xf numFmtId="2" fontId="10" fillId="8" borderId="1" xfId="2" applyNumberFormat="1" applyFont="1" applyFill="1" applyBorder="1" applyProtection="1"/>
    <xf numFmtId="0" fontId="10" fillId="9" borderId="1" xfId="2" applyFont="1" applyFill="1" applyBorder="1" applyAlignment="1" applyProtection="1">
      <alignment horizontal="center" wrapText="1"/>
    </xf>
    <xf numFmtId="169" fontId="10" fillId="14" borderId="0" xfId="2" applyNumberFormat="1" applyFont="1" applyFill="1" applyBorder="1" applyAlignment="1" applyProtection="1">
      <alignment horizontal="center"/>
    </xf>
    <xf numFmtId="0" fontId="10" fillId="15" borderId="0" xfId="2" applyFont="1" applyFill="1" applyBorder="1" applyProtection="1"/>
    <xf numFmtId="1" fontId="10" fillId="8" borderId="0" xfId="2" applyNumberFormat="1" applyFont="1" applyFill="1" applyBorder="1" applyAlignment="1" applyProtection="1">
      <alignment horizontal="center" wrapText="1"/>
    </xf>
    <xf numFmtId="0" fontId="27" fillId="10" borderId="0" xfId="2" applyFont="1" applyFill="1" applyBorder="1" applyProtection="1"/>
    <xf numFmtId="3" fontId="10" fillId="10" borderId="0" xfId="2" applyNumberFormat="1" applyFont="1" applyFill="1" applyBorder="1" applyProtection="1"/>
    <xf numFmtId="0" fontId="10" fillId="10" borderId="0" xfId="2" applyFont="1" applyFill="1" applyBorder="1" applyProtection="1"/>
    <xf numFmtId="0" fontId="21" fillId="10" borderId="0" xfId="2" applyFont="1" applyFill="1" applyBorder="1" applyProtection="1"/>
    <xf numFmtId="0" fontId="10" fillId="9" borderId="0" xfId="2" applyFont="1" applyFill="1" applyBorder="1" applyAlignment="1" applyProtection="1">
      <alignment horizontal="left"/>
    </xf>
    <xf numFmtId="0" fontId="10" fillId="9" borderId="0" xfId="2" applyFont="1" applyFill="1" applyBorder="1" applyAlignment="1" applyProtection="1">
      <alignment horizontal="center"/>
    </xf>
    <xf numFmtId="0" fontId="10" fillId="9" borderId="0" xfId="2" applyFont="1" applyFill="1" applyBorder="1" applyAlignment="1" applyProtection="1">
      <alignment horizontal="right"/>
    </xf>
    <xf numFmtId="0" fontId="10" fillId="8" borderId="0" xfId="2" applyFont="1" applyFill="1" applyBorder="1" applyAlignment="1" applyProtection="1">
      <alignment horizontal="left" wrapText="1"/>
    </xf>
    <xf numFmtId="0" fontId="10" fillId="2" borderId="0" xfId="2" applyFont="1" applyFill="1" applyBorder="1" applyAlignment="1" applyProtection="1">
      <alignment horizontal="left" wrapText="1"/>
    </xf>
    <xf numFmtId="1" fontId="10" fillId="8" borderId="0" xfId="2" applyNumberFormat="1" applyFont="1" applyFill="1" applyBorder="1" applyAlignment="1" applyProtection="1">
      <alignment horizontal="right"/>
    </xf>
    <xf numFmtId="0" fontId="16" fillId="12" borderId="0" xfId="2" applyFont="1" applyFill="1" applyBorder="1" applyProtection="1">
      <protection locked="0"/>
    </xf>
    <xf numFmtId="2" fontId="10" fillId="12" borderId="9" xfId="2" applyNumberFormat="1" applyFont="1" applyFill="1" applyBorder="1" applyAlignment="1" applyProtection="1">
      <alignment horizontal="right"/>
      <protection locked="0"/>
    </xf>
    <xf numFmtId="0" fontId="10" fillId="12" borderId="9" xfId="2" applyFont="1" applyFill="1" applyBorder="1" applyAlignment="1" applyProtection="1">
      <alignment horizontal="left"/>
      <protection locked="0"/>
    </xf>
    <xf numFmtId="4" fontId="10" fillId="12" borderId="10" xfId="2" applyNumberFormat="1" applyFont="1" applyFill="1" applyBorder="1" applyAlignment="1" applyProtection="1">
      <alignment horizontal="right"/>
      <protection locked="0"/>
    </xf>
    <xf numFmtId="2" fontId="10" fillId="8" borderId="9" xfId="2" applyNumberFormat="1" applyFont="1" applyFill="1" applyBorder="1" applyAlignment="1" applyProtection="1">
      <alignment horizontal="right"/>
    </xf>
    <xf numFmtId="0" fontId="10" fillId="8" borderId="9" xfId="2" applyFont="1" applyFill="1" applyBorder="1" applyAlignment="1" applyProtection="1">
      <alignment horizontal="left"/>
    </xf>
    <xf numFmtId="4" fontId="10" fillId="8" borderId="10" xfId="2" applyNumberFormat="1" applyFont="1" applyFill="1" applyBorder="1" applyAlignment="1" applyProtection="1">
      <alignment horizontal="right"/>
    </xf>
    <xf numFmtId="4" fontId="10" fillId="8" borderId="14" xfId="2" applyNumberFormat="1" applyFont="1" applyFill="1" applyBorder="1" applyAlignment="1" applyProtection="1">
      <alignment horizontal="right"/>
    </xf>
    <xf numFmtId="168" fontId="10" fillId="8" borderId="0" xfId="2" applyNumberFormat="1" applyFont="1" applyFill="1" applyBorder="1" applyProtection="1"/>
    <xf numFmtId="2" fontId="10" fillId="8" borderId="10" xfId="2" applyNumberFormat="1" applyFont="1" applyFill="1" applyBorder="1" applyAlignment="1" applyProtection="1">
      <alignment horizontal="center"/>
    </xf>
    <xf numFmtId="3" fontId="10" fillId="8" borderId="1" xfId="2" applyNumberFormat="1" applyFont="1" applyFill="1" applyBorder="1" applyAlignment="1" applyProtection="1">
      <alignment horizontal="center"/>
    </xf>
    <xf numFmtId="168" fontId="10" fillId="12" borderId="0" xfId="2" applyNumberFormat="1" applyFont="1" applyFill="1" applyBorder="1" applyProtection="1">
      <protection locked="0"/>
    </xf>
    <xf numFmtId="2" fontId="10" fillId="12" borderId="10" xfId="2" applyNumberFormat="1" applyFont="1" applyFill="1" applyBorder="1" applyAlignment="1" applyProtection="1">
      <alignment horizontal="center"/>
      <protection locked="0"/>
    </xf>
    <xf numFmtId="0" fontId="21" fillId="4" borderId="0" xfId="2" applyFont="1" applyFill="1" applyBorder="1" applyAlignment="1" applyProtection="1">
      <alignment wrapText="1"/>
      <protection locked="0"/>
    </xf>
    <xf numFmtId="3" fontId="10" fillId="12" borderId="1" xfId="2" applyNumberFormat="1" applyFont="1" applyFill="1" applyBorder="1" applyAlignment="1" applyProtection="1">
      <alignment horizontal="center"/>
      <protection locked="0"/>
    </xf>
    <xf numFmtId="2" fontId="10" fillId="18" borderId="0" xfId="2" applyNumberFormat="1" applyFont="1" applyFill="1" applyBorder="1" applyAlignment="1" applyProtection="1">
      <alignment horizontal="right"/>
      <protection locked="0"/>
    </xf>
    <xf numFmtId="2" fontId="10" fillId="16" borderId="14" xfId="2" applyNumberFormat="1" applyFont="1" applyFill="1" applyBorder="1" applyAlignment="1" applyProtection="1">
      <alignment horizontal="right"/>
      <protection locked="0"/>
    </xf>
    <xf numFmtId="2" fontId="10" fillId="18" borderId="0" xfId="2" applyNumberFormat="1" applyFont="1" applyFill="1" applyBorder="1" applyAlignment="1" applyProtection="1">
      <alignment horizontal="right"/>
    </xf>
    <xf numFmtId="2" fontId="10" fillId="16" borderId="14" xfId="2" applyNumberFormat="1" applyFont="1" applyFill="1" applyBorder="1" applyAlignment="1" applyProtection="1">
      <alignment horizontal="right"/>
    </xf>
    <xf numFmtId="3" fontId="1" fillId="7" borderId="0" xfId="1" applyNumberFormat="1" applyFill="1" applyProtection="1">
      <protection locked="0"/>
    </xf>
    <xf numFmtId="2" fontId="10" fillId="12" borderId="10" xfId="2" applyNumberFormat="1" applyFont="1" applyFill="1" applyBorder="1" applyAlignment="1" applyProtection="1">
      <alignment horizontal="right"/>
      <protection locked="0"/>
    </xf>
    <xf numFmtId="0" fontId="27" fillId="12" borderId="0" xfId="2" applyFont="1" applyFill="1" applyBorder="1" applyProtection="1">
      <protection locked="0"/>
    </xf>
    <xf numFmtId="2" fontId="10" fillId="8" borderId="10" xfId="2" applyNumberFormat="1" applyFont="1" applyFill="1" applyBorder="1" applyAlignment="1" applyProtection="1">
      <alignment horizontal="right"/>
    </xf>
    <xf numFmtId="2" fontId="10" fillId="17" borderId="0" xfId="2" applyNumberFormat="1" applyFont="1" applyFill="1" applyBorder="1" applyAlignment="1" applyProtection="1">
      <alignment horizontal="right"/>
    </xf>
    <xf numFmtId="9" fontId="10" fillId="14" borderId="0" xfId="2" applyNumberFormat="1" applyFont="1" applyFill="1" applyBorder="1" applyProtection="1">
      <protection locked="0"/>
    </xf>
    <xf numFmtId="4" fontId="10" fillId="12" borderId="9" xfId="2" applyNumberFormat="1" applyFont="1" applyFill="1" applyBorder="1" applyAlignment="1" applyProtection="1">
      <alignment horizontal="right"/>
      <protection locked="0"/>
    </xf>
    <xf numFmtId="9" fontId="10" fillId="14" borderId="0" xfId="2" applyNumberFormat="1" applyFont="1" applyFill="1" applyBorder="1" applyAlignment="1" applyProtection="1">
      <alignment horizontal="center"/>
      <protection locked="0"/>
    </xf>
    <xf numFmtId="3" fontId="10" fillId="18" borderId="0" xfId="2" applyNumberFormat="1" applyFont="1" applyFill="1" applyBorder="1" applyAlignment="1" applyProtection="1">
      <alignment horizontal="right"/>
      <protection locked="0"/>
    </xf>
    <xf numFmtId="9" fontId="10" fillId="12" borderId="0" xfId="2" applyNumberFormat="1" applyFont="1" applyFill="1" applyBorder="1" applyAlignment="1" applyProtection="1">
      <alignment horizontal="right"/>
      <protection locked="0"/>
    </xf>
    <xf numFmtId="4" fontId="10" fillId="12" borderId="15" xfId="2" applyNumberFormat="1" applyFont="1" applyFill="1" applyBorder="1" applyAlignment="1" applyProtection="1">
      <alignment horizontal="right"/>
      <protection locked="0"/>
    </xf>
    <xf numFmtId="3" fontId="10" fillId="15" borderId="0" xfId="2" applyNumberFormat="1" applyFont="1" applyFill="1" applyBorder="1" applyProtection="1">
      <protection locked="0"/>
    </xf>
    <xf numFmtId="0" fontId="10" fillId="14" borderId="1" xfId="2" applyFont="1" applyFill="1" applyBorder="1" applyAlignment="1" applyProtection="1">
      <alignment horizontal="center"/>
      <protection locked="0"/>
    </xf>
    <xf numFmtId="0" fontId="10" fillId="12" borderId="2" xfId="2" applyFont="1" applyFill="1" applyBorder="1" applyAlignment="1" applyProtection="1">
      <alignment horizontal="right"/>
      <protection locked="0"/>
    </xf>
    <xf numFmtId="0" fontId="10" fillId="12" borderId="2" xfId="2" applyFont="1" applyFill="1" applyBorder="1" applyAlignment="1" applyProtection="1">
      <alignment horizontal="center"/>
      <protection locked="0"/>
    </xf>
    <xf numFmtId="0" fontId="22" fillId="12" borderId="0" xfId="2" applyFont="1" applyFill="1" applyBorder="1" applyAlignment="1" applyProtection="1">
      <alignment horizontal="right"/>
      <protection locked="0"/>
    </xf>
    <xf numFmtId="3" fontId="10" fillId="12" borderId="14" xfId="2" applyNumberFormat="1" applyFont="1" applyFill="1" applyBorder="1" applyProtection="1">
      <protection locked="0"/>
    </xf>
    <xf numFmtId="9" fontId="10" fillId="14" borderId="0" xfId="2" applyNumberFormat="1" applyFont="1" applyFill="1" applyBorder="1" applyProtection="1"/>
    <xf numFmtId="4" fontId="10" fillId="8" borderId="9" xfId="2" applyNumberFormat="1" applyFont="1" applyFill="1" applyBorder="1" applyAlignment="1" applyProtection="1">
      <alignment horizontal="right"/>
    </xf>
    <xf numFmtId="9" fontId="10" fillId="14" borderId="0" xfId="2" applyNumberFormat="1" applyFont="1" applyFill="1" applyBorder="1" applyAlignment="1" applyProtection="1">
      <alignment horizontal="center"/>
    </xf>
    <xf numFmtId="3" fontId="10" fillId="17" borderId="0" xfId="2" applyNumberFormat="1" applyFont="1" applyFill="1" applyBorder="1" applyAlignment="1" applyProtection="1">
      <alignment horizontal="right"/>
    </xf>
    <xf numFmtId="9" fontId="10" fillId="8" borderId="0" xfId="2" applyNumberFormat="1" applyFont="1" applyFill="1" applyBorder="1" applyAlignment="1" applyProtection="1">
      <alignment horizontal="right"/>
    </xf>
    <xf numFmtId="4" fontId="10" fillId="8" borderId="15" xfId="2" applyNumberFormat="1" applyFont="1" applyFill="1" applyBorder="1" applyAlignment="1" applyProtection="1">
      <alignment horizontal="right"/>
    </xf>
    <xf numFmtId="3" fontId="10" fillId="15" borderId="0" xfId="2" applyNumberFormat="1" applyFont="1" applyFill="1" applyBorder="1" applyProtection="1"/>
    <xf numFmtId="0" fontId="10" fillId="14" borderId="1" xfId="2" applyFont="1" applyFill="1" applyBorder="1" applyAlignment="1" applyProtection="1">
      <alignment horizontal="center"/>
    </xf>
    <xf numFmtId="0" fontId="10" fillId="8" borderId="2" xfId="2" applyFont="1" applyFill="1" applyBorder="1" applyAlignment="1" applyProtection="1">
      <alignment horizontal="right"/>
    </xf>
    <xf numFmtId="0" fontId="10" fillId="8" borderId="2" xfId="2" applyFont="1" applyFill="1" applyBorder="1" applyAlignment="1" applyProtection="1">
      <alignment horizontal="center"/>
    </xf>
    <xf numFmtId="0" fontId="22" fillId="8" borderId="0" xfId="2" applyFont="1" applyFill="1" applyBorder="1" applyAlignment="1" applyProtection="1">
      <alignment horizontal="right"/>
    </xf>
    <xf numFmtId="3" fontId="10" fillId="8" borderId="14" xfId="2" applyNumberFormat="1" applyFont="1" applyFill="1" applyBorder="1" applyProtection="1"/>
    <xf numFmtId="0" fontId="1" fillId="0" borderId="0" xfId="2" applyFont="1" applyProtection="1"/>
    <xf numFmtId="0" fontId="4" fillId="0" borderId="16" xfId="2" applyFont="1" applyBorder="1" applyProtection="1"/>
    <xf numFmtId="0" fontId="24" fillId="0" borderId="11" xfId="2" applyFont="1" applyBorder="1" applyAlignment="1" applyProtection="1">
      <alignment horizontal="right"/>
    </xf>
    <xf numFmtId="0" fontId="24" fillId="0" borderId="7" xfId="2" applyFont="1" applyBorder="1" applyAlignment="1" applyProtection="1">
      <alignment horizontal="right"/>
    </xf>
    <xf numFmtId="0" fontId="24" fillId="0" borderId="23" xfId="2" applyFont="1" applyBorder="1" applyAlignment="1" applyProtection="1">
      <alignment horizontal="right"/>
    </xf>
    <xf numFmtId="0" fontId="26" fillId="0" borderId="0" xfId="2" applyFont="1" applyProtection="1"/>
    <xf numFmtId="0" fontId="4" fillId="0" borderId="11" xfId="2" applyFont="1" applyBorder="1" applyProtection="1"/>
    <xf numFmtId="0" fontId="4" fillId="0" borderId="12" xfId="2" applyNumberFormat="1" applyFont="1" applyBorder="1" applyProtection="1"/>
    <xf numFmtId="0" fontId="4" fillId="0" borderId="13" xfId="2" applyNumberFormat="1" applyFont="1" applyBorder="1" applyProtection="1"/>
    <xf numFmtId="0" fontId="4" fillId="0" borderId="11" xfId="2" applyNumberFormat="1" applyFont="1" applyBorder="1" applyProtection="1"/>
    <xf numFmtId="0" fontId="34" fillId="0" borderId="0" xfId="0" applyFont="1" applyFill="1" applyProtection="1"/>
    <xf numFmtId="0" fontId="34" fillId="0" borderId="0" xfId="0" applyFont="1" applyProtection="1"/>
  </cellXfs>
  <cellStyles count="3">
    <cellStyle name="Comma" xfId="1" builtinId="3"/>
    <cellStyle name="Excel Built-in Normal" xfId="2"/>
    <cellStyle name="Normal" xfId="0" builtinId="0"/>
  </cellStyles>
  <dxfs count="1">
    <dxf>
      <fill>
        <patternFill>
          <bgColor rgb="FF00B0F0"/>
        </patternFill>
      </fill>
      <border>
        <left style="thin">
          <color indexed="64"/>
        </left>
        <right style="thin">
          <color indexed="64"/>
        </right>
        <top style="thin">
          <color indexed="64"/>
        </top>
        <bottom style="thin">
          <color indexed="64"/>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00FF00"/>
      <rgbColor rgb="000000FF"/>
      <rgbColor rgb="00FFFF00"/>
      <rgbColor rgb="00FF00FF"/>
      <rgbColor rgb="0000FFFF"/>
      <rgbColor rgb="00800000"/>
      <rgbColor rgb="00008000"/>
      <rgbColor rgb="00000080"/>
      <rgbColor rgb="00808000"/>
      <rgbColor rgb="00800080"/>
      <rgbColor rgb="00008080"/>
      <rgbColor rgb="00C0C0C0"/>
      <rgbColor rgb="00878787"/>
      <rgbColor rgb="009999FF"/>
      <rgbColor rgb="00BE4B48"/>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81BD"/>
      <rgbColor rgb="0033CCCC"/>
      <rgbColor rgb="0099CC00"/>
      <rgbColor rgb="00FFCC00"/>
      <rgbColor rgb="00FF9900"/>
      <rgbColor rgb="00FF6600"/>
      <rgbColor rgb="004A7EBB"/>
      <rgbColor rgb="00969696"/>
      <rgbColor rgb="00003366"/>
      <rgbColor rgb="00339966"/>
      <rgbColor rgb="00003300"/>
      <rgbColor rgb="00333300"/>
      <rgbColor rgb="00993300"/>
      <rgbColor rgb="00993366"/>
      <rgbColor rgb="00333399"/>
      <rgbColor rgb="00333333"/>
    </indexedColors>
    <mruColors>
      <color rgb="FF4F81BD"/>
      <color rgb="FFFF9900"/>
      <color rgb="FFD8E4BC"/>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Calculation of Converter Outlet Temperature</a:t>
            </a:r>
          </a:p>
        </c:rich>
      </c:tx>
      <c:layout>
        <c:manualLayout>
          <c:xMode val="edge"/>
          <c:yMode val="edge"/>
          <c:x val="0.18181865770933758"/>
          <c:y val="3.793103448275862E-2"/>
        </c:manualLayout>
      </c:layout>
      <c:overlay val="0"/>
      <c:spPr>
        <a:noFill/>
        <a:ln w="25400">
          <a:noFill/>
        </a:ln>
      </c:spPr>
    </c:title>
    <c:autoTitleDeleted val="0"/>
    <c:plotArea>
      <c:layout>
        <c:manualLayout>
          <c:layoutTarget val="inner"/>
          <c:xMode val="edge"/>
          <c:yMode val="edge"/>
          <c:x val="0.22020245462921131"/>
          <c:y val="0.38275862068965516"/>
          <c:w val="0.73131457408967426"/>
          <c:h val="0.29655172413793102"/>
        </c:manualLayout>
      </c:layout>
      <c:scatterChart>
        <c:scatterStyle val="lineMarker"/>
        <c:varyColors val="0"/>
        <c:ser>
          <c:idx val="0"/>
          <c:order val="0"/>
          <c:tx>
            <c:strRef>
              <c:f>'Step 8'!$L$97</c:f>
              <c:strCache>
                <c:ptCount val="1"/>
              </c:strCache>
            </c:strRef>
          </c:tx>
          <c:spPr>
            <a:ln w="38100">
              <a:solidFill>
                <a:srgbClr val="4A7EBB"/>
              </a:solidFill>
              <a:prstDash val="solid"/>
            </a:ln>
          </c:spPr>
          <c:marker>
            <c:symbol val="diamond"/>
            <c:size val="5"/>
            <c:spPr>
              <a:solidFill>
                <a:srgbClr val="4A7EBB"/>
              </a:solidFill>
              <a:ln>
                <a:solidFill>
                  <a:srgbClr val="4A7EBB"/>
                </a:solidFill>
                <a:prstDash val="solid"/>
              </a:ln>
            </c:spPr>
          </c:marker>
          <c:xVal>
            <c:numRef>
              <c:f>'Step 8'!$L$98:$L$100</c:f>
              <c:numCache>
                <c:formatCode>General</c:formatCode>
                <c:ptCount val="3"/>
              </c:numCache>
            </c:numRef>
          </c:xVal>
          <c:yVal>
            <c:numRef>
              <c:f>'Step 8'!$L$98:$L$100</c:f>
              <c:numCache>
                <c:formatCode>General</c:formatCode>
                <c:ptCount val="3"/>
              </c:numCache>
            </c:numRef>
          </c:yVal>
          <c:smooth val="0"/>
        </c:ser>
        <c:ser>
          <c:idx val="1"/>
          <c:order val="1"/>
          <c:tx>
            <c:strRef>
              <c:f>'Step 8'!$L$97</c:f>
              <c:strCache>
                <c:ptCount val="1"/>
              </c:strCache>
            </c:strRef>
          </c:tx>
          <c:spPr>
            <a:ln w="38100">
              <a:solidFill>
                <a:srgbClr val="BE4B48"/>
              </a:solidFill>
              <a:prstDash val="solid"/>
            </a:ln>
          </c:spPr>
          <c:marker>
            <c:symbol val="square"/>
            <c:size val="5"/>
            <c:spPr>
              <a:solidFill>
                <a:srgbClr val="BE4B48"/>
              </a:solidFill>
              <a:ln>
                <a:solidFill>
                  <a:srgbClr val="BE4B48"/>
                </a:solidFill>
                <a:prstDash val="solid"/>
              </a:ln>
            </c:spPr>
          </c:marker>
          <c:xVal>
            <c:numRef>
              <c:f>'Step 8'!$L$98:$L$100</c:f>
              <c:numCache>
                <c:formatCode>General</c:formatCode>
                <c:ptCount val="3"/>
              </c:numCache>
            </c:numRef>
          </c:xVal>
          <c:yVal>
            <c:numRef>
              <c:f>'Step 8'!$L$98:$L$100</c:f>
              <c:numCache>
                <c:formatCode>General</c:formatCode>
                <c:ptCount val="3"/>
              </c:numCache>
            </c:numRef>
          </c:yVal>
          <c:smooth val="0"/>
        </c:ser>
        <c:dLbls>
          <c:showLegendKey val="0"/>
          <c:showVal val="0"/>
          <c:showCatName val="0"/>
          <c:showSerName val="0"/>
          <c:showPercent val="0"/>
          <c:showBubbleSize val="0"/>
        </c:dLbls>
        <c:axId val="136003968"/>
        <c:axId val="136006272"/>
      </c:scatterChart>
      <c:valAx>
        <c:axId val="136003968"/>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US"/>
                  <a:t>y, moles/hr</a:t>
                </a:r>
              </a:p>
            </c:rich>
          </c:tx>
          <c:layout>
            <c:manualLayout>
              <c:xMode val="edge"/>
              <c:yMode val="edge"/>
              <c:x val="0.51919296791502179"/>
              <c:y val="0.78620689655172415"/>
            </c:manualLayout>
          </c:layout>
          <c:overlay val="0"/>
          <c:spPr>
            <a:noFill/>
            <a:ln w="25400">
              <a:noFill/>
            </a:ln>
          </c:spPr>
        </c:title>
        <c:numFmt formatCode="General" sourceLinked="1"/>
        <c:majorTickMark val="out"/>
        <c:minorTickMark val="none"/>
        <c:tickLblPos val="nextTo"/>
        <c:spPr>
          <a:ln w="12700">
            <a:solidFill>
              <a:srgbClr val="878787"/>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36006272"/>
        <c:crossesAt val="0"/>
        <c:crossBetween val="midCat"/>
      </c:valAx>
      <c:valAx>
        <c:axId val="136006272"/>
        <c:scaling>
          <c:orientation val="minMax"/>
        </c:scaling>
        <c:delete val="0"/>
        <c:axPos val="l"/>
        <c:majorGridlines>
          <c:spPr>
            <a:ln w="12700">
              <a:solidFill>
                <a:srgbClr val="878787"/>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US"/>
                  <a:t>Total Stream Enthalpy, MM BTU/hr</a:t>
                </a:r>
              </a:p>
            </c:rich>
          </c:tx>
          <c:layout>
            <c:manualLayout>
              <c:xMode val="edge"/>
              <c:yMode val="edge"/>
              <c:x val="3.2323161820838879E-2"/>
              <c:y val="0.29657453163182185"/>
            </c:manualLayout>
          </c:layout>
          <c:overlay val="0"/>
          <c:spPr>
            <a:noFill/>
            <a:ln w="25400">
              <a:noFill/>
            </a:ln>
          </c:spPr>
        </c:title>
        <c:numFmt formatCode="#,##0.00" sourceLinked="0"/>
        <c:majorTickMark val="out"/>
        <c:minorTickMark val="none"/>
        <c:tickLblPos val="nextTo"/>
        <c:spPr>
          <a:ln w="12700">
            <a:solidFill>
              <a:srgbClr val="878787"/>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36003968"/>
        <c:crossesAt val="0"/>
        <c:crossBetween val="midCat"/>
      </c:valAx>
      <c:spPr>
        <a:solidFill>
          <a:srgbClr val="FFFFFF"/>
        </a:solidFill>
        <a:ln w="25400">
          <a:noFill/>
        </a:ln>
      </c:spPr>
    </c:plotArea>
    <c:legend>
      <c:legendPos val="b"/>
      <c:layout>
        <c:manualLayout>
          <c:xMode val="edge"/>
          <c:yMode val="edge"/>
          <c:x val="0.50909197984600951"/>
          <c:y val="0.90689655172413797"/>
          <c:w val="0.15151540267992814"/>
          <c:h val="7.241379310344831E-2"/>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12700">
      <a:solidFill>
        <a:srgbClr val="878787"/>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590550</xdr:colOff>
      <xdr:row>101</xdr:row>
      <xdr:rowOff>0</xdr:rowOff>
    </xdr:from>
    <xdr:to>
      <xdr:col>18</xdr:col>
      <xdr:colOff>428625</xdr:colOff>
      <xdr:row>115</xdr:row>
      <xdr:rowOff>95250</xdr:rowOff>
    </xdr:to>
    <xdr:graphicFrame macro="">
      <xdr:nvGraphicFramePr>
        <xdr:cNvPr id="1041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C17" sqref="C17"/>
    </sheetView>
  </sheetViews>
  <sheetFormatPr defaultRowHeight="12.75" x14ac:dyDescent="0.2"/>
  <cols>
    <col min="1" max="2" width="9.140625" style="4"/>
    <col min="3" max="3" width="26.85546875" style="4" customWidth="1"/>
    <col min="4" max="16384" width="9.140625" style="4"/>
  </cols>
  <sheetData>
    <row r="1" spans="1:3" ht="15" x14ac:dyDescent="0.25">
      <c r="A1" s="3" t="s">
        <v>298</v>
      </c>
    </row>
    <row r="4" spans="1:3" x14ac:dyDescent="0.2">
      <c r="A4" s="5" t="s">
        <v>299</v>
      </c>
      <c r="B4" s="5" t="s">
        <v>300</v>
      </c>
      <c r="C4" s="6" t="s">
        <v>301</v>
      </c>
    </row>
    <row r="5" spans="1:3" ht="15" x14ac:dyDescent="0.25">
      <c r="A5" s="7">
        <v>0</v>
      </c>
      <c r="B5" s="8">
        <v>42826</v>
      </c>
      <c r="C5" s="9" t="s">
        <v>302</v>
      </c>
    </row>
    <row r="6" spans="1:3" ht="15" x14ac:dyDescent="0.25">
      <c r="A6" s="9"/>
      <c r="B6" s="9"/>
      <c r="C6" s="9"/>
    </row>
    <row r="7" spans="1:3" x14ac:dyDescent="0.2">
      <c r="A7" s="10"/>
      <c r="B7" s="10"/>
      <c r="C7" s="10"/>
    </row>
  </sheetData>
  <sheetProtection password="E156"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U36"/>
  <sheetViews>
    <sheetView zoomScaleNormal="100" workbookViewId="0">
      <selection activeCell="D3" sqref="D3"/>
    </sheetView>
  </sheetViews>
  <sheetFormatPr defaultColWidth="8.7109375" defaultRowHeight="15" x14ac:dyDescent="0.25"/>
  <cols>
    <col min="1" max="1" width="15.7109375" style="28" customWidth="1"/>
    <col min="2" max="2" width="16" style="28" customWidth="1"/>
    <col min="3" max="3" width="15.28515625" style="28" customWidth="1"/>
    <col min="4" max="4" width="12.85546875" style="28" customWidth="1"/>
    <col min="5" max="5" width="8.7109375" style="28"/>
    <col min="6" max="6" width="9.7109375" style="28" customWidth="1"/>
    <col min="7" max="11" width="8.7109375" style="28"/>
    <col min="12" max="12" width="15.7109375" style="28" customWidth="1"/>
    <col min="13" max="13" width="15.85546875" style="28" customWidth="1"/>
    <col min="14" max="14" width="15.28515625" style="28" customWidth="1"/>
    <col min="15" max="15" width="12.85546875" style="28" customWidth="1"/>
    <col min="16" max="16" width="8.7109375" style="28"/>
    <col min="17" max="17" width="9.7109375" style="28" customWidth="1"/>
    <col min="18" max="16384" width="8.7109375" style="28"/>
  </cols>
  <sheetData>
    <row r="1" spans="1:21" x14ac:dyDescent="0.25">
      <c r="A1" s="27" t="s">
        <v>298</v>
      </c>
    </row>
    <row r="5" spans="1:21" ht="24" x14ac:dyDescent="0.3">
      <c r="A5" s="106" t="s">
        <v>279</v>
      </c>
      <c r="B5" s="49"/>
      <c r="C5" s="49"/>
      <c r="D5" s="47"/>
      <c r="E5" s="47"/>
      <c r="F5" s="47"/>
      <c r="G5" s="47"/>
      <c r="H5" s="47"/>
      <c r="I5" s="47"/>
      <c r="J5" s="47"/>
      <c r="K5" s="60"/>
      <c r="L5" s="270" t="s">
        <v>279</v>
      </c>
      <c r="M5" s="34"/>
      <c r="N5" s="34"/>
      <c r="O5" s="32"/>
      <c r="P5" s="32"/>
      <c r="Q5" s="32"/>
      <c r="R5" s="32"/>
      <c r="S5" s="32"/>
      <c r="T5" s="32"/>
      <c r="U5" s="32"/>
    </row>
    <row r="6" spans="1:21" ht="36.75" customHeight="1" x14ac:dyDescent="0.25">
      <c r="A6" s="219" t="s">
        <v>133</v>
      </c>
      <c r="B6" s="220"/>
      <c r="C6" s="220"/>
      <c r="D6" s="220"/>
      <c r="E6" s="220"/>
      <c r="F6" s="220"/>
      <c r="G6" s="220"/>
      <c r="H6" s="47"/>
      <c r="I6" s="47"/>
      <c r="J6" s="47"/>
      <c r="K6" s="60"/>
      <c r="L6" s="211" t="s">
        <v>133</v>
      </c>
      <c r="M6" s="210"/>
      <c r="N6" s="210"/>
      <c r="O6" s="210"/>
      <c r="P6" s="210"/>
      <c r="Q6" s="210"/>
      <c r="R6" s="210"/>
      <c r="S6" s="32"/>
      <c r="T6" s="32"/>
      <c r="U6" s="32"/>
    </row>
    <row r="7" spans="1:21" ht="16.5" x14ac:dyDescent="0.3">
      <c r="A7" s="47" t="s">
        <v>135</v>
      </c>
      <c r="B7" s="49"/>
      <c r="C7" s="127">
        <f>8*'Step 6'!B30</f>
        <v>66.880239838922662</v>
      </c>
      <c r="D7" s="47" t="s">
        <v>86</v>
      </c>
      <c r="E7" s="47"/>
      <c r="F7" s="47"/>
      <c r="G7" s="47"/>
      <c r="H7" s="47"/>
      <c r="I7" s="47"/>
      <c r="J7" s="47"/>
      <c r="K7" s="60"/>
      <c r="L7" s="32" t="s">
        <v>135</v>
      </c>
      <c r="M7" s="34"/>
      <c r="N7" s="87">
        <f>8*'Step 6'!M30</f>
        <v>66.880239734433346</v>
      </c>
      <c r="O7" s="32" t="s">
        <v>86</v>
      </c>
      <c r="P7" s="32"/>
      <c r="Q7" s="32"/>
      <c r="R7" s="32"/>
      <c r="S7" s="32"/>
      <c r="T7" s="32"/>
      <c r="U7" s="32"/>
    </row>
    <row r="8" spans="1:21" x14ac:dyDescent="0.25">
      <c r="A8" s="47" t="s">
        <v>136</v>
      </c>
      <c r="B8" s="49"/>
      <c r="C8" s="49"/>
      <c r="D8" s="117">
        <v>0.7</v>
      </c>
      <c r="E8" s="47" t="s">
        <v>74</v>
      </c>
      <c r="F8" s="47"/>
      <c r="G8" s="47"/>
      <c r="H8" s="47"/>
      <c r="I8" s="47"/>
      <c r="J8" s="47"/>
      <c r="K8" s="60"/>
      <c r="L8" s="32" t="s">
        <v>136</v>
      </c>
      <c r="M8" s="34"/>
      <c r="N8" s="34"/>
      <c r="O8" s="73">
        <v>0.7</v>
      </c>
      <c r="P8" s="32" t="s">
        <v>74</v>
      </c>
      <c r="Q8" s="32"/>
      <c r="R8" s="32"/>
      <c r="S8" s="32"/>
      <c r="T8" s="32"/>
      <c r="U8" s="32"/>
    </row>
    <row r="9" spans="1:21" x14ac:dyDescent="0.25">
      <c r="A9" s="47" t="s">
        <v>137</v>
      </c>
      <c r="B9" s="223">
        <f>'Step 6'!G7-D8</f>
        <v>16.399999999999999</v>
      </c>
      <c r="C9" s="47" t="s">
        <v>74</v>
      </c>
      <c r="D9" s="47"/>
      <c r="E9" s="47"/>
      <c r="F9" s="47"/>
      <c r="G9" s="47"/>
      <c r="H9" s="47"/>
      <c r="I9" s="47"/>
      <c r="J9" s="47"/>
      <c r="K9" s="60"/>
      <c r="L9" s="32" t="s">
        <v>137</v>
      </c>
      <c r="M9" s="214">
        <f>'Step 6'!R7-O8</f>
        <v>16.399999999999999</v>
      </c>
      <c r="N9" s="32" t="s">
        <v>74</v>
      </c>
      <c r="O9" s="32"/>
      <c r="P9" s="32"/>
      <c r="Q9" s="32"/>
      <c r="R9" s="32"/>
      <c r="S9" s="32"/>
      <c r="T9" s="32"/>
      <c r="U9" s="32"/>
    </row>
    <row r="10" spans="1:21" ht="16.5" x14ac:dyDescent="0.3">
      <c r="A10" s="47" t="s">
        <v>138</v>
      </c>
      <c r="B10" s="49"/>
      <c r="C10" s="133" t="str">
        <f>CONCATENATE(ROUND(C7,2)," / ",ROUND('Step 6'!B22+'Step 6'!B23+'Step 6'!B25+'Step 6'!B26+'Step 6'!B27+'Step 6'!B29*6+'Step 6'!B30*8,2)," * ",ROUND(B9,2)," = ")</f>
        <v xml:space="preserve">66.88 / 1121.85 * 16.4 = </v>
      </c>
      <c r="D10" s="134"/>
      <c r="E10" s="127">
        <f>C7/('Step 6'!B22+'Step 6'!B23+'Step 6'!B25+'Step 6'!B26+'Step 6'!B27+'Step 6'!B29*6+'Step 6'!B30*8) * B9</f>
        <v>0.9777035974495959</v>
      </c>
      <c r="F10" s="47" t="s">
        <v>74</v>
      </c>
      <c r="G10" s="47"/>
      <c r="H10" s="47"/>
      <c r="I10" s="47"/>
      <c r="J10" s="47"/>
      <c r="K10" s="60"/>
      <c r="L10" s="32" t="s">
        <v>138</v>
      </c>
      <c r="M10" s="34"/>
      <c r="N10" s="93" t="str">
        <f>CONCATENATE(ROUND(N7,2)," / ",ROUND('Step 6'!M22+'Step 6'!M23+'Step 6'!M25+'Step 6'!M26+'Step 6'!M27+'Step 6'!M29*6+'Step 6'!M30*8,2)," * ",ROUND(M9,2)," = ")</f>
        <v xml:space="preserve">66.88 / 1121.85 * 16.4 = </v>
      </c>
      <c r="O10" s="92"/>
      <c r="P10" s="87">
        <f>N7/('Step 6'!M22+'Step 6'!M23+'Step 6'!M25+'Step 6'!M26+'Step 6'!M27+'Step 6'!M29*6+'Step 6'!M30*8) * M9</f>
        <v>0.97770359598280476</v>
      </c>
      <c r="Q10" s="32" t="s">
        <v>74</v>
      </c>
      <c r="R10" s="32"/>
      <c r="S10" s="32"/>
      <c r="T10" s="32"/>
      <c r="U10" s="32"/>
    </row>
    <row r="11" spans="1:21" x14ac:dyDescent="0.25">
      <c r="A11" s="47"/>
      <c r="B11" s="56" t="s">
        <v>3</v>
      </c>
      <c r="C11" s="173">
        <f>E10*0.068</f>
        <v>6.648384462657253E-2</v>
      </c>
      <c r="D11" s="47" t="s">
        <v>111</v>
      </c>
      <c r="E11" s="47"/>
      <c r="F11" s="47"/>
      <c r="G11" s="47"/>
      <c r="H11" s="47"/>
      <c r="I11" s="47"/>
      <c r="J11" s="47"/>
      <c r="K11" s="60"/>
      <c r="L11" s="32"/>
      <c r="M11" s="41" t="s">
        <v>3</v>
      </c>
      <c r="N11" s="157">
        <f>P10*0.068</f>
        <v>6.6483844526830732E-2</v>
      </c>
      <c r="O11" s="32" t="s">
        <v>111</v>
      </c>
      <c r="P11" s="32"/>
      <c r="Q11" s="32"/>
      <c r="R11" s="32"/>
      <c r="S11" s="32"/>
      <c r="T11" s="32"/>
      <c r="U11" s="32"/>
    </row>
    <row r="12" spans="1:21" x14ac:dyDescent="0.25">
      <c r="A12" s="47" t="s">
        <v>226</v>
      </c>
      <c r="B12" s="49"/>
      <c r="C12" s="49"/>
      <c r="D12" s="47"/>
      <c r="E12" s="47"/>
      <c r="F12" s="195">
        <v>430</v>
      </c>
      <c r="G12" s="47" t="s">
        <v>32</v>
      </c>
      <c r="H12" s="47"/>
      <c r="I12" s="47"/>
      <c r="J12" s="47"/>
      <c r="K12" s="60"/>
      <c r="L12" s="32" t="s">
        <v>226</v>
      </c>
      <c r="M12" s="34"/>
      <c r="N12" s="34"/>
      <c r="O12" s="32"/>
      <c r="P12" s="32"/>
      <c r="Q12" s="179">
        <v>430</v>
      </c>
      <c r="R12" s="32" t="s">
        <v>32</v>
      </c>
      <c r="S12" s="32"/>
      <c r="T12" s="32"/>
      <c r="U12" s="32"/>
    </row>
    <row r="13" spans="1:21" x14ac:dyDescent="0.25">
      <c r="A13" s="47" t="s">
        <v>139</v>
      </c>
      <c r="B13" s="49"/>
      <c r="C13" s="49"/>
      <c r="D13" s="117">
        <v>30</v>
      </c>
      <c r="E13" s="47" t="s">
        <v>140</v>
      </c>
      <c r="F13" s="47"/>
      <c r="G13" s="47"/>
      <c r="H13" s="47"/>
      <c r="I13" s="47"/>
      <c r="J13" s="47"/>
      <c r="K13" s="60"/>
      <c r="L13" s="32" t="s">
        <v>139</v>
      </c>
      <c r="M13" s="34"/>
      <c r="N13" s="34"/>
      <c r="O13" s="73">
        <v>30</v>
      </c>
      <c r="P13" s="32" t="s">
        <v>140</v>
      </c>
      <c r="Q13" s="32"/>
      <c r="R13" s="32"/>
      <c r="S13" s="32"/>
      <c r="T13" s="32"/>
      <c r="U13" s="32"/>
    </row>
    <row r="14" spans="1:21" x14ac:dyDescent="0.25">
      <c r="A14" s="47" t="s">
        <v>141</v>
      </c>
      <c r="B14" s="49"/>
      <c r="C14" s="49"/>
      <c r="D14" s="56">
        <f>F12+D13</f>
        <v>460</v>
      </c>
      <c r="E14" s="47" t="s">
        <v>32</v>
      </c>
      <c r="F14" s="47"/>
      <c r="G14" s="47"/>
      <c r="H14" s="47"/>
      <c r="I14" s="47"/>
      <c r="J14" s="47"/>
      <c r="K14" s="60"/>
      <c r="L14" s="32" t="s">
        <v>141</v>
      </c>
      <c r="M14" s="34"/>
      <c r="N14" s="34"/>
      <c r="O14" s="41">
        <f>Q12+O13</f>
        <v>460</v>
      </c>
      <c r="P14" s="32" t="s">
        <v>32</v>
      </c>
      <c r="Q14" s="32"/>
      <c r="R14" s="32"/>
      <c r="S14" s="32"/>
      <c r="T14" s="32"/>
      <c r="U14" s="32"/>
    </row>
    <row r="15" spans="1:21" x14ac:dyDescent="0.25">
      <c r="A15" s="47"/>
      <c r="B15" s="49"/>
      <c r="C15" s="49"/>
      <c r="D15" s="47"/>
      <c r="E15" s="47"/>
      <c r="F15" s="47"/>
      <c r="G15" s="47"/>
      <c r="H15" s="47"/>
      <c r="I15" s="47"/>
      <c r="J15" s="47"/>
      <c r="K15" s="60"/>
      <c r="L15" s="32"/>
      <c r="M15" s="34"/>
      <c r="N15" s="34"/>
      <c r="O15" s="32"/>
      <c r="P15" s="32"/>
      <c r="Q15" s="32"/>
      <c r="R15" s="32"/>
      <c r="S15" s="32"/>
      <c r="T15" s="32"/>
      <c r="U15" s="32"/>
    </row>
    <row r="16" spans="1:21" x14ac:dyDescent="0.25">
      <c r="A16" s="47"/>
      <c r="B16" s="49"/>
      <c r="C16" s="50" t="s">
        <v>85</v>
      </c>
      <c r="D16" s="224">
        <f>D14</f>
        <v>460</v>
      </c>
      <c r="E16" s="225" t="s">
        <v>85</v>
      </c>
      <c r="F16" s="169">
        <f>'Step 6'!D8</f>
        <v>325</v>
      </c>
      <c r="G16" s="47" t="s">
        <v>32</v>
      </c>
      <c r="H16" s="47"/>
      <c r="I16" s="47"/>
      <c r="J16" s="47"/>
      <c r="K16" s="60"/>
      <c r="L16" s="32"/>
      <c r="M16" s="34"/>
      <c r="N16" s="35" t="s">
        <v>85</v>
      </c>
      <c r="O16" s="215">
        <f>O14</f>
        <v>460</v>
      </c>
      <c r="P16" s="216" t="s">
        <v>85</v>
      </c>
      <c r="Q16" s="152">
        <f>'Step 6'!O8</f>
        <v>325</v>
      </c>
      <c r="R16" s="32" t="s">
        <v>32</v>
      </c>
      <c r="S16" s="32"/>
      <c r="T16" s="32"/>
      <c r="U16" s="32"/>
    </row>
    <row r="17" spans="1:21" x14ac:dyDescent="0.25">
      <c r="A17" s="47"/>
      <c r="B17" s="50" t="s">
        <v>86</v>
      </c>
      <c r="C17" s="50" t="s">
        <v>87</v>
      </c>
      <c r="D17" s="50" t="s">
        <v>83</v>
      </c>
      <c r="E17" s="226"/>
      <c r="F17" s="50" t="s">
        <v>83</v>
      </c>
      <c r="G17" s="47"/>
      <c r="H17" s="47"/>
      <c r="I17" s="47"/>
      <c r="J17" s="47"/>
      <c r="K17" s="60"/>
      <c r="L17" s="32"/>
      <c r="M17" s="35" t="s">
        <v>86</v>
      </c>
      <c r="N17" s="35" t="s">
        <v>87</v>
      </c>
      <c r="O17" s="35" t="s">
        <v>83</v>
      </c>
      <c r="P17" s="217"/>
      <c r="Q17" s="35" t="s">
        <v>83</v>
      </c>
      <c r="R17" s="32"/>
      <c r="S17" s="32"/>
      <c r="T17" s="32"/>
      <c r="U17" s="32"/>
    </row>
    <row r="18" spans="1:21" ht="16.5" x14ac:dyDescent="0.3">
      <c r="A18" s="47" t="s">
        <v>41</v>
      </c>
      <c r="B18" s="115">
        <f>'Step 6'!B22</f>
        <v>18.40581813435567</v>
      </c>
      <c r="C18" s="136">
        <f>IF(ROUNDDOWN(D16,-2)=ROUNDUP(D16,-2),VLOOKUP(D16,Enthalpy,19),VLOOKUP(ROUNDDOWN(D16,-2),Enthalpy,19)+(D16-ROUNDDOWN(D16,-2))/(ROUNDUP(D16,-2)-ROUNDDOWN(D16,-2))*(VLOOKUP(ROUNDUP(D16,-2),Enthalpy,19)-VLOOKUP(ROUNDDOWN(D16,-2),Enthalpy,19)))</f>
        <v>3568</v>
      </c>
      <c r="D18" s="136">
        <f t="shared" ref="D18:D26" si="0">(B18*C18)</f>
        <v>65671.959103381028</v>
      </c>
      <c r="E18" s="136">
        <f>IF(ROUNDDOWN(F16,-2)=ROUNDUP(F16,-2),VLOOKUP(F16,Enthalpy,19),VLOOKUP(ROUNDDOWN(F16,-2),Enthalpy,19)+(F16-ROUNDDOWN(F16,-2))/(ROUNDUP(F16,-2)-ROUNDDOWN(F16,-2))*(VLOOKUP(ROUNDUP(F16,-2),Enthalpy,19)-VLOOKUP(ROUNDDOWN(F16,-2),Enthalpy,19)))</f>
        <v>2401</v>
      </c>
      <c r="F18" s="136">
        <f>B18*E18</f>
        <v>44192.36934058796</v>
      </c>
      <c r="G18" s="47"/>
      <c r="H18" s="47"/>
      <c r="I18" s="47"/>
      <c r="J18" s="47"/>
      <c r="K18" s="60"/>
      <c r="L18" s="32" t="s">
        <v>41</v>
      </c>
      <c r="M18" s="71">
        <f>'Step 6'!M22</f>
        <v>18.405818204015198</v>
      </c>
      <c r="N18" s="95">
        <f>IF(ROUNDDOWN(O16,-2)=ROUNDUP(O16,-2),VLOOKUP(O16,Enthalpy,19),VLOOKUP(ROUNDDOWN(O16,-2),Enthalpy,19)+(O16-ROUNDDOWN(O16,-2))/(ROUNDUP(O16,-2)-ROUNDDOWN(O16,-2))*(VLOOKUP(ROUNDUP(O16,-2),Enthalpy,19)-VLOOKUP(ROUNDDOWN(O16,-2),Enthalpy,19)))</f>
        <v>3568</v>
      </c>
      <c r="O18" s="95">
        <f t="shared" ref="O18:O23" si="1">(M18*N18)</f>
        <v>65671.959351926227</v>
      </c>
      <c r="P18" s="95">
        <f>IF(ROUNDDOWN(Q16,-2)=ROUNDUP(Q16,-2),VLOOKUP(Q16,Enthalpy,19),VLOOKUP(ROUNDDOWN(Q16,-2),Enthalpy,19)+(Q16-ROUNDDOWN(Q16,-2))/(ROUNDUP(Q16,-2)-ROUNDDOWN(Q16,-2))*(VLOOKUP(ROUNDUP(Q16,-2),Enthalpy,19)-VLOOKUP(ROUNDDOWN(Q16,-2),Enthalpy,19)))</f>
        <v>2401</v>
      </c>
      <c r="Q18" s="95">
        <f>M18*P18</f>
        <v>44192.369507840493</v>
      </c>
      <c r="R18" s="32"/>
      <c r="S18" s="32"/>
      <c r="T18" s="32"/>
      <c r="U18" s="32"/>
    </row>
    <row r="19" spans="1:21" ht="16.5" x14ac:dyDescent="0.3">
      <c r="A19" s="47" t="s">
        <v>44</v>
      </c>
      <c r="B19" s="115">
        <f>'Step 6'!B23</f>
        <v>159.09563336735241</v>
      </c>
      <c r="C19" s="136">
        <f>IF(ROUNDDOWN(D16,-2)=ROUNDUP(D16,-2),VLOOKUP(D16,Enthalpy,14),VLOOKUP(ROUNDDOWN(D16,-2),Enthalpy,14)+(D16-ROUNDDOWN(D16,-2))/(ROUNDUP(D16,-2)-ROUNDDOWN(D16,-2))*(VLOOKUP(ROUNDUP(D16,-2),Enthalpy,14)-VLOOKUP(ROUNDDOWN(D16,-2),Enthalpy,14)))</f>
        <v>4207.3999999999996</v>
      </c>
      <c r="D19" s="136">
        <f t="shared" si="0"/>
        <v>669378.96782979846</v>
      </c>
      <c r="E19" s="136">
        <f>IF(ROUNDDOWN(F16,-2)=ROUNDUP(F16,-2),VLOOKUP(F16,Enthalpy,14),VLOOKUP(ROUNDDOWN(F16,-2),Enthalpy,14)+(F16-ROUNDDOWN(F16,-2))/(ROUNDUP(F16,-2)-ROUNDDOWN(F16,-2))*(VLOOKUP(ROUNDUP(F16,-2),Enthalpy,14)-VLOOKUP(ROUNDDOWN(F16,-2),Enthalpy,14)))</f>
        <v>2792</v>
      </c>
      <c r="F19" s="136">
        <f t="shared" ref="F19:F26" si="2">B19*E19</f>
        <v>444195.0083616479</v>
      </c>
      <c r="G19" s="47"/>
      <c r="H19" s="47"/>
      <c r="I19" s="47"/>
      <c r="J19" s="47"/>
      <c r="K19" s="60"/>
      <c r="L19" s="32" t="s">
        <v>44</v>
      </c>
      <c r="M19" s="71">
        <f>'Step 6'!M23</f>
        <v>159.09563336735241</v>
      </c>
      <c r="N19" s="95">
        <f>IF(ROUNDDOWN(O16,-2)=ROUNDUP(O16,-2),VLOOKUP(O16,Enthalpy,14),VLOOKUP(ROUNDDOWN(O16,-2),Enthalpy,14)+(O16-ROUNDDOWN(O16,-2))/(ROUNDUP(O16,-2)-ROUNDDOWN(O16,-2))*(VLOOKUP(ROUNDUP(O16,-2),Enthalpy,14)-VLOOKUP(ROUNDDOWN(O16,-2),Enthalpy,14)))</f>
        <v>4207.3999999999996</v>
      </c>
      <c r="O19" s="95">
        <f t="shared" si="1"/>
        <v>669378.96782979846</v>
      </c>
      <c r="P19" s="95">
        <f>IF(ROUNDDOWN(Q16,-2)=ROUNDUP(Q16,-2),VLOOKUP(Q16,Enthalpy,14),VLOOKUP(ROUNDDOWN(Q16,-2),Enthalpy,14)+(Q16-ROUNDDOWN(Q16,-2))/(ROUNDUP(Q16,-2)-ROUNDDOWN(Q16,-2))*(VLOOKUP(ROUNDUP(Q16,-2),Enthalpy,14)-VLOOKUP(ROUNDDOWN(Q16,-2),Enthalpy,14)))</f>
        <v>2792</v>
      </c>
      <c r="Q19" s="95">
        <f t="shared" ref="Q19:Q26" si="3">M19*P19</f>
        <v>444195.0083616479</v>
      </c>
      <c r="R19" s="32"/>
      <c r="S19" s="32"/>
      <c r="T19" s="32"/>
      <c r="U19" s="32"/>
    </row>
    <row r="20" spans="1:21" ht="16.5" x14ac:dyDescent="0.3">
      <c r="A20" s="47" t="s">
        <v>212</v>
      </c>
      <c r="B20" s="115">
        <f>'Step 6'!B24</f>
        <v>16.300223504340146</v>
      </c>
      <c r="C20" s="136">
        <f>IF(ROUNDDOWN(D16,-2)=ROUNDUP(D16,-2),VLOOKUP(D16,Enthalpy,12),VLOOKUP(ROUNDDOWN(D16,-2),Enthalpy,12)+(D16-ROUNDDOWN(D16,-2))/(ROUNDUP(D16,-2)-ROUNDDOWN(D16,-2))*(VLOOKUP(ROUNDUP(D16,-2),Enthalpy,12)-VLOOKUP(ROUNDDOWN(D16,-2),Enthalpy,12)))</f>
        <v>2982.6</v>
      </c>
      <c r="D20" s="136">
        <f t="shared" si="0"/>
        <v>48617.046624044917</v>
      </c>
      <c r="E20" s="136">
        <f>IF(ROUNDDOWN(F16,-2)=ROUNDUP(F16,-2),VLOOKUP(F16,Enthalpy,12),VLOOKUP(ROUNDDOWN(F16,-2),Enthalpy,12)+(F16-ROUNDDOWN(F16,-2))/(ROUNDUP(F16,-2)-ROUNDDOWN(F16,-2))*(VLOOKUP(ROUNDUP(F16,-2),Enthalpy,12)-VLOOKUP(ROUNDDOWN(F16,-2),Enthalpy,12)))</f>
        <v>2043.75</v>
      </c>
      <c r="F20" s="136">
        <f t="shared" si="2"/>
        <v>33313.581786995172</v>
      </c>
      <c r="G20" s="47"/>
      <c r="H20" s="47"/>
      <c r="I20" s="47"/>
      <c r="J20" s="47"/>
      <c r="K20" s="60"/>
      <c r="L20" s="32" t="s">
        <v>212</v>
      </c>
      <c r="M20" s="71">
        <f>'Step 6'!M24</f>
        <v>16.300223504340146</v>
      </c>
      <c r="N20" s="95">
        <f>IF(ROUNDDOWN(O16,-2)=ROUNDUP(O16,-2),VLOOKUP(O16,Enthalpy,12),VLOOKUP(ROUNDDOWN(O16,-2),Enthalpy,12)+(O16-ROUNDDOWN(O16,-2))/(ROUNDUP(O16,-2)-ROUNDDOWN(O16,-2))*(VLOOKUP(ROUNDUP(O16,-2),Enthalpy,12)-VLOOKUP(ROUNDDOWN(O16,-2),Enthalpy,12)))</f>
        <v>2982.6</v>
      </c>
      <c r="O20" s="95">
        <f t="shared" si="1"/>
        <v>48617.046624044917</v>
      </c>
      <c r="P20" s="95">
        <f>IF(ROUNDDOWN(Q16,-2)=ROUNDUP(Q16,-2),VLOOKUP(Q16,Enthalpy,12),VLOOKUP(ROUNDDOWN(Q16,-2),Enthalpy,12)+(Q16-ROUNDDOWN(Q16,-2))/(ROUNDUP(Q16,-2)-ROUNDDOWN(Q16,-2))*(VLOOKUP(ROUNDUP(Q16,-2),Enthalpy,12)-VLOOKUP(ROUNDDOWN(Q16,-2),Enthalpy,12)))</f>
        <v>2043.75</v>
      </c>
      <c r="Q20" s="95">
        <f t="shared" si="3"/>
        <v>33313.581786995172</v>
      </c>
      <c r="R20" s="32"/>
      <c r="S20" s="32"/>
      <c r="T20" s="32"/>
      <c r="U20" s="32"/>
    </row>
    <row r="21" spans="1:21" ht="16.5" x14ac:dyDescent="0.3">
      <c r="A21" s="47" t="s">
        <v>47</v>
      </c>
      <c r="B21" s="115">
        <f>'Step 6'!B25</f>
        <v>316.28495993183424</v>
      </c>
      <c r="C21" s="136">
        <f>IF(ROUNDDOWN(D16,-2)=ROUNDUP(D16,-2),VLOOKUP(D16,Enthalpy,15),VLOOKUP(ROUNDDOWN(D16,-2),Enthalpy,15)+(D16-ROUNDDOWN(D16,-2))/(ROUNDUP(D16,-2)-ROUNDDOWN(D16,-2))*(VLOOKUP(ROUNDUP(D16,-2),Enthalpy,15)-VLOOKUP(ROUNDDOWN(D16,-2),Enthalpy,15)))</f>
        <v>3586.8</v>
      </c>
      <c r="D21" s="136">
        <f t="shared" si="0"/>
        <v>1134450.8942835031</v>
      </c>
      <c r="E21" s="136">
        <f>IF(ROUNDDOWN(F16,-2)=ROUNDUP(F16,-2),VLOOKUP(F16,Enthalpy,15),VLOOKUP(ROUNDDOWN(F16,-2),Enthalpy,15)+(F16-ROUNDDOWN(F16,-2))/(ROUNDUP(F16,-2)-ROUNDDOWN(F16,-2))*(VLOOKUP(ROUNDUP(F16,-2),Enthalpy,15)-VLOOKUP(ROUNDDOWN(F16,-2),Enthalpy,15)))</f>
        <v>2439.75</v>
      </c>
      <c r="F21" s="136">
        <f t="shared" si="2"/>
        <v>771656.23099369253</v>
      </c>
      <c r="G21" s="47"/>
      <c r="H21" s="47"/>
      <c r="I21" s="47"/>
      <c r="J21" s="47"/>
      <c r="K21" s="60"/>
      <c r="L21" s="32" t="s">
        <v>47</v>
      </c>
      <c r="M21" s="71">
        <f>'Step 6'!M25</f>
        <v>316.28495986217479</v>
      </c>
      <c r="N21" s="95">
        <f>IF(ROUNDDOWN(O16,-2)=ROUNDUP(O16,-2),VLOOKUP(O16,Enthalpy,15),VLOOKUP(ROUNDDOWN(O16,-2),Enthalpy,15)+(O16-ROUNDDOWN(O16,-2))/(ROUNDUP(O16,-2)-ROUNDDOWN(O16,-2))*(VLOOKUP(ROUNDUP(O16,-2),Enthalpy,15)-VLOOKUP(ROUNDDOWN(O16,-2),Enthalpy,15)))</f>
        <v>3586.8</v>
      </c>
      <c r="O21" s="95">
        <f t="shared" si="1"/>
        <v>1134450.8940336485</v>
      </c>
      <c r="P21" s="95">
        <f>IF(ROUNDDOWN(Q16,-2)=ROUNDUP(Q16,-2),VLOOKUP(Q16,Enthalpy,15),VLOOKUP(ROUNDDOWN(Q16,-2),Enthalpy,15)+(Q16-ROUNDDOWN(Q16,-2))/(ROUNDUP(Q16,-2)-ROUNDDOWN(Q16,-2))*(VLOOKUP(ROUNDUP(Q16,-2),Enthalpy,15)-VLOOKUP(ROUNDDOWN(Q16,-2),Enthalpy,15)))</f>
        <v>2439.75</v>
      </c>
      <c r="Q21" s="95">
        <f t="shared" si="3"/>
        <v>771656.23082374095</v>
      </c>
      <c r="R21" s="32"/>
      <c r="S21" s="32"/>
      <c r="T21" s="32"/>
      <c r="U21" s="32"/>
    </row>
    <row r="22" spans="1:21" ht="16.5" x14ac:dyDescent="0.3">
      <c r="A22" s="47" t="s">
        <v>67</v>
      </c>
      <c r="B22" s="115">
        <f>'Step 6'!B26</f>
        <v>9.2029090671778349</v>
      </c>
      <c r="C22" s="136">
        <f>IF(ROUNDDOWN(D16,-2)=ROUNDUP(D16,-2),VLOOKUP(D16,Enthalpy,17),VLOOKUP(ROUNDDOWN(D16,-2),Enthalpy,17)+(D16-ROUNDDOWN(D16,-2))/(ROUNDUP(D16,-2)-ROUNDDOWN(D16,-2))*(VLOOKUP(ROUNDUP(D16,-2),Enthalpy,17)-VLOOKUP(ROUNDDOWN(D16,-2),Enthalpy,17)))</f>
        <v>4506.2</v>
      </c>
      <c r="D22" s="136">
        <f t="shared" si="0"/>
        <v>41470.148838516761</v>
      </c>
      <c r="E22" s="136">
        <f>IF(ROUNDDOWN(F16,-2)=ROUNDUP(F16,-2),VLOOKUP(F16,Enthalpy,17),VLOOKUP(ROUNDDOWN(F16,-2),Enthalpy,17)+(F16-ROUNDDOWN(F16,-2))/(ROUNDUP(F16,-2)-ROUNDDOWN(F16,-2))*(VLOOKUP(ROUNDUP(F16,-2),Enthalpy,17)-VLOOKUP(ROUNDDOWN(F16,-2),Enthalpy,17)))</f>
        <v>2996</v>
      </c>
      <c r="F22" s="136">
        <f t="shared" si="2"/>
        <v>27571.915565264793</v>
      </c>
      <c r="G22" s="47"/>
      <c r="H22" s="47"/>
      <c r="I22" s="47"/>
      <c r="J22" s="47"/>
      <c r="K22" s="60"/>
      <c r="L22" s="32" t="s">
        <v>67</v>
      </c>
      <c r="M22" s="71">
        <f>'Step 6'!M26</f>
        <v>9.2029091020075988</v>
      </c>
      <c r="N22" s="95">
        <f>IF(ROUNDDOWN(O16,-2)=ROUNDUP(O16,-2),VLOOKUP(O16,Enthalpy,17),VLOOKUP(ROUNDDOWN(O16,-2),Enthalpy,17)+(O16-ROUNDDOWN(O16,-2))/(ROUNDUP(O16,-2)-ROUNDDOWN(O16,-2))*(VLOOKUP(ROUNDUP(O16,-2),Enthalpy,17)-VLOOKUP(ROUNDDOWN(O16,-2),Enthalpy,17)))</f>
        <v>4506.2</v>
      </c>
      <c r="O22" s="95">
        <f t="shared" si="1"/>
        <v>41470.148995466639</v>
      </c>
      <c r="P22" s="95">
        <f>IF(ROUNDDOWN(Q16,-2)=ROUNDUP(Q16,-2),VLOOKUP(Q16,Enthalpy,17),VLOOKUP(ROUNDDOWN(Q16,-2),Enthalpy,17)+(Q16-ROUNDDOWN(Q16,-2))/(ROUNDUP(Q16,-2)-ROUNDDOWN(Q16,-2))*(VLOOKUP(ROUNDUP(Q16,-2),Enthalpy,17)-VLOOKUP(ROUNDDOWN(Q16,-2),Enthalpy,17)))</f>
        <v>2996</v>
      </c>
      <c r="Q22" s="95">
        <f t="shared" si="3"/>
        <v>27571.915669614766</v>
      </c>
      <c r="R22" s="32"/>
      <c r="S22" s="32"/>
      <c r="T22" s="32"/>
      <c r="U22" s="32"/>
    </row>
    <row r="23" spans="1:21" ht="16.5" x14ac:dyDescent="0.3">
      <c r="A23" s="47" t="s">
        <v>68</v>
      </c>
      <c r="B23" s="115">
        <f>'Step 6'!B27</f>
        <v>551.97957289408987</v>
      </c>
      <c r="C23" s="136">
        <f>IF(ROUNDDOWN(D16,-2)=ROUNDUP(D16,-2),VLOOKUP(D16,Enthalpy,9),VLOOKUP(ROUNDDOWN(D16,-2),Enthalpy,9)+(D16-ROUNDDOWN(D16,-2))/(ROUNDUP(D16,-2)-ROUNDDOWN(D16,-2))*(VLOOKUP(ROUNDUP(D16,-2),Enthalpy,9)-VLOOKUP(ROUNDDOWN(D16,-2),Enthalpy,9)))</f>
        <v>3001.8</v>
      </c>
      <c r="D23" s="136">
        <f t="shared" si="0"/>
        <v>1656932.2819134791</v>
      </c>
      <c r="E23" s="136">
        <f>IF(ROUNDDOWN(F16,-2)=ROUNDUP(F16,-2),VLOOKUP(F16,Enthalpy,9),VLOOKUP(ROUNDDOWN(F16,-2),Enthalpy,9)+(F16-ROUNDDOWN(F16,-2))/(ROUNDUP(F16,-2)-ROUNDDOWN(F16,-2))*(VLOOKUP(ROUNDUP(F16,-2),Enthalpy,9)-VLOOKUP(ROUNDDOWN(F16,-2),Enthalpy,9)))</f>
        <v>2049</v>
      </c>
      <c r="F23" s="136">
        <f t="shared" si="2"/>
        <v>1131006.1448599901</v>
      </c>
      <c r="G23" s="47"/>
      <c r="H23" s="47"/>
      <c r="I23" s="47"/>
      <c r="J23" s="47"/>
      <c r="K23" s="60"/>
      <c r="L23" s="32" t="s">
        <v>68</v>
      </c>
      <c r="M23" s="71">
        <f>'Step 6'!M27</f>
        <v>551.97957289408987</v>
      </c>
      <c r="N23" s="95">
        <f>IF(ROUNDDOWN(O16,-2)=ROUNDUP(O16,-2),VLOOKUP(O16,Enthalpy,9),VLOOKUP(ROUNDDOWN(O16,-2),Enthalpy,9)+(O16-ROUNDDOWN(O16,-2))/(ROUNDUP(O16,-2)-ROUNDDOWN(O16,-2))*(VLOOKUP(ROUNDUP(O16,-2),Enthalpy,9)-VLOOKUP(ROUNDDOWN(O16,-2),Enthalpy,9)))</f>
        <v>3001.8</v>
      </c>
      <c r="O23" s="95">
        <f t="shared" si="1"/>
        <v>1656932.2819134791</v>
      </c>
      <c r="P23" s="95">
        <f>IF(ROUNDDOWN(Q16,-2)=ROUNDUP(Q16,-2),VLOOKUP(Q16,Enthalpy,9),VLOOKUP(ROUNDDOWN(Q16,-2),Enthalpy,9)+(Q16-ROUNDDOWN(Q16,-2))/(ROUNDUP(Q16,-2)-ROUNDDOWN(Q16,-2))*(VLOOKUP(ROUNDUP(Q16,-2),Enthalpy,9)-VLOOKUP(ROUNDDOWN(Q16,-2),Enthalpy,9)))</f>
        <v>2049</v>
      </c>
      <c r="Q23" s="95">
        <f t="shared" si="3"/>
        <v>1131006.1448599901</v>
      </c>
      <c r="R23" s="32"/>
      <c r="S23" s="32"/>
      <c r="T23" s="32"/>
      <c r="U23" s="32"/>
    </row>
    <row r="24" spans="1:21" ht="16.5" x14ac:dyDescent="0.3">
      <c r="A24" s="206" t="s">
        <v>121</v>
      </c>
      <c r="B24" s="115"/>
      <c r="C24" s="136"/>
      <c r="D24" s="136"/>
      <c r="E24" s="136"/>
      <c r="F24" s="136"/>
      <c r="G24" s="47"/>
      <c r="H24" s="47"/>
      <c r="I24" s="47"/>
      <c r="J24" s="47"/>
      <c r="K24" s="60"/>
      <c r="L24" s="190" t="s">
        <v>121</v>
      </c>
      <c r="M24" s="71"/>
      <c r="N24" s="95"/>
      <c r="O24" s="95"/>
      <c r="P24" s="95"/>
      <c r="Q24" s="95"/>
      <c r="R24" s="32"/>
      <c r="S24" s="32"/>
      <c r="T24" s="32"/>
      <c r="U24" s="32"/>
    </row>
    <row r="25" spans="1:21" ht="16.5" x14ac:dyDescent="0.3">
      <c r="A25" s="206" t="s">
        <v>123</v>
      </c>
      <c r="B25" s="115"/>
      <c r="C25" s="136"/>
      <c r="D25" s="136"/>
      <c r="E25" s="136"/>
      <c r="F25" s="136"/>
      <c r="G25" s="47"/>
      <c r="H25" s="47"/>
      <c r="I25" s="47"/>
      <c r="J25" s="47"/>
      <c r="K25" s="60"/>
      <c r="L25" s="190" t="s">
        <v>123</v>
      </c>
      <c r="M25" s="71"/>
      <c r="N25" s="95"/>
      <c r="O25" s="95"/>
      <c r="P25" s="95"/>
      <c r="Q25" s="95"/>
      <c r="R25" s="32"/>
      <c r="S25" s="32"/>
      <c r="T25" s="32"/>
      <c r="U25" s="32"/>
    </row>
    <row r="26" spans="1:21" ht="16.5" x14ac:dyDescent="0.3">
      <c r="A26" s="206" t="s">
        <v>125</v>
      </c>
      <c r="B26" s="277">
        <f>'Step 6'!B14</f>
        <v>0.50674314786433416</v>
      </c>
      <c r="C26" s="136">
        <f>IF(ROUNDDOWN(D16,-2)=ROUNDUP(D16,-2),VLOOKUP(D16,Enthalpy,23),VLOOKUP(ROUNDDOWN(D16,-2),Enthalpy,23)+(D16-ROUNDDOWN(D16,-2))/(ROUNDUP(D16,-2)-ROUNDDOWN(D16,-2))*(VLOOKUP(ROUNDUP(D16,-2),Enthalpy,23)-VLOOKUP(ROUNDDOWN(D16,-2),Enthalpy,23)))</f>
        <v>16920</v>
      </c>
      <c r="D26" s="137">
        <f t="shared" si="0"/>
        <v>8574.0940618645345</v>
      </c>
      <c r="E26" s="136">
        <f>IF(ROUNDDOWN(F16,-2)=ROUNDUP(F16,-2),VLOOKUP(F16,Enthalpy,23),VLOOKUP(ROUNDDOWN(F16,-2),Enthalpy,23)+(F16-ROUNDDOWN(F16,-2))/(ROUNDUP(F16,-2)-ROUNDDOWN(F16,-2))*(VLOOKUP(ROUNDUP(F16,-2),Enthalpy,23)-VLOOKUP(ROUNDDOWN(F16,-2),Enthalpy,23)))</f>
        <v>11377.5</v>
      </c>
      <c r="F26" s="137">
        <f t="shared" si="2"/>
        <v>5765.4701648264618</v>
      </c>
      <c r="G26" s="47"/>
      <c r="H26" s="47"/>
      <c r="I26" s="47"/>
      <c r="J26" s="47"/>
      <c r="K26" s="60"/>
      <c r="L26" s="190" t="s">
        <v>125</v>
      </c>
      <c r="M26" s="100">
        <f>'Step 6'!M14</f>
        <v>0.50674314788080976</v>
      </c>
      <c r="N26" s="95">
        <f>IF(ROUNDDOWN(O16,-2)=ROUNDUP(O16,-2),VLOOKUP(O16,Enthalpy,23),VLOOKUP(ROUNDDOWN(O16,-2),Enthalpy,23)+(O16-ROUNDDOWN(O16,-2))/(ROUNDUP(O16,-2)-ROUNDDOWN(O16,-2))*(VLOOKUP(ROUNDUP(O16,-2),Enthalpy,23)-VLOOKUP(ROUNDDOWN(O16,-2),Enthalpy,23)))</f>
        <v>16920</v>
      </c>
      <c r="O26" s="103">
        <f>(M26*N26)</f>
        <v>8574.0940621433019</v>
      </c>
      <c r="P26" s="95">
        <f>IF(ROUNDDOWN(Q16,-2)=ROUNDUP(Q16,-2),VLOOKUP(Q16,Enthalpy,23),VLOOKUP(ROUNDDOWN(Q16,-2),Enthalpy,23)+(Q16-ROUNDDOWN(Q16,-2))/(ROUNDUP(Q16,-2)-ROUNDDOWN(Q16,-2))*(VLOOKUP(ROUNDUP(Q16,-2),Enthalpy,23)-VLOOKUP(ROUNDDOWN(Q16,-2),Enthalpy,23)))</f>
        <v>11377.5</v>
      </c>
      <c r="Q26" s="97">
        <f t="shared" si="3"/>
        <v>5765.4701650139132</v>
      </c>
      <c r="R26" s="32"/>
      <c r="S26" s="32"/>
      <c r="T26" s="32"/>
      <c r="U26" s="32"/>
    </row>
    <row r="27" spans="1:21" x14ac:dyDescent="0.25">
      <c r="A27" s="47"/>
      <c r="B27" s="115">
        <f>SUM(B18:B26)</f>
        <v>1071.7758600470145</v>
      </c>
      <c r="C27" s="56"/>
      <c r="D27" s="136">
        <f>SUM(D18:D26)</f>
        <v>3625095.3926545875</v>
      </c>
      <c r="E27" s="56"/>
      <c r="F27" s="136">
        <f>SUM(F18:F26)</f>
        <v>2457700.7210730049</v>
      </c>
      <c r="G27" s="47"/>
      <c r="H27" s="47"/>
      <c r="I27" s="47"/>
      <c r="J27" s="47"/>
      <c r="K27" s="60"/>
      <c r="L27" s="32"/>
      <c r="M27" s="71">
        <f>SUM(M18:M26)</f>
        <v>1071.7758600818609</v>
      </c>
      <c r="N27" s="41"/>
      <c r="O27" s="95">
        <f>SUM(O18:O26)</f>
        <v>3625095.3928105072</v>
      </c>
      <c r="P27" s="41"/>
      <c r="Q27" s="95">
        <f>SUM(Q18:Q26)</f>
        <v>2457700.7211748431</v>
      </c>
      <c r="R27" s="32"/>
      <c r="S27" s="32"/>
      <c r="T27" s="32"/>
      <c r="U27" s="32"/>
    </row>
    <row r="28" spans="1:21" ht="15.75" thickBot="1" x14ac:dyDescent="0.3">
      <c r="A28" s="47"/>
      <c r="B28" s="49"/>
      <c r="C28" s="49"/>
      <c r="D28" s="47"/>
      <c r="E28" s="47"/>
      <c r="F28" s="47"/>
      <c r="G28" s="47"/>
      <c r="H28" s="47"/>
      <c r="I28" s="47"/>
      <c r="J28" s="47"/>
      <c r="L28" s="32"/>
      <c r="M28" s="34"/>
      <c r="N28" s="34"/>
      <c r="O28" s="32"/>
      <c r="P28" s="32"/>
      <c r="Q28" s="32"/>
      <c r="R28" s="32"/>
      <c r="S28" s="32"/>
      <c r="T28" s="32"/>
      <c r="U28" s="32"/>
    </row>
    <row r="29" spans="1:21" ht="15.75" thickBot="1" x14ac:dyDescent="0.3">
      <c r="A29" s="47"/>
      <c r="B29" s="56" t="s">
        <v>145</v>
      </c>
      <c r="C29" s="172">
        <f>D27-F27</f>
        <v>1167394.6715815826</v>
      </c>
      <c r="D29" s="110" t="s">
        <v>83</v>
      </c>
      <c r="E29" s="47"/>
      <c r="F29" s="47"/>
      <c r="G29" s="47"/>
      <c r="H29" s="47"/>
      <c r="I29" s="47"/>
      <c r="J29" s="47"/>
      <c r="L29" s="32"/>
      <c r="M29" s="41" t="s">
        <v>145</v>
      </c>
      <c r="N29" s="156">
        <f>O27-Q27</f>
        <v>1167394.6716356641</v>
      </c>
      <c r="O29" s="66" t="s">
        <v>83</v>
      </c>
      <c r="P29" s="32"/>
      <c r="Q29" s="32"/>
      <c r="R29" s="32"/>
      <c r="S29" s="32"/>
      <c r="T29" s="32"/>
      <c r="U29" s="32"/>
    </row>
    <row r="30" spans="1:21" x14ac:dyDescent="0.25">
      <c r="A30" s="47"/>
      <c r="B30" s="49"/>
      <c r="C30" s="49"/>
      <c r="D30" s="47"/>
      <c r="E30" s="47"/>
      <c r="F30" s="47"/>
      <c r="G30" s="47"/>
      <c r="H30" s="47"/>
      <c r="I30" s="47"/>
      <c r="J30" s="47"/>
      <c r="L30" s="32"/>
      <c r="M30" s="34"/>
      <c r="N30" s="34"/>
      <c r="O30" s="32"/>
      <c r="P30" s="32"/>
      <c r="Q30" s="32"/>
      <c r="R30" s="32"/>
      <c r="S30" s="32"/>
      <c r="T30" s="32"/>
      <c r="U30" s="32"/>
    </row>
    <row r="32" spans="1:21" x14ac:dyDescent="0.25">
      <c r="A32" s="44" t="s">
        <v>307</v>
      </c>
    </row>
    <row r="33" spans="1:1" x14ac:dyDescent="0.25">
      <c r="A33" s="44" t="s">
        <v>303</v>
      </c>
    </row>
    <row r="34" spans="1:1" x14ac:dyDescent="0.25">
      <c r="A34" s="44" t="s">
        <v>304</v>
      </c>
    </row>
    <row r="35" spans="1:1" x14ac:dyDescent="0.25">
      <c r="A35" s="44" t="s">
        <v>305</v>
      </c>
    </row>
    <row r="36" spans="1:1" x14ac:dyDescent="0.25">
      <c r="A36" s="45" t="s">
        <v>306</v>
      </c>
    </row>
  </sheetData>
  <sheetProtection password="E156" sheet="1" objects="1" scenarios="1"/>
  <mergeCells count="4">
    <mergeCell ref="A6:G6"/>
    <mergeCell ref="C10:D10"/>
    <mergeCell ref="L6:R6"/>
    <mergeCell ref="N10:O10"/>
  </mergeCells>
  <pageMargins left="0.7" right="0.7" top="0.75" bottom="0.75" header="0.51180555555555551" footer="0.51180555555555551"/>
  <pageSetup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U142"/>
  <sheetViews>
    <sheetView zoomScaleNormal="100" workbookViewId="0">
      <selection activeCell="G3" sqref="G3"/>
    </sheetView>
  </sheetViews>
  <sheetFormatPr defaultRowHeight="15" x14ac:dyDescent="0.25"/>
  <cols>
    <col min="1" max="1" width="14.85546875" style="230" customWidth="1"/>
    <col min="2" max="2" width="14.140625" style="230" customWidth="1"/>
    <col min="3" max="3" width="15.28515625" style="230" customWidth="1"/>
    <col min="4" max="4" width="15.5703125" style="230" customWidth="1"/>
    <col min="5" max="5" width="15.28515625" style="230" customWidth="1"/>
    <col min="6" max="6" width="12.42578125" style="230" customWidth="1"/>
    <col min="7" max="11" width="9.140625" style="230"/>
    <col min="12" max="12" width="14.85546875" style="230" customWidth="1"/>
    <col min="13" max="13" width="14" style="230" customWidth="1"/>
    <col min="14" max="14" width="15.28515625" style="230" customWidth="1"/>
    <col min="15" max="15" width="15.42578125" style="230" customWidth="1"/>
    <col min="16" max="16" width="15.28515625" style="230" customWidth="1"/>
    <col min="17" max="17" width="12.42578125" style="230" customWidth="1"/>
    <col min="18" max="16384" width="9.140625" style="230"/>
  </cols>
  <sheetData>
    <row r="1" spans="1:21" x14ac:dyDescent="0.25">
      <c r="A1" s="27" t="s">
        <v>298</v>
      </c>
    </row>
    <row r="5" spans="1:21" ht="24" x14ac:dyDescent="0.3">
      <c r="A5" s="106" t="s">
        <v>280</v>
      </c>
      <c r="B5" s="49"/>
      <c r="C5" s="49"/>
      <c r="D5" s="47"/>
      <c r="E5" s="47"/>
      <c r="F5" s="47"/>
      <c r="G5" s="47"/>
      <c r="H5" s="47"/>
      <c r="I5" s="47"/>
      <c r="J5" s="47"/>
      <c r="K5" s="60"/>
      <c r="L5" s="270" t="s">
        <v>280</v>
      </c>
      <c r="M5" s="34"/>
      <c r="N5" s="34"/>
      <c r="O5" s="32"/>
      <c r="P5" s="32"/>
      <c r="Q5" s="32"/>
      <c r="R5" s="32"/>
      <c r="S5" s="32"/>
      <c r="T5" s="32"/>
      <c r="U5" s="32"/>
    </row>
    <row r="6" spans="1:21" ht="30" customHeight="1" x14ac:dyDescent="0.25">
      <c r="A6" s="119" t="s">
        <v>146</v>
      </c>
      <c r="B6" s="120"/>
      <c r="C6" s="120"/>
      <c r="D6" s="120"/>
      <c r="E6" s="120"/>
      <c r="F6" s="120"/>
      <c r="G6" s="120"/>
      <c r="H6" s="47"/>
      <c r="I6" s="47"/>
      <c r="J6" s="47"/>
      <c r="K6" s="60"/>
      <c r="L6" s="76" t="s">
        <v>146</v>
      </c>
      <c r="M6" s="75"/>
      <c r="N6" s="75"/>
      <c r="O6" s="75"/>
      <c r="P6" s="75"/>
      <c r="Q6" s="75"/>
      <c r="R6" s="75"/>
      <c r="S6" s="32"/>
      <c r="T6" s="32"/>
      <c r="U6" s="32"/>
    </row>
    <row r="7" spans="1:21" ht="16.5" x14ac:dyDescent="0.3">
      <c r="A7" s="47" t="s">
        <v>297</v>
      </c>
      <c r="B7" s="49"/>
      <c r="C7" s="49"/>
      <c r="D7" s="47"/>
      <c r="E7" s="47"/>
      <c r="F7" s="47"/>
      <c r="G7" s="47"/>
      <c r="H7" s="47"/>
      <c r="I7" s="47"/>
      <c r="J7" s="47"/>
      <c r="K7" s="60"/>
      <c r="L7" s="32" t="s">
        <v>297</v>
      </c>
      <c r="M7" s="34"/>
      <c r="N7" s="34"/>
      <c r="O7" s="32"/>
      <c r="P7" s="32"/>
      <c r="Q7" s="32"/>
      <c r="R7" s="32"/>
      <c r="S7" s="32"/>
      <c r="T7" s="32"/>
      <c r="U7" s="32"/>
    </row>
    <row r="8" spans="1:21" ht="16.5" x14ac:dyDescent="0.3">
      <c r="A8" s="47" t="s">
        <v>147</v>
      </c>
      <c r="B8" s="49"/>
      <c r="C8" s="49"/>
      <c r="D8" s="47"/>
      <c r="E8" s="47"/>
      <c r="F8" s="47"/>
      <c r="G8" s="47"/>
      <c r="H8" s="47"/>
      <c r="I8" s="47"/>
      <c r="J8" s="47"/>
      <c r="K8" s="60"/>
      <c r="L8" s="32" t="s">
        <v>147</v>
      </c>
      <c r="M8" s="34"/>
      <c r="N8" s="34"/>
      <c r="O8" s="32"/>
      <c r="P8" s="32"/>
      <c r="Q8" s="32"/>
      <c r="R8" s="32"/>
      <c r="S8" s="32"/>
      <c r="T8" s="32"/>
      <c r="U8" s="32"/>
    </row>
    <row r="9" spans="1:21" ht="16.5" x14ac:dyDescent="0.3">
      <c r="A9" s="47"/>
      <c r="B9" s="47" t="s">
        <v>148</v>
      </c>
      <c r="C9" s="49"/>
      <c r="D9" s="47"/>
      <c r="E9" s="47"/>
      <c r="F9" s="47"/>
      <c r="G9" s="47"/>
      <c r="H9" s="47"/>
      <c r="I9" s="47"/>
      <c r="J9" s="47"/>
      <c r="K9" s="60"/>
      <c r="L9" s="32"/>
      <c r="M9" s="32" t="s">
        <v>148</v>
      </c>
      <c r="N9" s="34"/>
      <c r="O9" s="32"/>
      <c r="P9" s="32"/>
      <c r="Q9" s="32"/>
      <c r="R9" s="32"/>
      <c r="S9" s="32"/>
      <c r="T9" s="32"/>
      <c r="U9" s="32"/>
    </row>
    <row r="10" spans="1:21" x14ac:dyDescent="0.25">
      <c r="A10" s="47"/>
      <c r="B10" s="47" t="s">
        <v>149</v>
      </c>
      <c r="C10" s="49"/>
      <c r="D10" s="47"/>
      <c r="E10" s="47"/>
      <c r="F10" s="47"/>
      <c r="G10" s="47"/>
      <c r="H10" s="47"/>
      <c r="I10" s="47"/>
      <c r="J10" s="47"/>
      <c r="K10" s="60"/>
      <c r="L10" s="32"/>
      <c r="M10" s="32" t="s">
        <v>149</v>
      </c>
      <c r="N10" s="34"/>
      <c r="O10" s="32"/>
      <c r="P10" s="32"/>
      <c r="Q10" s="32"/>
      <c r="R10" s="32"/>
      <c r="S10" s="32"/>
      <c r="T10" s="32"/>
      <c r="U10" s="32"/>
    </row>
    <row r="11" spans="1:21" x14ac:dyDescent="0.25">
      <c r="A11" s="56" t="s">
        <v>150</v>
      </c>
      <c r="B11" s="49" t="s">
        <v>3</v>
      </c>
      <c r="C11" s="136">
        <f>'Step 5'!C11</f>
        <v>-46470</v>
      </c>
      <c r="D11" s="47" t="s">
        <v>53</v>
      </c>
      <c r="E11" s="164" t="s">
        <v>220</v>
      </c>
      <c r="F11" s="47"/>
      <c r="G11" s="47"/>
      <c r="H11" s="47"/>
      <c r="I11" s="47"/>
      <c r="J11" s="47"/>
      <c r="K11" s="60"/>
      <c r="L11" s="41" t="s">
        <v>150</v>
      </c>
      <c r="M11" s="34" t="s">
        <v>3</v>
      </c>
      <c r="N11" s="95">
        <f>'Step 5'!N11</f>
        <v>-46470</v>
      </c>
      <c r="O11" s="32" t="s">
        <v>53</v>
      </c>
      <c r="P11" s="147" t="s">
        <v>220</v>
      </c>
      <c r="Q11" s="32"/>
      <c r="R11" s="32"/>
      <c r="S11" s="32"/>
      <c r="T11" s="32"/>
      <c r="U11" s="32"/>
    </row>
    <row r="12" spans="1:21" x14ac:dyDescent="0.25">
      <c r="A12" s="47"/>
      <c r="B12" s="49"/>
      <c r="C12" s="49"/>
      <c r="D12" s="47"/>
      <c r="E12" s="47"/>
      <c r="F12" s="47"/>
      <c r="G12" s="47"/>
      <c r="H12" s="47"/>
      <c r="I12" s="47"/>
      <c r="J12" s="47"/>
      <c r="K12" s="60"/>
      <c r="L12" s="32"/>
      <c r="M12" s="34"/>
      <c r="N12" s="34"/>
      <c r="O12" s="32"/>
      <c r="P12" s="32"/>
      <c r="Q12" s="32"/>
      <c r="R12" s="32"/>
      <c r="S12" s="32"/>
      <c r="T12" s="32"/>
      <c r="U12" s="32"/>
    </row>
    <row r="13" spans="1:21" x14ac:dyDescent="0.25">
      <c r="A13" s="47"/>
      <c r="B13" s="56" t="str">
        <f>CONCATENATE("Feed Gas @ ", 'Step 7'!D16, "°F")</f>
        <v>Feed Gas @ 460°F</v>
      </c>
      <c r="C13" s="133" t="s">
        <v>151</v>
      </c>
      <c r="D13" s="134"/>
      <c r="E13" s="47"/>
      <c r="F13" s="47"/>
      <c r="G13" s="47"/>
      <c r="H13" s="47"/>
      <c r="I13" s="47"/>
      <c r="J13" s="47"/>
      <c r="K13" s="60"/>
      <c r="L13" s="32"/>
      <c r="M13" s="41" t="str">
        <f>CONCATENATE("Feed Gas @ ", 'Step 7'!O16, "°F")</f>
        <v>Feed Gas @ 460°F</v>
      </c>
      <c r="N13" s="93" t="s">
        <v>151</v>
      </c>
      <c r="O13" s="92"/>
      <c r="P13" s="32"/>
      <c r="Q13" s="32"/>
      <c r="R13" s="32"/>
      <c r="S13" s="32"/>
      <c r="T13" s="32"/>
      <c r="U13" s="32"/>
    </row>
    <row r="14" spans="1:21" x14ac:dyDescent="0.25">
      <c r="A14" s="47"/>
      <c r="B14" s="169" t="s">
        <v>86</v>
      </c>
      <c r="C14" s="252" t="s">
        <v>86</v>
      </c>
      <c r="D14" s="253"/>
      <c r="E14" s="47"/>
      <c r="F14" s="47"/>
      <c r="G14" s="47"/>
      <c r="H14" s="47"/>
      <c r="I14" s="47"/>
      <c r="J14" s="47"/>
      <c r="K14" s="60"/>
      <c r="L14" s="32"/>
      <c r="M14" s="152" t="s">
        <v>86</v>
      </c>
      <c r="N14" s="234" t="s">
        <v>86</v>
      </c>
      <c r="O14" s="233"/>
      <c r="P14" s="32"/>
      <c r="Q14" s="32"/>
      <c r="R14" s="32"/>
      <c r="S14" s="32"/>
      <c r="T14" s="32"/>
      <c r="U14" s="32"/>
    </row>
    <row r="15" spans="1:21" ht="16.5" x14ac:dyDescent="0.3">
      <c r="A15" s="47" t="s">
        <v>41</v>
      </c>
      <c r="B15" s="127">
        <f>'Step 7'!B18</f>
        <v>18.40581813435567</v>
      </c>
      <c r="C15" s="198">
        <f t="shared" ref="C15:C20" si="0">B15</f>
        <v>18.40581813435567</v>
      </c>
      <c r="D15" s="47" t="s">
        <v>152</v>
      </c>
      <c r="E15" s="47"/>
      <c r="F15" s="47"/>
      <c r="G15" s="47"/>
      <c r="H15" s="278"/>
      <c r="I15" s="47"/>
      <c r="J15" s="47"/>
      <c r="K15" s="60"/>
      <c r="L15" s="32" t="s">
        <v>41</v>
      </c>
      <c r="M15" s="87">
        <f>'Step 7'!M18</f>
        <v>18.405818204015198</v>
      </c>
      <c r="N15" s="182">
        <f t="shared" ref="N15:N20" si="1">M15</f>
        <v>18.405818204015198</v>
      </c>
      <c r="O15" s="32" t="s">
        <v>152</v>
      </c>
      <c r="P15" s="32"/>
      <c r="Q15" s="32"/>
      <c r="R15" s="32"/>
      <c r="S15" s="281"/>
      <c r="T15" s="32"/>
      <c r="U15" s="32"/>
    </row>
    <row r="16" spans="1:21" ht="16.5" x14ac:dyDescent="0.3">
      <c r="A16" s="47" t="s">
        <v>44</v>
      </c>
      <c r="B16" s="127">
        <f>'Step 7'!B19</f>
        <v>159.09563336735241</v>
      </c>
      <c r="C16" s="198">
        <f t="shared" si="0"/>
        <v>159.09563336735241</v>
      </c>
      <c r="D16" s="47"/>
      <c r="E16" s="47"/>
      <c r="F16" s="47"/>
      <c r="G16" s="47"/>
      <c r="H16" s="47"/>
      <c r="I16" s="47"/>
      <c r="J16" s="47"/>
      <c r="K16" s="60"/>
      <c r="L16" s="32" t="s">
        <v>44</v>
      </c>
      <c r="M16" s="87">
        <f>'Step 7'!M19</f>
        <v>159.09563336735241</v>
      </c>
      <c r="N16" s="182">
        <f t="shared" si="1"/>
        <v>159.09563336735241</v>
      </c>
      <c r="O16" s="32"/>
      <c r="P16" s="32"/>
      <c r="Q16" s="32"/>
      <c r="R16" s="32"/>
      <c r="S16" s="32"/>
      <c r="T16" s="32"/>
      <c r="U16" s="32"/>
    </row>
    <row r="17" spans="1:21" ht="16.5" x14ac:dyDescent="0.3">
      <c r="A17" s="47" t="s">
        <v>212</v>
      </c>
      <c r="B17" s="127">
        <f>'Step 7'!B20</f>
        <v>16.300223504340146</v>
      </c>
      <c r="C17" s="198">
        <f t="shared" si="0"/>
        <v>16.300223504340146</v>
      </c>
      <c r="D17" s="47"/>
      <c r="E17" s="47"/>
      <c r="F17" s="47"/>
      <c r="G17" s="47"/>
      <c r="H17" s="47"/>
      <c r="I17" s="47"/>
      <c r="J17" s="47"/>
      <c r="K17" s="60"/>
      <c r="L17" s="32" t="s">
        <v>212</v>
      </c>
      <c r="M17" s="87">
        <f>'Step 7'!M20</f>
        <v>16.300223504340146</v>
      </c>
      <c r="N17" s="182">
        <f t="shared" si="1"/>
        <v>16.300223504340146</v>
      </c>
      <c r="O17" s="32"/>
      <c r="P17" s="32"/>
      <c r="Q17" s="32"/>
      <c r="R17" s="32"/>
      <c r="S17" s="32"/>
      <c r="T17" s="32"/>
      <c r="U17" s="32"/>
    </row>
    <row r="18" spans="1:21" ht="16.5" x14ac:dyDescent="0.3">
      <c r="A18" s="47" t="s">
        <v>47</v>
      </c>
      <c r="B18" s="127">
        <f>'Step 7'!B21</f>
        <v>316.28495993183424</v>
      </c>
      <c r="C18" s="198">
        <f t="shared" si="0"/>
        <v>316.28495993183424</v>
      </c>
      <c r="D18" s="47" t="s">
        <v>153</v>
      </c>
      <c r="E18" s="47"/>
      <c r="F18" s="47"/>
      <c r="G18" s="47"/>
      <c r="H18" s="47"/>
      <c r="I18" s="47"/>
      <c r="J18" s="47"/>
      <c r="K18" s="60"/>
      <c r="L18" s="32" t="s">
        <v>47</v>
      </c>
      <c r="M18" s="87">
        <f>'Step 7'!M21</f>
        <v>316.28495986217479</v>
      </c>
      <c r="N18" s="182">
        <f t="shared" si="1"/>
        <v>316.28495986217479</v>
      </c>
      <c r="O18" s="32" t="s">
        <v>153</v>
      </c>
      <c r="P18" s="32"/>
      <c r="Q18" s="32"/>
      <c r="R18" s="32"/>
      <c r="S18" s="32"/>
      <c r="T18" s="32"/>
      <c r="U18" s="32"/>
    </row>
    <row r="19" spans="1:21" ht="16.5" x14ac:dyDescent="0.3">
      <c r="A19" s="47" t="s">
        <v>67</v>
      </c>
      <c r="B19" s="127">
        <f>'Step 7'!B22</f>
        <v>9.2029090671778349</v>
      </c>
      <c r="C19" s="198">
        <f t="shared" si="0"/>
        <v>9.2029090671778349</v>
      </c>
      <c r="D19" s="47" t="s">
        <v>154</v>
      </c>
      <c r="E19" s="47"/>
      <c r="F19" s="47"/>
      <c r="G19" s="47"/>
      <c r="H19" s="47"/>
      <c r="I19" s="47"/>
      <c r="J19" s="47"/>
      <c r="K19" s="60"/>
      <c r="L19" s="32" t="s">
        <v>67</v>
      </c>
      <c r="M19" s="87">
        <f>'Step 7'!M22</f>
        <v>9.2029091020075988</v>
      </c>
      <c r="N19" s="182">
        <f t="shared" si="1"/>
        <v>9.2029091020075988</v>
      </c>
      <c r="O19" s="32" t="s">
        <v>154</v>
      </c>
      <c r="P19" s="32"/>
      <c r="Q19" s="32"/>
      <c r="R19" s="32"/>
      <c r="S19" s="32"/>
      <c r="T19" s="32"/>
      <c r="U19" s="32"/>
    </row>
    <row r="20" spans="1:21" ht="16.5" x14ac:dyDescent="0.3">
      <c r="A20" s="47" t="s">
        <v>68</v>
      </c>
      <c r="B20" s="127">
        <f>'Step 7'!B23</f>
        <v>551.97957289408987</v>
      </c>
      <c r="C20" s="198">
        <f t="shared" si="0"/>
        <v>551.97957289408987</v>
      </c>
      <c r="D20" s="47"/>
      <c r="E20" s="47"/>
      <c r="F20" s="47"/>
      <c r="G20" s="47"/>
      <c r="H20" s="47"/>
      <c r="I20" s="47"/>
      <c r="J20" s="47"/>
      <c r="K20" s="60"/>
      <c r="L20" s="32" t="s">
        <v>68</v>
      </c>
      <c r="M20" s="87">
        <f>'Step 7'!M23</f>
        <v>551.97957289408987</v>
      </c>
      <c r="N20" s="182">
        <f t="shared" si="1"/>
        <v>551.97957289408987</v>
      </c>
      <c r="O20" s="32"/>
      <c r="P20" s="32"/>
      <c r="Q20" s="32"/>
      <c r="R20" s="32"/>
      <c r="S20" s="32"/>
      <c r="T20" s="32"/>
      <c r="U20" s="32"/>
    </row>
    <row r="21" spans="1:21" ht="16.5" x14ac:dyDescent="0.3">
      <c r="A21" s="206" t="s">
        <v>121</v>
      </c>
      <c r="B21" s="127"/>
      <c r="C21" s="198"/>
      <c r="D21" s="47"/>
      <c r="E21" s="47"/>
      <c r="F21" s="47"/>
      <c r="G21" s="47"/>
      <c r="H21" s="47"/>
      <c r="I21" s="47"/>
      <c r="J21" s="47"/>
      <c r="K21" s="60"/>
      <c r="L21" s="190" t="s">
        <v>121</v>
      </c>
      <c r="M21" s="87"/>
      <c r="N21" s="182"/>
      <c r="O21" s="32"/>
      <c r="P21" s="32"/>
      <c r="Q21" s="32"/>
      <c r="R21" s="32"/>
      <c r="S21" s="32"/>
      <c r="T21" s="32"/>
      <c r="U21" s="32"/>
    </row>
    <row r="22" spans="1:21" ht="16.5" x14ac:dyDescent="0.3">
      <c r="A22" s="206" t="s">
        <v>123</v>
      </c>
      <c r="B22" s="47"/>
      <c r="C22" s="47"/>
      <c r="D22" s="47"/>
      <c r="E22" s="47"/>
      <c r="F22" s="47"/>
      <c r="G22" s="47"/>
      <c r="H22" s="47"/>
      <c r="I22" s="47"/>
      <c r="J22" s="47"/>
      <c r="K22" s="60"/>
      <c r="L22" s="190" t="s">
        <v>123</v>
      </c>
      <c r="M22" s="32"/>
      <c r="N22" s="32"/>
      <c r="O22" s="32"/>
      <c r="P22" s="32"/>
      <c r="Q22" s="32"/>
      <c r="R22" s="32"/>
      <c r="S22" s="32"/>
      <c r="T22" s="32"/>
      <c r="U22" s="32"/>
    </row>
    <row r="23" spans="1:21" ht="16.5" x14ac:dyDescent="0.3">
      <c r="A23" s="206" t="s">
        <v>125</v>
      </c>
      <c r="B23" s="279">
        <f>'Step 7'!B26</f>
        <v>0.50674314786433416</v>
      </c>
      <c r="C23" s="255">
        <f>(B23+B22*6/8)</f>
        <v>0.50674314786433416</v>
      </c>
      <c r="D23" s="111" t="s">
        <v>155</v>
      </c>
      <c r="E23" s="47"/>
      <c r="F23" s="47"/>
      <c r="G23" s="47"/>
      <c r="H23" s="47"/>
      <c r="I23" s="47"/>
      <c r="J23" s="47"/>
      <c r="K23" s="60"/>
      <c r="L23" s="190" t="s">
        <v>125</v>
      </c>
      <c r="M23" s="282">
        <f>'Step 7'!M26</f>
        <v>0.50674314788080976</v>
      </c>
      <c r="N23" s="236">
        <f>(M23+M22*6/8)</f>
        <v>0.50674314788080976</v>
      </c>
      <c r="O23" s="67" t="s">
        <v>155</v>
      </c>
      <c r="P23" s="32"/>
      <c r="Q23" s="32"/>
      <c r="R23" s="32"/>
      <c r="S23" s="32"/>
      <c r="T23" s="32"/>
      <c r="U23" s="32"/>
    </row>
    <row r="24" spans="1:21" x14ac:dyDescent="0.25">
      <c r="A24" s="47"/>
      <c r="B24" s="127">
        <f>SUM(B15:B23)</f>
        <v>1071.7758600470145</v>
      </c>
      <c r="C24" s="198">
        <f>SUM(C15:C23)</f>
        <v>1071.7758600470145</v>
      </c>
      <c r="D24" s="47" t="s">
        <v>156</v>
      </c>
      <c r="E24" s="47"/>
      <c r="F24" s="47"/>
      <c r="G24" s="47"/>
      <c r="H24" s="47"/>
      <c r="I24" s="47"/>
      <c r="J24" s="47"/>
      <c r="K24" s="60"/>
      <c r="L24" s="32"/>
      <c r="M24" s="87">
        <f>SUM(M15:M23)</f>
        <v>1071.7758600818609</v>
      </c>
      <c r="N24" s="182">
        <f>SUM(N15:N23)</f>
        <v>1071.7758600818609</v>
      </c>
      <c r="O24" s="32" t="s">
        <v>156</v>
      </c>
      <c r="P24" s="32"/>
      <c r="Q24" s="32"/>
      <c r="R24" s="32"/>
      <c r="S24" s="32"/>
      <c r="T24" s="32"/>
      <c r="U24" s="32"/>
    </row>
    <row r="25" spans="1:21" x14ac:dyDescent="0.25">
      <c r="A25" s="47"/>
      <c r="B25" s="49"/>
      <c r="C25" s="49"/>
      <c r="D25" s="47"/>
      <c r="E25" s="47"/>
      <c r="F25" s="47"/>
      <c r="G25" s="47"/>
      <c r="H25" s="47"/>
      <c r="I25" s="47"/>
      <c r="J25" s="47"/>
      <c r="K25" s="60"/>
      <c r="L25" s="32"/>
      <c r="M25" s="34"/>
      <c r="N25" s="34"/>
      <c r="O25" s="32"/>
      <c r="P25" s="32"/>
      <c r="Q25" s="32"/>
      <c r="R25" s="32"/>
      <c r="S25" s="32"/>
      <c r="T25" s="32"/>
      <c r="U25" s="32"/>
    </row>
    <row r="26" spans="1:21" x14ac:dyDescent="0.25">
      <c r="A26" s="47" t="s">
        <v>78</v>
      </c>
      <c r="B26" s="49"/>
      <c r="C26" s="49"/>
      <c r="D26" s="47"/>
      <c r="E26" s="47"/>
      <c r="F26" s="47"/>
      <c r="G26" s="47"/>
      <c r="H26" s="47"/>
      <c r="I26" s="47"/>
      <c r="J26" s="47"/>
      <c r="K26" s="60"/>
      <c r="L26" s="32" t="s">
        <v>78</v>
      </c>
      <c r="M26" s="34"/>
      <c r="N26" s="34"/>
      <c r="O26" s="32"/>
      <c r="P26" s="32"/>
      <c r="Q26" s="32"/>
      <c r="R26" s="32"/>
      <c r="S26" s="32"/>
      <c r="T26" s="32"/>
      <c r="U26" s="32"/>
    </row>
    <row r="27" spans="1:21" ht="18.75" x14ac:dyDescent="0.3">
      <c r="A27" s="47" t="s">
        <v>232</v>
      </c>
      <c r="B27" s="49"/>
      <c r="C27" s="49"/>
      <c r="D27" s="47"/>
      <c r="E27" s="47"/>
      <c r="F27" s="47"/>
      <c r="G27" s="47"/>
      <c r="H27" s="47"/>
      <c r="I27" s="47"/>
      <c r="J27" s="47"/>
      <c r="K27" s="60"/>
      <c r="L27" s="32" t="s">
        <v>232</v>
      </c>
      <c r="M27" s="34"/>
      <c r="N27" s="34"/>
      <c r="O27" s="32"/>
      <c r="P27" s="32"/>
      <c r="Q27" s="32"/>
      <c r="R27" s="32"/>
      <c r="S27" s="32"/>
      <c r="T27" s="32"/>
      <c r="U27" s="32"/>
    </row>
    <row r="28" spans="1:21" x14ac:dyDescent="0.25">
      <c r="A28" s="110" t="str">
        <f>CONCATENATE("= ( [",ROUND(C18,2)," + y]^2[",ROUND(C23,2)," + 3/16 y]^3/8 ) / ( [",ROUND(C15,2)," - y]^2[",ROUND(C19,2)," - 1/2 y] ) * ( ",ROUND('Step 7'!B9 *0.068,1)," / [",ROUND(C24,2)," - .3125 y] )^-5/8")</f>
        <v>= ( [316.28 + y]^2[0.51 + 3/16 y]^3/8 ) / ( [18.41 - y]^2[9.2 - 1/2 y] ) * ( 1.1 / [1071.78 - .3125 y] )^-5/8</v>
      </c>
      <c r="B28" s="110"/>
      <c r="C28" s="49"/>
      <c r="D28" s="47"/>
      <c r="E28" s="47"/>
      <c r="F28" s="47"/>
      <c r="G28" s="47"/>
      <c r="H28" s="47"/>
      <c r="I28" s="47"/>
      <c r="J28" s="47"/>
      <c r="K28" s="60"/>
      <c r="L28" s="66" t="str">
        <f>CONCATENATE("= ( [",ROUND(N18,2)," + y]^2[",ROUND(N23,2)," + 3/16 y]^3/8 ) / ( [",ROUND(N15,2)," - y]^2[",ROUND(N19,2)," - 1/2 y] ) * ( ",ROUND('Step 7'!M9 *0.068,1)," / [",ROUND(N24,2)," - .3125 y] )^-5/8")</f>
        <v>= ( [316.28 + y]^2[0.51 + 3/16 y]^3/8 ) / ( [18.41 - y]^2[9.2 - 1/2 y] ) * ( 1.1 / [1071.78 - .3125 y] )^-5/8</v>
      </c>
      <c r="M28" s="66"/>
      <c r="N28" s="34"/>
      <c r="O28" s="32"/>
      <c r="P28" s="32"/>
      <c r="Q28" s="32"/>
      <c r="R28" s="32"/>
      <c r="S28" s="32"/>
      <c r="T28" s="32"/>
      <c r="U28" s="32"/>
    </row>
    <row r="29" spans="1:21" x14ac:dyDescent="0.25">
      <c r="A29" s="110" t="s">
        <v>254</v>
      </c>
      <c r="B29" s="110"/>
      <c r="C29" s="49"/>
      <c r="D29" s="47"/>
      <c r="E29" s="47"/>
      <c r="F29" s="47"/>
      <c r="G29" s="47"/>
      <c r="H29" s="47"/>
      <c r="I29" s="47"/>
      <c r="J29" s="47"/>
      <c r="K29" s="60"/>
      <c r="L29" s="66" t="s">
        <v>254</v>
      </c>
      <c r="M29" s="66"/>
      <c r="N29" s="34"/>
      <c r="O29" s="32"/>
      <c r="P29" s="32"/>
      <c r="Q29" s="32"/>
      <c r="R29" s="32"/>
      <c r="S29" s="32"/>
      <c r="T29" s="32"/>
      <c r="U29" s="32"/>
    </row>
    <row r="30" spans="1:21" x14ac:dyDescent="0.25">
      <c r="A30" s="47" t="s">
        <v>227</v>
      </c>
      <c r="B30" s="49"/>
      <c r="C30" s="49"/>
      <c r="D30" s="47"/>
      <c r="E30" s="47"/>
      <c r="F30" s="47"/>
      <c r="G30" s="47"/>
      <c r="H30" s="47"/>
      <c r="I30" s="47"/>
      <c r="J30" s="47"/>
      <c r="K30" s="60"/>
      <c r="L30" s="32" t="s">
        <v>227</v>
      </c>
      <c r="M30" s="34"/>
      <c r="N30" s="34"/>
      <c r="O30" s="32"/>
      <c r="P30" s="32"/>
      <c r="Q30" s="32"/>
      <c r="R30" s="32"/>
      <c r="S30" s="32"/>
      <c r="T30" s="32"/>
      <c r="U30" s="32"/>
    </row>
    <row r="31" spans="1:21" ht="18.75" x14ac:dyDescent="0.3">
      <c r="A31" s="47" t="s">
        <v>157</v>
      </c>
      <c r="B31" s="49"/>
      <c r="C31" s="49"/>
      <c r="D31" s="47"/>
      <c r="E31" s="47"/>
      <c r="F31" s="47"/>
      <c r="G31" s="164" t="s">
        <v>229</v>
      </c>
      <c r="H31" s="47"/>
      <c r="I31" s="47"/>
      <c r="J31" s="47"/>
      <c r="K31" s="60"/>
      <c r="L31" s="32" t="s">
        <v>157</v>
      </c>
      <c r="M31" s="34"/>
      <c r="N31" s="34"/>
      <c r="O31" s="32"/>
      <c r="P31" s="32"/>
      <c r="Q31" s="32"/>
      <c r="R31" s="147" t="s">
        <v>229</v>
      </c>
      <c r="S31" s="32"/>
      <c r="T31" s="32"/>
      <c r="U31" s="32"/>
    </row>
    <row r="32" spans="1:21" x14ac:dyDescent="0.25">
      <c r="A32" s="47"/>
      <c r="B32" s="49"/>
      <c r="C32" s="49"/>
      <c r="D32" s="47"/>
      <c r="E32" s="47"/>
      <c r="F32" s="47"/>
      <c r="G32" s="164"/>
      <c r="H32" s="47"/>
      <c r="I32" s="47"/>
      <c r="J32" s="47"/>
      <c r="K32" s="60"/>
      <c r="L32" s="32"/>
      <c r="M32" s="34"/>
      <c r="N32" s="34"/>
      <c r="O32" s="32"/>
      <c r="P32" s="32"/>
      <c r="Q32" s="32"/>
      <c r="R32" s="147"/>
      <c r="S32" s="32"/>
      <c r="T32" s="32"/>
      <c r="U32" s="32"/>
    </row>
    <row r="33" spans="1:21" ht="60.75" x14ac:dyDescent="0.3">
      <c r="A33" s="47"/>
      <c r="B33" s="256" t="s">
        <v>255</v>
      </c>
      <c r="C33" s="124" t="s">
        <v>80</v>
      </c>
      <c r="D33" s="124" t="s">
        <v>235</v>
      </c>
      <c r="E33" s="256" t="s">
        <v>236</v>
      </c>
      <c r="F33" s="47"/>
      <c r="G33" s="47"/>
      <c r="H33" s="47"/>
      <c r="I33" s="47"/>
      <c r="J33" s="47"/>
      <c r="K33" s="60"/>
      <c r="L33" s="32"/>
      <c r="M33" s="237" t="s">
        <v>255</v>
      </c>
      <c r="N33" s="81" t="s">
        <v>80</v>
      </c>
      <c r="O33" s="81" t="s">
        <v>235</v>
      </c>
      <c r="P33" s="237" t="s">
        <v>236</v>
      </c>
      <c r="Q33" s="32"/>
      <c r="R33" s="32"/>
      <c r="S33" s="32"/>
      <c r="T33" s="32"/>
      <c r="U33" s="32"/>
    </row>
    <row r="34" spans="1:21" ht="15" customHeight="1" x14ac:dyDescent="0.25">
      <c r="A34" s="47"/>
      <c r="B34" s="47"/>
      <c r="C34" s="47"/>
      <c r="D34" s="47"/>
      <c r="E34" s="47"/>
      <c r="F34" s="130" t="s">
        <v>294</v>
      </c>
      <c r="G34" s="131"/>
      <c r="H34" s="131"/>
      <c r="I34" s="131"/>
      <c r="J34" s="47"/>
      <c r="K34" s="60"/>
      <c r="L34" s="32"/>
      <c r="M34" s="32"/>
      <c r="N34" s="32"/>
      <c r="O34" s="32"/>
      <c r="P34" s="32"/>
      <c r="Q34" s="241" t="s">
        <v>293</v>
      </c>
      <c r="R34" s="283"/>
      <c r="S34" s="283"/>
      <c r="T34" s="283"/>
      <c r="U34" s="32"/>
    </row>
    <row r="35" spans="1:21" x14ac:dyDescent="0.25">
      <c r="A35" s="47"/>
      <c r="B35" s="257">
        <v>10.035252601420542</v>
      </c>
      <c r="C35" s="202">
        <f>( (C18+B35)^2 * (C23+3/16*B35)^(3/8) ) / ( (C15-B35)^2 * (C19-B35/2) ) * ('Step 7'!B9 *0.068 / (C24-0.3125*B35) )^(-5/8)</f>
        <v>36750.615236098492</v>
      </c>
      <c r="D35" s="258">
        <v>490</v>
      </c>
      <c r="E35" s="259">
        <f>1143-90.19*LN(C35)+3.108*LN(C35)^2-0.04539*LN(C35)^3</f>
        <v>485.6420066428272</v>
      </c>
      <c r="F35" s="131"/>
      <c r="G35" s="131"/>
      <c r="H35" s="131"/>
      <c r="I35" s="131"/>
      <c r="J35" s="47"/>
      <c r="K35" s="60"/>
      <c r="L35" s="32"/>
      <c r="M35" s="238">
        <v>10.035252545193112</v>
      </c>
      <c r="N35" s="186">
        <f>( (N18+M35)^2 * (N23+3/16*M35)^(3/8) ) / ( (N15-M35)^2 * (N19-M35/2) ) * ('Step 7'!M9 *0.068 / (N24-0.3125*M35) )^(-5/8)</f>
        <v>36750.613490026961</v>
      </c>
      <c r="O35" s="239">
        <v>490</v>
      </c>
      <c r="P35" s="240">
        <f>1143-90.19*LN(N35)+3.108*LN(N35)^2-0.04539*LN(N35)^3</f>
        <v>485.64200853828265</v>
      </c>
      <c r="Q35" s="283"/>
      <c r="R35" s="283"/>
      <c r="S35" s="283"/>
      <c r="T35" s="283"/>
      <c r="U35" s="32"/>
    </row>
    <row r="36" spans="1:21" x14ac:dyDescent="0.25">
      <c r="A36" s="132" t="s">
        <v>233</v>
      </c>
      <c r="B36" s="49"/>
      <c r="C36" s="49"/>
      <c r="D36" s="47"/>
      <c r="E36" s="47"/>
      <c r="F36" s="131"/>
      <c r="G36" s="131"/>
      <c r="H36" s="131"/>
      <c r="I36" s="131"/>
      <c r="J36" s="47"/>
      <c r="K36" s="60"/>
      <c r="L36" s="91" t="s">
        <v>233</v>
      </c>
      <c r="M36" s="34"/>
      <c r="N36" s="34"/>
      <c r="O36" s="32"/>
      <c r="P36" s="32"/>
      <c r="Q36" s="283"/>
      <c r="R36" s="283"/>
      <c r="S36" s="283"/>
      <c r="T36" s="283"/>
      <c r="U36" s="32"/>
    </row>
    <row r="37" spans="1:21" x14ac:dyDescent="0.25">
      <c r="A37" s="260" t="s">
        <v>82</v>
      </c>
      <c r="B37" s="261">
        <f>ROUND(D51-C55,2)</f>
        <v>0</v>
      </c>
      <c r="C37" s="262" t="s">
        <v>83</v>
      </c>
      <c r="D37" s="262" t="s">
        <v>257</v>
      </c>
      <c r="E37" s="262"/>
      <c r="F37" s="131"/>
      <c r="G37" s="131"/>
      <c r="H37" s="131"/>
      <c r="I37" s="131"/>
      <c r="J37" s="47"/>
      <c r="K37" s="60"/>
      <c r="L37" s="242" t="s">
        <v>82</v>
      </c>
      <c r="M37" s="243">
        <f>ROUND(O51-N55,2)</f>
        <v>0.02</v>
      </c>
      <c r="N37" s="244" t="s">
        <v>83</v>
      </c>
      <c r="O37" s="244" t="s">
        <v>257</v>
      </c>
      <c r="P37" s="244"/>
      <c r="Q37" s="283"/>
      <c r="R37" s="283"/>
      <c r="S37" s="283"/>
      <c r="T37" s="283"/>
      <c r="U37" s="32"/>
    </row>
    <row r="38" spans="1:21" x14ac:dyDescent="0.25">
      <c r="A38" s="47"/>
      <c r="B38" s="47"/>
      <c r="C38" s="47"/>
      <c r="D38" s="47"/>
      <c r="E38" s="47"/>
      <c r="F38" s="131"/>
      <c r="G38" s="131"/>
      <c r="H38" s="131"/>
      <c r="I38" s="131"/>
      <c r="J38" s="47"/>
      <c r="K38" s="60"/>
      <c r="L38" s="32"/>
      <c r="M38" s="32"/>
      <c r="N38" s="32"/>
      <c r="O38" s="32"/>
      <c r="P38" s="32"/>
      <c r="Q38" s="283"/>
      <c r="R38" s="283"/>
      <c r="S38" s="283"/>
      <c r="T38" s="283"/>
      <c r="U38" s="32"/>
    </row>
    <row r="39" spans="1:21" x14ac:dyDescent="0.25">
      <c r="A39" s="56"/>
      <c r="B39" s="110"/>
      <c r="C39" s="49"/>
      <c r="D39" s="47"/>
      <c r="E39" s="47"/>
      <c r="F39" s="131"/>
      <c r="G39" s="131"/>
      <c r="H39" s="131"/>
      <c r="I39" s="131"/>
      <c r="J39" s="47"/>
      <c r="K39" s="60"/>
      <c r="L39" s="41"/>
      <c r="M39" s="66"/>
      <c r="N39" s="34"/>
      <c r="O39" s="32"/>
      <c r="P39" s="32"/>
      <c r="Q39" s="283"/>
      <c r="R39" s="283"/>
      <c r="S39" s="283"/>
      <c r="T39" s="283"/>
      <c r="U39" s="32"/>
    </row>
    <row r="40" spans="1:21" x14ac:dyDescent="0.25">
      <c r="A40" s="47"/>
      <c r="B40" s="49" t="s">
        <v>160</v>
      </c>
      <c r="C40" s="50" t="s">
        <v>85</v>
      </c>
      <c r="D40" s="280">
        <f>E35</f>
        <v>485.6420066428272</v>
      </c>
      <c r="E40" s="47" t="s">
        <v>32</v>
      </c>
      <c r="F40" s="47"/>
      <c r="G40" s="47"/>
      <c r="H40" s="47"/>
      <c r="I40" s="47"/>
      <c r="J40" s="47"/>
      <c r="K40" s="60"/>
      <c r="L40" s="32"/>
      <c r="M40" s="34" t="s">
        <v>160</v>
      </c>
      <c r="N40" s="35" t="s">
        <v>85</v>
      </c>
      <c r="O40" s="284">
        <f>P35</f>
        <v>485.64200853828265</v>
      </c>
      <c r="P40" s="32" t="s">
        <v>32</v>
      </c>
      <c r="Q40" s="32"/>
      <c r="R40" s="32"/>
      <c r="S40" s="32"/>
      <c r="T40" s="32"/>
      <c r="U40" s="32"/>
    </row>
    <row r="41" spans="1:21" x14ac:dyDescent="0.25">
      <c r="A41" s="47"/>
      <c r="B41" s="169" t="s">
        <v>86</v>
      </c>
      <c r="C41" s="169" t="s">
        <v>87</v>
      </c>
      <c r="D41" s="169" t="s">
        <v>83</v>
      </c>
      <c r="E41" s="47"/>
      <c r="F41" s="47"/>
      <c r="G41" s="47"/>
      <c r="H41" s="47"/>
      <c r="I41" s="47"/>
      <c r="J41" s="47"/>
      <c r="K41" s="60"/>
      <c r="L41" s="32"/>
      <c r="M41" s="152" t="s">
        <v>86</v>
      </c>
      <c r="N41" s="152" t="s">
        <v>87</v>
      </c>
      <c r="O41" s="152" t="s">
        <v>83</v>
      </c>
      <c r="P41" s="32"/>
      <c r="Q41" s="32"/>
      <c r="R41" s="32"/>
      <c r="S41" s="32"/>
      <c r="T41" s="32"/>
      <c r="U41" s="32"/>
    </row>
    <row r="42" spans="1:21" ht="16.5" x14ac:dyDescent="0.3">
      <c r="A42" s="47" t="s">
        <v>41</v>
      </c>
      <c r="B42" s="115">
        <f>C15-B35</f>
        <v>8.3705655329351281</v>
      </c>
      <c r="C42" s="136">
        <f>IF(ROUNDDOWN(D40,-2)=ROUNDUP(D40,-2),VLOOKUP(D40,Enthalpy,19),VLOOKUP(ROUNDDOWN(D40,-2),Enthalpy,19)+(D40-ROUNDDOWN(D40,-2))/(ROUNDUP(D40,-2)-ROUNDDOWN(D40,-2))*(VLOOKUP(ROUNDUP(D40,-2),Enthalpy,19)-VLOOKUP(ROUNDDOWN(D40,-2),Enthalpy,19)))</f>
        <v>3793.6496584568795</v>
      </c>
      <c r="D42" s="136">
        <f t="shared" ref="D42:D47" si="2">(B42*C42)</f>
        <v>31754.993075110277</v>
      </c>
      <c r="E42" s="47"/>
      <c r="F42" s="47"/>
      <c r="G42" s="47"/>
      <c r="H42" s="47"/>
      <c r="I42" s="47"/>
      <c r="J42" s="47"/>
      <c r="K42" s="60"/>
      <c r="L42" s="32" t="s">
        <v>41</v>
      </c>
      <c r="M42" s="71">
        <f>N15-M35</f>
        <v>8.3705656588220858</v>
      </c>
      <c r="N42" s="95">
        <f>IF(ROUNDDOWN(O40,-2)=ROUNDUP(O40,-2),VLOOKUP(O40,Enthalpy,19),VLOOKUP(ROUNDDOWN(O40,-2),Enthalpy,19)+(O40-ROUNDDOWN(O40,-2))/(ROUNDUP(O40,-2)-ROUNDDOWN(O40,-2))*(VLOOKUP(ROUNDUP(O40,-2),Enthalpy,19)-VLOOKUP(ROUNDDOWN(O40,-2),Enthalpy,19)))</f>
        <v>3793.6496751368873</v>
      </c>
      <c r="O42" s="95">
        <f t="shared" ref="O42:O47" si="3">(M42*N42)</f>
        <v>31754.993692302389</v>
      </c>
      <c r="P42" s="32"/>
      <c r="Q42" s="32"/>
      <c r="R42" s="32"/>
      <c r="S42" s="32"/>
      <c r="T42" s="32"/>
      <c r="U42" s="32"/>
    </row>
    <row r="43" spans="1:21" ht="16.5" x14ac:dyDescent="0.3">
      <c r="A43" s="47" t="s">
        <v>44</v>
      </c>
      <c r="B43" s="115">
        <f>C16</f>
        <v>159.09563336735241</v>
      </c>
      <c r="C43" s="136">
        <f>IF(ROUNDDOWN(D40,-2)=ROUNDUP(D40,-2),VLOOKUP(D40,Enthalpy,14),VLOOKUP(ROUNDDOWN(D40,-2),Enthalpy,14)+(D40-ROUNDDOWN(D40,-2))/(ROUNDUP(D40,-2)-ROUNDDOWN(D40,-2))*(VLOOKUP(ROUNDUP(D40,-2),Enthalpy,14)-VLOOKUP(ROUNDDOWN(D40,-2),Enthalpy,14)))</f>
        <v>4481.5130510118224</v>
      </c>
      <c r="D43" s="136">
        <f t="shared" si="2"/>
        <v>712989.15729478176</v>
      </c>
      <c r="E43" s="47"/>
      <c r="F43" s="47"/>
      <c r="G43" s="47"/>
      <c r="H43" s="47"/>
      <c r="I43" s="47"/>
      <c r="J43" s="47"/>
      <c r="K43" s="60"/>
      <c r="L43" s="32" t="s">
        <v>44</v>
      </c>
      <c r="M43" s="71">
        <f>N16</f>
        <v>159.09563336735241</v>
      </c>
      <c r="N43" s="95">
        <f>IF(ROUNDDOWN(O40,-2)=ROUNDUP(O40,-2),VLOOKUP(O40,Enthalpy,14),VLOOKUP(ROUNDDOWN(O40,-2),Enthalpy,14)+(O40-ROUNDDOWN(O40,-2))/(ROUNDUP(O40,-2)-ROUNDDOWN(O40,-2))*(VLOOKUP(ROUNDUP(O40,-2),Enthalpy,14)-VLOOKUP(ROUNDDOWN(O40,-2),Enthalpy,14)))</f>
        <v>4481.5130712742412</v>
      </c>
      <c r="O43" s="95">
        <f t="shared" si="3"/>
        <v>712989.16051844414</v>
      </c>
      <c r="P43" s="32"/>
      <c r="Q43" s="32"/>
      <c r="R43" s="32"/>
      <c r="S43" s="32"/>
      <c r="T43" s="32"/>
      <c r="U43" s="32"/>
    </row>
    <row r="44" spans="1:21" ht="16.5" x14ac:dyDescent="0.3">
      <c r="A44" s="47" t="s">
        <v>212</v>
      </c>
      <c r="B44" s="115">
        <f>C17</f>
        <v>16.300223504340146</v>
      </c>
      <c r="C44" s="136">
        <f>IF(ROUNDDOWN(D40,-2)=ROUNDUP(D40,-2),VLOOKUP(D40,Enthalpy,12),VLOOKUP(ROUNDDOWN(D40,-2),Enthalpy,12)+(D40-ROUNDDOWN(D40,-2))/(ROUNDUP(D40,-2)-ROUNDDOWN(D40,-2))*(VLOOKUP(ROUNDUP(D40,-2),Enthalpy,12)-VLOOKUP(ROUNDDOWN(D40,-2),Enthalpy,12)))</f>
        <v>3161.0683662340771</v>
      </c>
      <c r="D44" s="136">
        <f t="shared" si="2"/>
        <v>51526.120882114803</v>
      </c>
      <c r="E44" s="47"/>
      <c r="F44" s="47"/>
      <c r="G44" s="47"/>
      <c r="H44" s="47"/>
      <c r="I44" s="47"/>
      <c r="J44" s="47"/>
      <c r="K44" s="60"/>
      <c r="L44" s="32" t="s">
        <v>212</v>
      </c>
      <c r="M44" s="71">
        <f>N17</f>
        <v>16.300223504340146</v>
      </c>
      <c r="N44" s="95">
        <f>IF(ROUNDDOWN(O40,-2)=ROUNDUP(O40,-2),VLOOKUP(O40,Enthalpy,12),VLOOKUP(ROUNDDOWN(O40,-2),Enthalpy,12)+(O40-ROUNDDOWN(O40,-2))/(ROUNDUP(O40,-2)-ROUNDDOWN(O40,-2))*(VLOOKUP(ROUNDUP(O40,-2),Enthalpy,12)-VLOOKUP(ROUNDDOWN(O40,-2),Enthalpy,12)))</f>
        <v>3161.0683794264473</v>
      </c>
      <c r="O44" s="95">
        <f t="shared" si="3"/>
        <v>51526.121097153387</v>
      </c>
      <c r="P44" s="32"/>
      <c r="Q44" s="32"/>
      <c r="R44" s="32"/>
      <c r="S44" s="32"/>
      <c r="T44" s="32"/>
      <c r="U44" s="32"/>
    </row>
    <row r="45" spans="1:21" ht="16.5" x14ac:dyDescent="0.3">
      <c r="A45" s="47" t="s">
        <v>47</v>
      </c>
      <c r="B45" s="115">
        <f>C18+B35</f>
        <v>326.32021253325479</v>
      </c>
      <c r="C45" s="136">
        <f>IF(ROUNDDOWN(D40,-2)=ROUNDUP(D40,-2),VLOOKUP(D40,Enthalpy,15),VLOOKUP(ROUNDDOWN(D40,-2),Enthalpy,15)+(D40-ROUNDDOWN(D40,-2))/(ROUNDUP(D40,-2)-ROUNDDOWN(D40,-2))*(VLOOKUP(ROUNDUP(D40,-2),Enthalpy,15)-VLOOKUP(ROUNDDOWN(D40,-2),Enthalpy,15)))</f>
        <v>3805.5263166633158</v>
      </c>
      <c r="D45" s="136">
        <f t="shared" si="2"/>
        <v>1241820.1564544674</v>
      </c>
      <c r="E45" s="47"/>
      <c r="F45" s="47"/>
      <c r="G45" s="47"/>
      <c r="H45" s="47"/>
      <c r="I45" s="47"/>
      <c r="J45" s="47"/>
      <c r="K45" s="60"/>
      <c r="L45" s="32" t="s">
        <v>47</v>
      </c>
      <c r="M45" s="71">
        <f>N18+M35</f>
        <v>326.32021240736788</v>
      </c>
      <c r="N45" s="95">
        <f>IF(ROUNDDOWN(O40,-2)=ROUNDUP(O40,-2),VLOOKUP(O40,Enthalpy,15),VLOOKUP(ROUNDDOWN(O40,-2),Enthalpy,15)+(O40-ROUNDDOWN(O40,-2))/(ROUNDUP(O40,-2)-ROUNDDOWN(O40,-2))*(VLOOKUP(ROUNDUP(O40,-2),Enthalpy,15)-VLOOKUP(ROUNDDOWN(O40,-2),Enthalpy,15)))</f>
        <v>3805.5263328315509</v>
      </c>
      <c r="O45" s="95">
        <f t="shared" si="3"/>
        <v>1241820.1612514234</v>
      </c>
      <c r="P45" s="32"/>
      <c r="Q45" s="32"/>
      <c r="R45" s="32"/>
      <c r="S45" s="32"/>
      <c r="T45" s="32"/>
      <c r="U45" s="32"/>
    </row>
    <row r="46" spans="1:21" ht="16.5" x14ac:dyDescent="0.3">
      <c r="A46" s="47" t="s">
        <v>67</v>
      </c>
      <c r="B46" s="115">
        <f>C19-B35/2</f>
        <v>4.185282766467564</v>
      </c>
      <c r="C46" s="136">
        <f>IF(ROUNDDOWN(D40,-2)=ROUNDUP(D40,-2),VLOOKUP(D40,Enthalpy,17),VLOOKUP(ROUNDDOWN(D40,-2),Enthalpy,17)+(D40-ROUNDDOWN(D40,-2))/(ROUNDUP(D40,-2)-ROUNDDOWN(D40,-2))*(VLOOKUP(ROUNDUP(D40,-2),Enthalpy,17)-VLOOKUP(ROUNDDOWN(D40,-2),Enthalpy,17)))</f>
        <v>4797.7496155289455</v>
      </c>
      <c r="D46" s="136">
        <f t="shared" si="2"/>
        <v>20079.938783699676</v>
      </c>
      <c r="E46" s="47"/>
      <c r="F46" s="47"/>
      <c r="G46" s="47"/>
      <c r="H46" s="47"/>
      <c r="I46" s="47"/>
      <c r="J46" s="47"/>
      <c r="K46" s="60"/>
      <c r="L46" s="32" t="s">
        <v>67</v>
      </c>
      <c r="M46" s="71">
        <f>N19-M35/2</f>
        <v>4.1852828294110429</v>
      </c>
      <c r="N46" s="95">
        <f>IF(ROUNDDOWN(O40,-2)=ROUNDUP(O40,-2),VLOOKUP(O40,Enthalpy,17),VLOOKUP(ROUNDDOWN(O40,-2),Enthalpy,17)+(O40-ROUNDDOWN(O40,-2))/(ROUNDUP(O40,-2)-ROUNDDOWN(O40,-2))*(VLOOKUP(ROUNDUP(O40,-2),Enthalpy,17)-VLOOKUP(ROUNDDOWN(O40,-2),Enthalpy,17)))</f>
        <v>4797.7496370802737</v>
      </c>
      <c r="O46" s="95">
        <f t="shared" si="3"/>
        <v>20079.939175885131</v>
      </c>
      <c r="P46" s="32"/>
      <c r="Q46" s="32"/>
      <c r="R46" s="32"/>
      <c r="S46" s="32"/>
      <c r="T46" s="32"/>
      <c r="U46" s="32"/>
    </row>
    <row r="47" spans="1:21" ht="16.5" x14ac:dyDescent="0.3">
      <c r="A47" s="47" t="s">
        <v>68</v>
      </c>
      <c r="B47" s="115">
        <f>C20</f>
        <v>551.97957289408987</v>
      </c>
      <c r="C47" s="136">
        <f>IF(ROUNDDOWN(D40,-2)=ROUNDUP(D40,-2),VLOOKUP(D40,Enthalpy,9),VLOOKUP(ROUNDDOWN(D40,-2),Enthalpy,9)+(D40-ROUNDDOWN(D40,-2))/(ROUNDUP(D40,-2)-ROUNDDOWN(D40,-2))*(VLOOKUP(ROUNDUP(D40,-2),Enthalpy,9)-VLOOKUP(ROUNDDOWN(D40,-2),Enthalpy,9)))</f>
        <v>3183.3454070312164</v>
      </c>
      <c r="D47" s="136">
        <f t="shared" si="2"/>
        <v>1757141.6381474535</v>
      </c>
      <c r="E47" s="47"/>
      <c r="F47" s="47"/>
      <c r="G47" s="47"/>
      <c r="H47" s="47"/>
      <c r="I47" s="47"/>
      <c r="J47" s="47"/>
      <c r="K47" s="60"/>
      <c r="L47" s="32" t="s">
        <v>68</v>
      </c>
      <c r="M47" s="71">
        <f>N20</f>
        <v>551.97957289408987</v>
      </c>
      <c r="N47" s="95">
        <f>IF(ROUNDDOWN(O40,-2)=ROUNDUP(O40,-2),VLOOKUP(O40,Enthalpy,9),VLOOKUP(ROUNDDOWN(O40,-2),Enthalpy,9)+(O40-ROUNDDOWN(O40,-2))/(ROUNDUP(O40,-2)-ROUNDDOWN(O40,-2))*(VLOOKUP(ROUNDUP(O40,-2),Enthalpy,9)-VLOOKUP(ROUNDDOWN(O40,-2),Enthalpy,9)))</f>
        <v>3183.3454204510413</v>
      </c>
      <c r="O47" s="95">
        <f t="shared" si="3"/>
        <v>1757141.6455549228</v>
      </c>
      <c r="P47" s="32"/>
      <c r="Q47" s="32"/>
      <c r="R47" s="32"/>
      <c r="S47" s="32"/>
      <c r="T47" s="32"/>
      <c r="U47" s="32"/>
    </row>
    <row r="48" spans="1:21" ht="16.5" x14ac:dyDescent="0.3">
      <c r="A48" s="206" t="s">
        <v>121</v>
      </c>
      <c r="B48" s="115"/>
      <c r="C48" s="136"/>
      <c r="D48" s="136"/>
      <c r="E48" s="47"/>
      <c r="F48" s="47"/>
      <c r="G48" s="47"/>
      <c r="H48" s="47"/>
      <c r="I48" s="47"/>
      <c r="J48" s="47"/>
      <c r="K48" s="60"/>
      <c r="L48" s="190" t="s">
        <v>121</v>
      </c>
      <c r="M48" s="71"/>
      <c r="N48" s="95"/>
      <c r="O48" s="95"/>
      <c r="P48" s="32"/>
      <c r="Q48" s="32"/>
      <c r="R48" s="32"/>
      <c r="S48" s="32"/>
      <c r="T48" s="32"/>
      <c r="U48" s="32"/>
    </row>
    <row r="49" spans="1:21" ht="16.5" x14ac:dyDescent="0.3">
      <c r="A49" s="206" t="s">
        <v>123</v>
      </c>
      <c r="B49" s="115"/>
      <c r="C49" s="56"/>
      <c r="D49" s="56"/>
      <c r="E49" s="47"/>
      <c r="F49" s="47"/>
      <c r="G49" s="47"/>
      <c r="H49" s="47"/>
      <c r="I49" s="47"/>
      <c r="J49" s="47"/>
      <c r="K49" s="60"/>
      <c r="L49" s="190" t="s">
        <v>123</v>
      </c>
      <c r="M49" s="71"/>
      <c r="N49" s="41"/>
      <c r="O49" s="41"/>
      <c r="P49" s="32"/>
      <c r="Q49" s="32"/>
      <c r="R49" s="32"/>
      <c r="S49" s="32"/>
      <c r="T49" s="32"/>
      <c r="U49" s="32"/>
    </row>
    <row r="50" spans="1:21" ht="16.5" x14ac:dyDescent="0.3">
      <c r="A50" s="206" t="s">
        <v>125</v>
      </c>
      <c r="B50" s="116">
        <f>C23+3/16*B35</f>
        <v>2.3883530106306856</v>
      </c>
      <c r="C50" s="136">
        <f>IF(ROUNDDOWN(D40,-2)=ROUNDUP(D40,-2),VLOOKUP(D40,Enthalpy,23),VLOOKUP(ROUNDDOWN(D40,-2),Enthalpy,23)+(D40-ROUNDDOWN(D40,-2))/(ROUNDUP(D40,-2)-ROUNDDOWN(D40,-2))*(VLOOKUP(ROUNDUP(D40,-2),Enthalpy,23)-VLOOKUP(ROUNDDOWN(D40,-2),Enthalpy,23)))</f>
        <v>17984.143275677328</v>
      </c>
      <c r="D50" s="143">
        <f>(B50*C50)</f>
        <v>42952.482736077545</v>
      </c>
      <c r="E50" s="47"/>
      <c r="F50" s="47"/>
      <c r="G50" s="47"/>
      <c r="H50" s="47"/>
      <c r="I50" s="47"/>
      <c r="J50" s="47"/>
      <c r="K50" s="60"/>
      <c r="L50" s="190" t="s">
        <v>125</v>
      </c>
      <c r="M50" s="72">
        <f>N23+3/16*M35</f>
        <v>2.3883530001045186</v>
      </c>
      <c r="N50" s="95">
        <f>IF(ROUNDDOWN(O40,-2)=ROUNDUP(O40,-2),VLOOKUP(O40,Enthalpy,23),VLOOKUP(ROUNDDOWN(O40,-2),Enthalpy,23)+(O40-ROUNDDOWN(O40,-2))/(ROUNDUP(O40,-2)-ROUNDDOWN(O40,-2))*(VLOOKUP(ROUNDUP(O40,-2),Enthalpy,23)-VLOOKUP(ROUNDDOWN(O40,-2),Enthalpy,23)))</f>
        <v>17984.143354338732</v>
      </c>
      <c r="O50" s="103">
        <f>(M50*N50)</f>
        <v>42952.482734644647</v>
      </c>
      <c r="P50" s="32"/>
      <c r="Q50" s="32"/>
      <c r="R50" s="32"/>
      <c r="S50" s="32"/>
      <c r="T50" s="32"/>
      <c r="U50" s="32"/>
    </row>
    <row r="51" spans="1:21" x14ac:dyDescent="0.25">
      <c r="A51" s="47"/>
      <c r="B51" s="115">
        <f>SUM(B42:B50)</f>
        <v>1068.6398436090706</v>
      </c>
      <c r="C51" s="56"/>
      <c r="D51" s="136">
        <f>SUM(D42:D50)</f>
        <v>3858264.487373705</v>
      </c>
      <c r="E51" s="47"/>
      <c r="F51" s="47"/>
      <c r="G51" s="47"/>
      <c r="H51" s="47"/>
      <c r="I51" s="47"/>
      <c r="J51" s="47"/>
      <c r="K51" s="60"/>
      <c r="L51" s="32"/>
      <c r="M51" s="71">
        <f>SUM(M42:M50)</f>
        <v>1068.6398436614877</v>
      </c>
      <c r="N51" s="41"/>
      <c r="O51" s="95">
        <f>SUM(O42:O50)</f>
        <v>3858264.5040247757</v>
      </c>
      <c r="P51" s="32"/>
      <c r="Q51" s="32"/>
      <c r="R51" s="32"/>
      <c r="S51" s="32"/>
      <c r="T51" s="32"/>
      <c r="U51" s="32"/>
    </row>
    <row r="52" spans="1:21" x14ac:dyDescent="0.25">
      <c r="A52" s="47" t="s">
        <v>161</v>
      </c>
      <c r="B52" s="49"/>
      <c r="C52" s="49"/>
      <c r="D52" s="47"/>
      <c r="E52" s="47"/>
      <c r="F52" s="47"/>
      <c r="G52" s="47"/>
      <c r="H52" s="47"/>
      <c r="I52" s="47"/>
      <c r="J52" s="47"/>
      <c r="K52" s="60"/>
      <c r="L52" s="32" t="s">
        <v>161</v>
      </c>
      <c r="M52" s="34"/>
      <c r="N52" s="34"/>
      <c r="O52" s="32"/>
      <c r="P52" s="32"/>
      <c r="Q52" s="32"/>
      <c r="R52" s="32"/>
      <c r="S52" s="32"/>
      <c r="T52" s="32"/>
      <c r="U52" s="32"/>
    </row>
    <row r="53" spans="1:21" x14ac:dyDescent="0.25">
      <c r="A53" s="56" t="s">
        <v>166</v>
      </c>
      <c r="B53" s="49" t="s">
        <v>3</v>
      </c>
      <c r="C53" s="136">
        <f>'Step 7'!D27</f>
        <v>3625095.3926545875</v>
      </c>
      <c r="D53" s="47" t="s">
        <v>83</v>
      </c>
      <c r="E53" s="47"/>
      <c r="F53" s="47"/>
      <c r="G53" s="47"/>
      <c r="H53" s="47"/>
      <c r="I53" s="47"/>
      <c r="J53" s="47"/>
      <c r="K53" s="60"/>
      <c r="L53" s="41" t="s">
        <v>166</v>
      </c>
      <c r="M53" s="34" t="s">
        <v>3</v>
      </c>
      <c r="N53" s="95">
        <f>'Step 7'!O27</f>
        <v>3625095.3928105072</v>
      </c>
      <c r="O53" s="32" t="s">
        <v>83</v>
      </c>
      <c r="P53" s="32"/>
      <c r="Q53" s="32"/>
      <c r="R53" s="32"/>
      <c r="S53" s="32"/>
      <c r="T53" s="32"/>
      <c r="U53" s="32"/>
    </row>
    <row r="54" spans="1:21" x14ac:dyDescent="0.25">
      <c r="A54" s="56" t="s">
        <v>93</v>
      </c>
      <c r="B54" s="49" t="s">
        <v>3</v>
      </c>
      <c r="C54" s="143">
        <f>B35/2*(-C11)</f>
        <v>233169.09419400629</v>
      </c>
      <c r="D54" s="47" t="s">
        <v>83</v>
      </c>
      <c r="E54" s="47"/>
      <c r="F54" s="47"/>
      <c r="G54" s="47"/>
      <c r="H54" s="47"/>
      <c r="I54" s="47"/>
      <c r="J54" s="47"/>
      <c r="K54" s="60"/>
      <c r="L54" s="41" t="s">
        <v>93</v>
      </c>
      <c r="M54" s="34" t="s">
        <v>3</v>
      </c>
      <c r="N54" s="103">
        <f>M35/2*(-N11)</f>
        <v>233169.09288756194</v>
      </c>
      <c r="O54" s="32" t="s">
        <v>83</v>
      </c>
      <c r="P54" s="32"/>
      <c r="Q54" s="32"/>
      <c r="R54" s="32"/>
      <c r="S54" s="32"/>
      <c r="T54" s="32"/>
      <c r="U54" s="32"/>
    </row>
    <row r="55" spans="1:21" x14ac:dyDescent="0.25">
      <c r="A55" s="56" t="s">
        <v>163</v>
      </c>
      <c r="B55" s="49" t="s">
        <v>3</v>
      </c>
      <c r="C55" s="136">
        <f>C53+C54</f>
        <v>3858264.4868485937</v>
      </c>
      <c r="D55" s="47" t="s">
        <v>83</v>
      </c>
      <c r="E55" s="47"/>
      <c r="F55" s="47"/>
      <c r="G55" s="47"/>
      <c r="H55" s="47"/>
      <c r="I55" s="47"/>
      <c r="J55" s="47"/>
      <c r="K55" s="60"/>
      <c r="L55" s="41" t="s">
        <v>163</v>
      </c>
      <c r="M55" s="34" t="s">
        <v>3</v>
      </c>
      <c r="N55" s="95">
        <f>N53+N54</f>
        <v>3858264.485698069</v>
      </c>
      <c r="O55" s="32" t="s">
        <v>83</v>
      </c>
      <c r="P55" s="32"/>
      <c r="Q55" s="32"/>
      <c r="R55" s="32"/>
      <c r="S55" s="32"/>
      <c r="T55" s="32"/>
      <c r="U55" s="32"/>
    </row>
    <row r="56" spans="1:21" x14ac:dyDescent="0.25">
      <c r="A56" s="56"/>
      <c r="B56" s="49"/>
      <c r="C56" s="269"/>
      <c r="D56" s="47"/>
      <c r="E56" s="47"/>
      <c r="F56" s="47"/>
      <c r="G56" s="47"/>
      <c r="H56" s="47"/>
      <c r="I56" s="47"/>
      <c r="J56" s="47"/>
      <c r="K56" s="60"/>
      <c r="L56" s="41"/>
      <c r="M56" s="34"/>
      <c r="N56" s="250"/>
      <c r="O56" s="32"/>
      <c r="P56" s="32"/>
      <c r="Q56" s="32"/>
      <c r="R56" s="32"/>
      <c r="S56" s="32"/>
      <c r="T56" s="32"/>
      <c r="U56" s="32"/>
    </row>
    <row r="57" spans="1:21" x14ac:dyDescent="0.25">
      <c r="K57" s="60"/>
    </row>
    <row r="58" spans="1:21" x14ac:dyDescent="0.25">
      <c r="A58" s="44" t="s">
        <v>307</v>
      </c>
      <c r="K58" s="60"/>
    </row>
    <row r="59" spans="1:21" x14ac:dyDescent="0.25">
      <c r="A59" s="44" t="s">
        <v>303</v>
      </c>
      <c r="K59" s="60"/>
    </row>
    <row r="60" spans="1:21" x14ac:dyDescent="0.25">
      <c r="A60" s="44" t="s">
        <v>304</v>
      </c>
      <c r="K60" s="60"/>
    </row>
    <row r="61" spans="1:21" x14ac:dyDescent="0.25">
      <c r="A61" s="44" t="s">
        <v>305</v>
      </c>
      <c r="K61" s="60"/>
    </row>
    <row r="62" spans="1:21" x14ac:dyDescent="0.25">
      <c r="A62" s="45" t="s">
        <v>306</v>
      </c>
      <c r="K62" s="60"/>
    </row>
    <row r="63" spans="1:21" x14ac:dyDescent="0.25">
      <c r="K63" s="60"/>
    </row>
    <row r="64" spans="1:21" x14ac:dyDescent="0.25">
      <c r="K64" s="60"/>
    </row>
    <row r="65" spans="11:11" x14ac:dyDescent="0.25">
      <c r="K65" s="60"/>
    </row>
    <row r="66" spans="11:11" x14ac:dyDescent="0.25">
      <c r="K66" s="60"/>
    </row>
    <row r="67" spans="11:11" x14ac:dyDescent="0.25">
      <c r="K67" s="60"/>
    </row>
    <row r="68" spans="11:11" x14ac:dyDescent="0.25">
      <c r="K68" s="60"/>
    </row>
    <row r="69" spans="11:11" x14ac:dyDescent="0.25">
      <c r="K69" s="60"/>
    </row>
    <row r="70" spans="11:11" x14ac:dyDescent="0.25">
      <c r="K70" s="60"/>
    </row>
    <row r="71" spans="11:11" x14ac:dyDescent="0.25">
      <c r="K71" s="60"/>
    </row>
    <row r="72" spans="11:11" x14ac:dyDescent="0.25">
      <c r="K72" s="60"/>
    </row>
    <row r="73" spans="11:11" x14ac:dyDescent="0.25">
      <c r="K73" s="60"/>
    </row>
    <row r="74" spans="11:11" x14ac:dyDescent="0.25">
      <c r="K74" s="60"/>
    </row>
    <row r="75" spans="11:11" x14ac:dyDescent="0.25">
      <c r="K75" s="60"/>
    </row>
    <row r="76" spans="11:11" x14ac:dyDescent="0.25">
      <c r="K76" s="60"/>
    </row>
    <row r="77" spans="11:11" x14ac:dyDescent="0.25">
      <c r="K77" s="60"/>
    </row>
    <row r="78" spans="11:11" x14ac:dyDescent="0.25">
      <c r="K78" s="60"/>
    </row>
    <row r="79" spans="11:11" x14ac:dyDescent="0.25">
      <c r="K79" s="60"/>
    </row>
    <row r="80" spans="11:11" x14ac:dyDescent="0.25">
      <c r="K80" s="60"/>
    </row>
    <row r="81" spans="11:11" x14ac:dyDescent="0.25">
      <c r="K81" s="60"/>
    </row>
    <row r="82" spans="11:11" x14ac:dyDescent="0.25">
      <c r="K82" s="60"/>
    </row>
    <row r="83" spans="11:11" x14ac:dyDescent="0.25">
      <c r="K83" s="60"/>
    </row>
    <row r="84" spans="11:11" x14ac:dyDescent="0.25">
      <c r="K84" s="60"/>
    </row>
    <row r="85" spans="11:11" x14ac:dyDescent="0.25">
      <c r="K85" s="60"/>
    </row>
    <row r="86" spans="11:11" x14ac:dyDescent="0.25">
      <c r="K86" s="60"/>
    </row>
    <row r="87" spans="11:11" x14ac:dyDescent="0.25">
      <c r="K87" s="60"/>
    </row>
    <row r="88" spans="11:11" x14ac:dyDescent="0.25">
      <c r="K88" s="60"/>
    </row>
    <row r="89" spans="11:11" x14ac:dyDescent="0.25">
      <c r="K89" s="60"/>
    </row>
    <row r="90" spans="11:11" x14ac:dyDescent="0.25">
      <c r="K90" s="60"/>
    </row>
    <row r="91" spans="11:11" x14ac:dyDescent="0.25">
      <c r="K91" s="60"/>
    </row>
    <row r="92" spans="11:11" x14ac:dyDescent="0.25">
      <c r="K92" s="60"/>
    </row>
    <row r="93" spans="11:11" x14ac:dyDescent="0.25">
      <c r="K93" s="60"/>
    </row>
    <row r="94" spans="11:11" x14ac:dyDescent="0.25">
      <c r="K94" s="60"/>
    </row>
    <row r="95" spans="11:11" x14ac:dyDescent="0.25">
      <c r="K95" s="60"/>
    </row>
    <row r="96" spans="11:11" x14ac:dyDescent="0.25">
      <c r="K96" s="60"/>
    </row>
    <row r="97" spans="11:11" x14ac:dyDescent="0.25">
      <c r="K97" s="60"/>
    </row>
    <row r="98" spans="11:11" x14ac:dyDescent="0.25">
      <c r="K98" s="60"/>
    </row>
    <row r="99" spans="11:11" x14ac:dyDescent="0.25">
      <c r="K99" s="60"/>
    </row>
    <row r="100" spans="11:11" x14ac:dyDescent="0.25">
      <c r="K100" s="60"/>
    </row>
    <row r="101" spans="11:11" x14ac:dyDescent="0.25">
      <c r="K101" s="60"/>
    </row>
    <row r="102" spans="11:11" x14ac:dyDescent="0.25">
      <c r="K102" s="60"/>
    </row>
    <row r="103" spans="11:11" x14ac:dyDescent="0.25">
      <c r="K103" s="60"/>
    </row>
    <row r="104" spans="11:11" x14ac:dyDescent="0.25">
      <c r="K104" s="60"/>
    </row>
    <row r="105" spans="11:11" x14ac:dyDescent="0.25">
      <c r="K105" s="60"/>
    </row>
    <row r="106" spans="11:11" x14ac:dyDescent="0.25">
      <c r="K106" s="60"/>
    </row>
    <row r="107" spans="11:11" x14ac:dyDescent="0.25">
      <c r="K107" s="60"/>
    </row>
    <row r="108" spans="11:11" x14ac:dyDescent="0.25">
      <c r="K108" s="60"/>
    </row>
    <row r="109" spans="11:11" x14ac:dyDescent="0.25">
      <c r="K109" s="60"/>
    </row>
    <row r="110" spans="11:11" x14ac:dyDescent="0.25">
      <c r="K110" s="60"/>
    </row>
    <row r="111" spans="11:11" x14ac:dyDescent="0.25">
      <c r="K111" s="60"/>
    </row>
    <row r="112" spans="11:11" x14ac:dyDescent="0.25">
      <c r="K112" s="60"/>
    </row>
    <row r="113" spans="11:11" x14ac:dyDescent="0.25">
      <c r="K113" s="60"/>
    </row>
    <row r="114" spans="11:11" x14ac:dyDescent="0.25">
      <c r="K114" s="60"/>
    </row>
    <row r="115" spans="11:11" x14ac:dyDescent="0.25">
      <c r="K115" s="60"/>
    </row>
    <row r="116" spans="11:11" x14ac:dyDescent="0.25">
      <c r="K116" s="60"/>
    </row>
    <row r="117" spans="11:11" x14ac:dyDescent="0.25">
      <c r="K117" s="60"/>
    </row>
    <row r="118" spans="11:11" ht="57" customHeight="1" x14ac:dyDescent="0.25">
      <c r="K118" s="60"/>
    </row>
    <row r="119" spans="11:11" x14ac:dyDescent="0.25">
      <c r="K119" s="60"/>
    </row>
    <row r="120" spans="11:11" x14ac:dyDescent="0.25">
      <c r="K120" s="60"/>
    </row>
    <row r="121" spans="11:11" x14ac:dyDescent="0.25">
      <c r="K121" s="60"/>
    </row>
    <row r="122" spans="11:11" x14ac:dyDescent="0.25">
      <c r="K122" s="60"/>
    </row>
    <row r="123" spans="11:11" x14ac:dyDescent="0.25">
      <c r="K123" s="60"/>
    </row>
    <row r="124" spans="11:11" x14ac:dyDescent="0.25">
      <c r="K124" s="60"/>
    </row>
    <row r="125" spans="11:11" x14ac:dyDescent="0.25">
      <c r="K125" s="60"/>
    </row>
    <row r="126" spans="11:11" x14ac:dyDescent="0.25">
      <c r="K126" s="60"/>
    </row>
    <row r="127" spans="11:11" x14ac:dyDescent="0.25">
      <c r="K127" s="60"/>
    </row>
    <row r="128" spans="11:11" x14ac:dyDescent="0.25">
      <c r="K128" s="60"/>
    </row>
    <row r="129" spans="11:11" x14ac:dyDescent="0.25">
      <c r="K129" s="60"/>
    </row>
    <row r="130" spans="11:11" x14ac:dyDescent="0.25">
      <c r="K130" s="60"/>
    </row>
    <row r="131" spans="11:11" x14ac:dyDescent="0.25">
      <c r="K131" s="60"/>
    </row>
    <row r="132" spans="11:11" x14ac:dyDescent="0.25">
      <c r="K132" s="60"/>
    </row>
    <row r="133" spans="11:11" x14ac:dyDescent="0.25">
      <c r="K133" s="60"/>
    </row>
    <row r="134" spans="11:11" x14ac:dyDescent="0.25">
      <c r="K134" s="60"/>
    </row>
    <row r="135" spans="11:11" x14ac:dyDescent="0.25">
      <c r="K135" s="60"/>
    </row>
    <row r="136" spans="11:11" x14ac:dyDescent="0.25">
      <c r="K136" s="60"/>
    </row>
    <row r="137" spans="11:11" x14ac:dyDescent="0.25">
      <c r="K137" s="60"/>
    </row>
    <row r="138" spans="11:11" x14ac:dyDescent="0.25">
      <c r="K138" s="60"/>
    </row>
    <row r="139" spans="11:11" x14ac:dyDescent="0.25">
      <c r="K139" s="60"/>
    </row>
    <row r="140" spans="11:11" x14ac:dyDescent="0.25">
      <c r="K140" s="60"/>
    </row>
    <row r="141" spans="11:11" x14ac:dyDescent="0.25">
      <c r="K141" s="60"/>
    </row>
    <row r="142" spans="11:11" x14ac:dyDescent="0.25">
      <c r="K142" s="60"/>
    </row>
  </sheetData>
  <sheetProtection password="E156" sheet="1" objects="1" scenarios="1"/>
  <mergeCells count="8">
    <mergeCell ref="F34:I39"/>
    <mergeCell ref="Q34:T39"/>
    <mergeCell ref="A6:G6"/>
    <mergeCell ref="C13:D13"/>
    <mergeCell ref="C14:D14"/>
    <mergeCell ref="L6:R6"/>
    <mergeCell ref="N13:O13"/>
    <mergeCell ref="N14:O14"/>
  </mergeCells>
  <pageMargins left="0.7" right="0.7" top="0.75" bottom="0.75" header="0.51180555555555551" footer="0.51180555555555551"/>
  <pageSetup firstPageNumber="0" orientation="portrait" horizontalDpi="300" verticalDpi="300"/>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U48"/>
  <sheetViews>
    <sheetView zoomScaleNormal="100" workbookViewId="0">
      <selection activeCell="D2" sqref="D2"/>
    </sheetView>
  </sheetViews>
  <sheetFormatPr defaultColWidth="8.7109375" defaultRowHeight="15" x14ac:dyDescent="0.25"/>
  <cols>
    <col min="1" max="1" width="21.42578125" style="28" customWidth="1"/>
    <col min="2" max="2" width="12.42578125" style="28" customWidth="1"/>
    <col min="3" max="3" width="12.7109375" style="28" customWidth="1"/>
    <col min="4" max="4" width="11.28515625" style="28" customWidth="1"/>
    <col min="5" max="5" width="8.7109375" style="28"/>
    <col min="6" max="6" width="10.140625" style="28" customWidth="1"/>
    <col min="7" max="11" width="8.7109375" style="28"/>
    <col min="12" max="12" width="21.42578125" style="28" customWidth="1"/>
    <col min="13" max="13" width="12.42578125" style="28" customWidth="1"/>
    <col min="14" max="14" width="12.5703125" style="28" customWidth="1"/>
    <col min="15" max="15" width="11.140625" style="28" customWidth="1"/>
    <col min="16" max="16" width="8.7109375" style="28"/>
    <col min="17" max="17" width="10.140625" style="28" customWidth="1"/>
    <col min="18" max="16384" width="8.7109375" style="28"/>
  </cols>
  <sheetData>
    <row r="1" spans="1:21" x14ac:dyDescent="0.25">
      <c r="A1" s="27" t="s">
        <v>298</v>
      </c>
    </row>
    <row r="5" spans="1:21" ht="24" x14ac:dyDescent="0.3">
      <c r="A5" s="106" t="s">
        <v>281</v>
      </c>
      <c r="B5" s="49"/>
      <c r="C5" s="49"/>
      <c r="D5" s="47"/>
      <c r="E5" s="47"/>
      <c r="F5" s="47"/>
      <c r="G5" s="47"/>
      <c r="H5" s="47"/>
      <c r="I5" s="47"/>
      <c r="J5" s="47"/>
      <c r="K5" s="60"/>
      <c r="L5" s="270" t="s">
        <v>281</v>
      </c>
      <c r="M5" s="34"/>
      <c r="N5" s="34"/>
      <c r="O5" s="32"/>
      <c r="P5" s="32"/>
      <c r="Q5" s="32"/>
      <c r="R5" s="32"/>
      <c r="S5" s="32"/>
      <c r="T5" s="32"/>
      <c r="U5" s="32"/>
    </row>
    <row r="6" spans="1:21" x14ac:dyDescent="0.25">
      <c r="A6" s="47"/>
      <c r="B6" s="49"/>
      <c r="C6" s="49"/>
      <c r="D6" s="47"/>
      <c r="E6" s="47"/>
      <c r="F6" s="47"/>
      <c r="G6" s="47"/>
      <c r="H6" s="47"/>
      <c r="I6" s="47"/>
      <c r="J6" s="47"/>
      <c r="K6" s="60"/>
      <c r="L6" s="32"/>
      <c r="M6" s="34"/>
      <c r="N6" s="34"/>
      <c r="O6" s="32"/>
      <c r="P6" s="32"/>
      <c r="Q6" s="32"/>
      <c r="R6" s="32"/>
      <c r="S6" s="32"/>
      <c r="T6" s="32"/>
      <c r="U6" s="32"/>
    </row>
    <row r="7" spans="1:21" x14ac:dyDescent="0.25">
      <c r="A7" s="47" t="s">
        <v>109</v>
      </c>
      <c r="B7" s="49"/>
      <c r="C7" s="49"/>
      <c r="D7" s="117">
        <v>0.2</v>
      </c>
      <c r="E7" s="47" t="s">
        <v>74</v>
      </c>
      <c r="F7" s="56" t="s">
        <v>75</v>
      </c>
      <c r="G7" s="47">
        <f>'Step 7'!B9-D7</f>
        <v>16.2</v>
      </c>
      <c r="H7" s="47" t="s">
        <v>34</v>
      </c>
      <c r="I7" s="47"/>
      <c r="J7" s="47"/>
      <c r="K7" s="60"/>
      <c r="L7" s="32" t="s">
        <v>109</v>
      </c>
      <c r="M7" s="34"/>
      <c r="N7" s="34"/>
      <c r="O7" s="73">
        <v>0.2</v>
      </c>
      <c r="P7" s="32" t="s">
        <v>74</v>
      </c>
      <c r="Q7" s="41" t="s">
        <v>75</v>
      </c>
      <c r="R7" s="32">
        <f>'Step 7'!M9-O7</f>
        <v>16.2</v>
      </c>
      <c r="S7" s="32" t="s">
        <v>34</v>
      </c>
      <c r="T7" s="32"/>
      <c r="U7" s="32"/>
    </row>
    <row r="8" spans="1:21" x14ac:dyDescent="0.25">
      <c r="A8" s="47" t="s">
        <v>110</v>
      </c>
      <c r="B8" s="49"/>
      <c r="C8" s="49"/>
      <c r="D8" s="51">
        <v>270</v>
      </c>
      <c r="E8" s="47" t="s">
        <v>32</v>
      </c>
      <c r="F8" s="47"/>
      <c r="G8" s="47"/>
      <c r="H8" s="47"/>
      <c r="I8" s="47"/>
      <c r="J8" s="47"/>
      <c r="K8" s="60"/>
      <c r="L8" s="32" t="s">
        <v>110</v>
      </c>
      <c r="M8" s="34"/>
      <c r="N8" s="34"/>
      <c r="O8" s="36">
        <v>270</v>
      </c>
      <c r="P8" s="32" t="s">
        <v>32</v>
      </c>
      <c r="Q8" s="32"/>
      <c r="R8" s="32"/>
      <c r="S8" s="32"/>
      <c r="T8" s="32"/>
      <c r="U8" s="32"/>
    </row>
    <row r="9" spans="1:21" x14ac:dyDescent="0.25">
      <c r="A9" s="47" t="s">
        <v>224</v>
      </c>
      <c r="B9" s="49"/>
      <c r="C9" s="49"/>
      <c r="D9" s="47"/>
      <c r="E9" s="47"/>
      <c r="F9" s="195">
        <v>1E-4</v>
      </c>
      <c r="G9" s="47" t="s">
        <v>111</v>
      </c>
      <c r="H9" s="47"/>
      <c r="I9" s="47"/>
      <c r="J9" s="47"/>
      <c r="K9" s="60"/>
      <c r="L9" s="32" t="s">
        <v>224</v>
      </c>
      <c r="M9" s="34"/>
      <c r="N9" s="34"/>
      <c r="O9" s="32"/>
      <c r="P9" s="32"/>
      <c r="Q9" s="179">
        <v>1E-4</v>
      </c>
      <c r="R9" s="32" t="s">
        <v>111</v>
      </c>
      <c r="S9" s="32"/>
      <c r="T9" s="32"/>
      <c r="U9" s="32"/>
    </row>
    <row r="10" spans="1:21" x14ac:dyDescent="0.25">
      <c r="A10" s="47" t="s">
        <v>112</v>
      </c>
      <c r="B10" s="49"/>
      <c r="C10" s="49"/>
      <c r="D10" s="47"/>
      <c r="E10" s="47"/>
      <c r="F10" s="47"/>
      <c r="G10" s="47"/>
      <c r="H10" s="47"/>
      <c r="I10" s="47"/>
      <c r="J10" s="47"/>
      <c r="K10" s="60"/>
      <c r="L10" s="32" t="s">
        <v>112</v>
      </c>
      <c r="M10" s="34"/>
      <c r="N10" s="34"/>
      <c r="O10" s="32"/>
      <c r="P10" s="32"/>
      <c r="Q10" s="32"/>
      <c r="R10" s="32"/>
      <c r="S10" s="32"/>
      <c r="T10" s="32"/>
      <c r="U10" s="32"/>
    </row>
    <row r="11" spans="1:21" ht="16.5" x14ac:dyDescent="0.3">
      <c r="A11" s="47"/>
      <c r="B11" s="287">
        <f>1-B12</f>
        <v>0</v>
      </c>
      <c r="C11" s="47" t="s">
        <v>263</v>
      </c>
      <c r="D11" s="47"/>
      <c r="E11" s="47"/>
      <c r="F11" s="47"/>
      <c r="G11" s="47"/>
      <c r="H11" s="47"/>
      <c r="I11" s="47"/>
      <c r="J11" s="47"/>
      <c r="K11" s="60"/>
      <c r="L11" s="32"/>
      <c r="M11" s="285">
        <f>1-M12</f>
        <v>0</v>
      </c>
      <c r="N11" s="32" t="s">
        <v>263</v>
      </c>
      <c r="O11" s="32"/>
      <c r="P11" s="32"/>
      <c r="Q11" s="32"/>
      <c r="R11" s="32"/>
      <c r="S11" s="32"/>
      <c r="T11" s="32"/>
      <c r="U11" s="32"/>
    </row>
    <row r="12" spans="1:21" ht="16.5" x14ac:dyDescent="0.3">
      <c r="A12" s="47"/>
      <c r="B12" s="288">
        <v>1</v>
      </c>
      <c r="C12" s="47" t="s">
        <v>266</v>
      </c>
      <c r="D12" s="47"/>
      <c r="E12" s="47"/>
      <c r="F12" s="47"/>
      <c r="G12" s="47"/>
      <c r="H12" s="47"/>
      <c r="I12" s="47"/>
      <c r="J12" s="47"/>
      <c r="K12" s="60"/>
      <c r="L12" s="32"/>
      <c r="M12" s="286">
        <v>1</v>
      </c>
      <c r="N12" s="32" t="s">
        <v>266</v>
      </c>
      <c r="O12" s="32"/>
      <c r="P12" s="32"/>
      <c r="Q12" s="32"/>
      <c r="R12" s="32"/>
      <c r="S12" s="32"/>
      <c r="T12" s="32"/>
      <c r="U12" s="32"/>
    </row>
    <row r="13" spans="1:21" x14ac:dyDescent="0.25">
      <c r="A13" s="47"/>
      <c r="B13" s="198">
        <f>SUM(B11:B12)</f>
        <v>1</v>
      </c>
      <c r="C13" s="47"/>
      <c r="D13" s="47"/>
      <c r="E13" s="47"/>
      <c r="F13" s="47"/>
      <c r="G13" s="47"/>
      <c r="H13" s="47"/>
      <c r="I13" s="47"/>
      <c r="J13" s="47"/>
      <c r="K13" s="60"/>
      <c r="L13" s="32"/>
      <c r="M13" s="182">
        <f>SUM(M11:M12)</f>
        <v>1</v>
      </c>
      <c r="N13" s="32"/>
      <c r="O13" s="32"/>
      <c r="P13" s="32"/>
      <c r="Q13" s="32"/>
      <c r="R13" s="32"/>
      <c r="S13" s="32"/>
      <c r="T13" s="32"/>
      <c r="U13" s="32"/>
    </row>
    <row r="14" spans="1:21" x14ac:dyDescent="0.25">
      <c r="A14" s="47" t="s">
        <v>113</v>
      </c>
      <c r="B14" s="49"/>
      <c r="C14" s="49"/>
      <c r="D14" s="47"/>
      <c r="E14" s="47"/>
      <c r="F14" s="47"/>
      <c r="G14" s="47"/>
      <c r="H14" s="47"/>
      <c r="I14" s="47"/>
      <c r="J14" s="47"/>
      <c r="K14" s="60"/>
      <c r="L14" s="32" t="s">
        <v>113</v>
      </c>
      <c r="M14" s="34"/>
      <c r="N14" s="34"/>
      <c r="O14" s="32"/>
      <c r="P14" s="32"/>
      <c r="Q14" s="32"/>
      <c r="R14" s="32"/>
      <c r="S14" s="32"/>
      <c r="T14" s="32"/>
      <c r="U14" s="32"/>
    </row>
    <row r="15" spans="1:21" ht="16.5" x14ac:dyDescent="0.3">
      <c r="A15" s="47"/>
      <c r="B15" s="52">
        <f>'Step 8'!B50</f>
        <v>2.3883530106306856</v>
      </c>
      <c r="C15" s="47" t="s">
        <v>115</v>
      </c>
      <c r="D15" s="47"/>
      <c r="E15" s="47"/>
      <c r="F15" s="47"/>
      <c r="G15" s="47"/>
      <c r="H15" s="47"/>
      <c r="I15" s="47"/>
      <c r="J15" s="47"/>
      <c r="K15" s="60"/>
      <c r="L15" s="32"/>
      <c r="M15" s="39">
        <f>'Step 8'!M50</f>
        <v>2.3883530001045186</v>
      </c>
      <c r="N15" s="32" t="s">
        <v>115</v>
      </c>
      <c r="O15" s="32"/>
      <c r="P15" s="32"/>
      <c r="Q15" s="32"/>
      <c r="R15" s="32"/>
      <c r="S15" s="32"/>
      <c r="T15" s="32"/>
      <c r="U15" s="32"/>
    </row>
    <row r="16" spans="1:21" x14ac:dyDescent="0.25">
      <c r="A16" s="47" t="s">
        <v>116</v>
      </c>
      <c r="B16" s="49"/>
      <c r="C16" s="49"/>
      <c r="D16" s="47"/>
      <c r="E16" s="47"/>
      <c r="F16" s="47"/>
      <c r="G16" s="47"/>
      <c r="H16" s="47"/>
      <c r="I16" s="47"/>
      <c r="J16" s="47"/>
      <c r="K16" s="60"/>
      <c r="L16" s="32" t="s">
        <v>116</v>
      </c>
      <c r="M16" s="34"/>
      <c r="N16" s="34"/>
      <c r="O16" s="32"/>
      <c r="P16" s="32"/>
      <c r="Q16" s="32"/>
      <c r="R16" s="32"/>
      <c r="S16" s="32"/>
      <c r="T16" s="32"/>
      <c r="U16" s="32"/>
    </row>
    <row r="17" spans="1:21" x14ac:dyDescent="0.25">
      <c r="A17" s="56" t="s">
        <v>3</v>
      </c>
      <c r="B17" s="110" t="str">
        <f>CONCATENATE("(",F9,"*14.7 / (",'Step 7'!B9-D7," - ",F9,"*14.7)) * (",ROUND('Step 8'!B51,2)," - ",ROUND(B15,2),")")</f>
        <v>(0.0001*14.7 / (16.2 - 0.0001*14.7)) * (1068.64 - 2.39)</v>
      </c>
      <c r="C17" s="49"/>
      <c r="D17" s="47"/>
      <c r="E17" s="47"/>
      <c r="F17" s="47"/>
      <c r="G17" s="47"/>
      <c r="H17" s="47"/>
      <c r="I17" s="47"/>
      <c r="J17" s="47"/>
      <c r="K17" s="60"/>
      <c r="L17" s="41" t="s">
        <v>3</v>
      </c>
      <c r="M17" s="66" t="str">
        <f>CONCATENATE("(",Q9,"*14.7 / (",'Step 7'!M9-O7," - ",Q9,"*14.7)) * (",ROUND('Step 8'!M51,2)," - ",ROUND(M15,2),")")</f>
        <v>(0.0001*14.7 / (16.2 - 0.0001*14.7)) * (1068.64 - 2.39)</v>
      </c>
      <c r="N17" s="34"/>
      <c r="O17" s="32"/>
      <c r="P17" s="32"/>
      <c r="Q17" s="32"/>
      <c r="R17" s="32"/>
      <c r="S17" s="32"/>
      <c r="T17" s="32"/>
      <c r="U17" s="32"/>
    </row>
    <row r="18" spans="1:21" x14ac:dyDescent="0.25">
      <c r="A18" s="56" t="s">
        <v>3</v>
      </c>
      <c r="B18" s="127">
        <f>F9*14.7/('Step 7'!B9-D7-F9*14.7) * ('Step 8'!B51 - B15)</f>
        <v>9.6761230258530048E-2</v>
      </c>
      <c r="C18" s="49" t="s">
        <v>86</v>
      </c>
      <c r="D18" s="47"/>
      <c r="E18" s="47"/>
      <c r="F18" s="47"/>
      <c r="G18" s="47"/>
      <c r="H18" s="47"/>
      <c r="I18" s="47"/>
      <c r="J18" s="47"/>
      <c r="K18" s="60"/>
      <c r="L18" s="41" t="s">
        <v>3</v>
      </c>
      <c r="M18" s="87">
        <f>Q9*14.7/('Step 7'!M9-O7-Q9*14.7) * ('Step 8'!M51 - M15)</f>
        <v>9.6761230264242104E-2</v>
      </c>
      <c r="N18" s="34" t="s">
        <v>86</v>
      </c>
      <c r="O18" s="32"/>
      <c r="P18" s="32"/>
      <c r="Q18" s="32"/>
      <c r="R18" s="32"/>
      <c r="S18" s="32"/>
      <c r="T18" s="32"/>
      <c r="U18" s="32"/>
    </row>
    <row r="19" spans="1:21" x14ac:dyDescent="0.25">
      <c r="A19" s="56"/>
      <c r="B19" s="127"/>
      <c r="C19" s="49"/>
      <c r="D19" s="47"/>
      <c r="E19" s="47"/>
      <c r="F19" s="47"/>
      <c r="G19" s="47"/>
      <c r="H19" s="47"/>
      <c r="I19" s="47"/>
      <c r="J19" s="47"/>
      <c r="K19" s="60"/>
      <c r="L19" s="41"/>
      <c r="M19" s="87"/>
      <c r="N19" s="34"/>
      <c r="O19" s="32"/>
      <c r="P19" s="32"/>
      <c r="Q19" s="32"/>
      <c r="R19" s="32"/>
      <c r="S19" s="32"/>
      <c r="T19" s="32"/>
      <c r="U19" s="32"/>
    </row>
    <row r="20" spans="1:21" ht="16.5" x14ac:dyDescent="0.3">
      <c r="A20" s="56" t="s">
        <v>72</v>
      </c>
      <c r="B20" s="274">
        <f>B18</f>
        <v>9.6761230258530048E-2</v>
      </c>
      <c r="C20" s="275" t="s">
        <v>117</v>
      </c>
      <c r="D20" s="47"/>
      <c r="E20" s="47"/>
      <c r="F20" s="47"/>
      <c r="G20" s="47"/>
      <c r="H20" s="47"/>
      <c r="I20" s="47"/>
      <c r="J20" s="47"/>
      <c r="K20" s="60"/>
      <c r="L20" s="41" t="s">
        <v>72</v>
      </c>
      <c r="M20" s="271">
        <f>M18</f>
        <v>9.6761230264242104E-2</v>
      </c>
      <c r="N20" s="272" t="s">
        <v>117</v>
      </c>
      <c r="O20" s="32"/>
      <c r="P20" s="32"/>
      <c r="Q20" s="32"/>
      <c r="R20" s="32"/>
      <c r="S20" s="32"/>
      <c r="T20" s="32"/>
      <c r="U20" s="32"/>
    </row>
    <row r="21" spans="1:21" x14ac:dyDescent="0.25">
      <c r="A21" s="47"/>
      <c r="B21" s="52">
        <f>B15-B20</f>
        <v>2.2915917803721557</v>
      </c>
      <c r="C21" s="110" t="s">
        <v>118</v>
      </c>
      <c r="D21" s="47"/>
      <c r="E21" s="47"/>
      <c r="F21" s="47"/>
      <c r="G21" s="47"/>
      <c r="H21" s="47"/>
      <c r="I21" s="47"/>
      <c r="J21" s="47"/>
      <c r="K21" s="60"/>
      <c r="L21" s="32"/>
      <c r="M21" s="39">
        <f>M15-M20</f>
        <v>2.2915917698402763</v>
      </c>
      <c r="N21" s="66" t="s">
        <v>118</v>
      </c>
      <c r="O21" s="32"/>
      <c r="P21" s="32"/>
      <c r="Q21" s="32"/>
      <c r="R21" s="32"/>
      <c r="S21" s="32"/>
      <c r="T21" s="32"/>
      <c r="U21" s="32"/>
    </row>
    <row r="22" spans="1:21" x14ac:dyDescent="0.25">
      <c r="A22" s="47"/>
      <c r="B22" s="49"/>
      <c r="C22" s="49"/>
      <c r="D22" s="47"/>
      <c r="E22" s="47"/>
      <c r="F22" s="47"/>
      <c r="G22" s="47"/>
      <c r="H22" s="47"/>
      <c r="I22" s="47"/>
      <c r="J22" s="47"/>
      <c r="K22" s="60"/>
      <c r="L22" s="32"/>
      <c r="M22" s="34"/>
      <c r="N22" s="34"/>
      <c r="O22" s="32"/>
      <c r="P22" s="32"/>
      <c r="Q22" s="32"/>
      <c r="R22" s="32"/>
      <c r="S22" s="32"/>
      <c r="T22" s="32"/>
      <c r="U22" s="32"/>
    </row>
    <row r="23" spans="1:21" x14ac:dyDescent="0.25">
      <c r="A23" s="47"/>
      <c r="B23" s="49"/>
      <c r="C23" s="133" t="s">
        <v>119</v>
      </c>
      <c r="D23" s="134"/>
      <c r="E23" s="47"/>
      <c r="F23" s="47"/>
      <c r="G23" s="47"/>
      <c r="H23" s="47"/>
      <c r="I23" s="47"/>
      <c r="J23" s="47"/>
      <c r="K23" s="60"/>
      <c r="L23" s="32"/>
      <c r="M23" s="34"/>
      <c r="N23" s="93" t="s">
        <v>119</v>
      </c>
      <c r="O23" s="92"/>
      <c r="P23" s="32"/>
      <c r="Q23" s="32"/>
      <c r="R23" s="32"/>
      <c r="S23" s="32"/>
      <c r="T23" s="32"/>
      <c r="U23" s="32"/>
    </row>
    <row r="24" spans="1:21" x14ac:dyDescent="0.25">
      <c r="A24" s="47"/>
      <c r="B24" s="49"/>
      <c r="C24" s="50" t="s">
        <v>85</v>
      </c>
      <c r="D24" s="169">
        <f>D8</f>
        <v>270</v>
      </c>
      <c r="E24" s="47" t="s">
        <v>32</v>
      </c>
      <c r="F24" s="47"/>
      <c r="G24" s="47"/>
      <c r="H24" s="47"/>
      <c r="I24" s="47"/>
      <c r="J24" s="47"/>
      <c r="K24" s="60"/>
      <c r="L24" s="32"/>
      <c r="M24" s="34"/>
      <c r="N24" s="35" t="s">
        <v>85</v>
      </c>
      <c r="O24" s="152">
        <f>O8</f>
        <v>270</v>
      </c>
      <c r="P24" s="32" t="s">
        <v>32</v>
      </c>
      <c r="Q24" s="32"/>
      <c r="R24" s="32"/>
      <c r="S24" s="32"/>
      <c r="T24" s="32"/>
      <c r="U24" s="32"/>
    </row>
    <row r="25" spans="1:21" x14ac:dyDescent="0.25">
      <c r="A25" s="47"/>
      <c r="B25" s="50" t="s">
        <v>86</v>
      </c>
      <c r="C25" s="50" t="s">
        <v>87</v>
      </c>
      <c r="D25" s="50" t="s">
        <v>83</v>
      </c>
      <c r="E25" s="47"/>
      <c r="F25" s="47"/>
      <c r="G25" s="47"/>
      <c r="H25" s="47"/>
      <c r="I25" s="47"/>
      <c r="J25" s="47"/>
      <c r="K25" s="60"/>
      <c r="L25" s="32"/>
      <c r="M25" s="35" t="s">
        <v>86</v>
      </c>
      <c r="N25" s="35" t="s">
        <v>87</v>
      </c>
      <c r="O25" s="35" t="s">
        <v>83</v>
      </c>
      <c r="P25" s="32"/>
      <c r="Q25" s="32"/>
      <c r="R25" s="32"/>
      <c r="S25" s="32"/>
      <c r="T25" s="32"/>
      <c r="U25" s="32"/>
    </row>
    <row r="26" spans="1:21" ht="16.5" x14ac:dyDescent="0.3">
      <c r="A26" s="47" t="s">
        <v>41</v>
      </c>
      <c r="B26" s="115">
        <f>'Step 8'!B42</f>
        <v>8.3705655329351281</v>
      </c>
      <c r="C26" s="136">
        <f>IF(ROUNDDOWN(D24,-2)=ROUNDUP(D24,-2),VLOOKUP(D24,Enthalpy,19),VLOOKUP(ROUNDDOWN(D24,-2),Enthalpy,19)+(D24-ROUNDDOWN(D24,-2))/(ROUNDUP(D24,-2)-ROUNDDOWN(D24,-2))*(VLOOKUP(ROUNDUP(D24,-2),Enthalpy,19)-VLOOKUP(ROUNDDOWN(D24,-2),Enthalpy,19)))</f>
        <v>1939.6</v>
      </c>
      <c r="D26" s="136">
        <f t="shared" ref="D26:D31" si="0">(B26*C26)</f>
        <v>16235.548907680974</v>
      </c>
      <c r="E26" s="47"/>
      <c r="F26" s="203" t="s">
        <v>120</v>
      </c>
      <c r="G26" s="204"/>
      <c r="H26" s="205">
        <f>1-(B26+B30+8*B18)/'Example 22-1 Conditions'!C12</f>
        <v>0.95420452144575729</v>
      </c>
      <c r="I26" s="47"/>
      <c r="J26" s="47"/>
      <c r="K26" s="60"/>
      <c r="L26" s="32" t="s">
        <v>41</v>
      </c>
      <c r="M26" s="71">
        <f>'Step 8'!M42</f>
        <v>8.3705656588220858</v>
      </c>
      <c r="N26" s="95">
        <f>IF(ROUNDDOWN(O24,-2)=ROUNDUP(O24,-2),VLOOKUP(O24,Enthalpy,19),VLOOKUP(ROUNDDOWN(O24,-2),Enthalpy,19)+(O24-ROUNDDOWN(O24,-2))/(ROUNDUP(O24,-2)-ROUNDDOWN(O24,-2))*(VLOOKUP(ROUNDUP(O24,-2),Enthalpy,19)-VLOOKUP(ROUNDDOWN(O24,-2),Enthalpy,19)))</f>
        <v>1939.6</v>
      </c>
      <c r="O26" s="95">
        <f t="shared" ref="O26:O31" si="1">(M26*N26)</f>
        <v>16235.549151851317</v>
      </c>
      <c r="P26" s="32"/>
      <c r="Q26" s="187" t="s">
        <v>120</v>
      </c>
      <c r="R26" s="188"/>
      <c r="S26" s="189">
        <f>1-(M26+M30+8*M18)/'Example 22-1 Conditions'!N12</f>
        <v>0.95420452079686657</v>
      </c>
      <c r="T26" s="32"/>
      <c r="U26" s="32"/>
    </row>
    <row r="27" spans="1:21" ht="16.5" x14ac:dyDescent="0.3">
      <c r="A27" s="47" t="s">
        <v>44</v>
      </c>
      <c r="B27" s="115">
        <f>'Step 8'!B43</f>
        <v>159.09563336735241</v>
      </c>
      <c r="C27" s="136">
        <f>IF(ROUNDDOWN(D24,-2)=ROUNDUP(D24,-2),VLOOKUP(D24,Enthalpy,14),VLOOKUP(ROUNDDOWN(D24,-2),Enthalpy,14)+(D24-ROUNDDOWN(D24,-2))/(ROUNDUP(D24,-2)-ROUNDDOWN(D24,-2))*(VLOOKUP(ROUNDUP(D24,-2),Enthalpy,14)-VLOOKUP(ROUNDDOWN(D24,-2),Enthalpy,14)))</f>
        <v>2236.6999999999998</v>
      </c>
      <c r="D27" s="136">
        <f t="shared" si="0"/>
        <v>355849.20315275708</v>
      </c>
      <c r="E27" s="47"/>
      <c r="F27" s="47"/>
      <c r="G27" s="47"/>
      <c r="H27" s="47"/>
      <c r="I27" s="47"/>
      <c r="J27" s="47"/>
      <c r="K27" s="60"/>
      <c r="L27" s="32" t="s">
        <v>44</v>
      </c>
      <c r="M27" s="71">
        <f>'Step 8'!M43</f>
        <v>159.09563336735241</v>
      </c>
      <c r="N27" s="95">
        <f>IF(ROUNDDOWN(O24,-2)=ROUNDUP(O24,-2),VLOOKUP(O24,Enthalpy,14),VLOOKUP(ROUNDDOWN(O24,-2),Enthalpy,14)+(O24-ROUNDDOWN(O24,-2))/(ROUNDUP(O24,-2)-ROUNDDOWN(O24,-2))*(VLOOKUP(ROUNDUP(O24,-2),Enthalpy,14)-VLOOKUP(ROUNDDOWN(O24,-2),Enthalpy,14)))</f>
        <v>2236.6999999999998</v>
      </c>
      <c r="O27" s="95">
        <f t="shared" si="1"/>
        <v>355849.20315275708</v>
      </c>
      <c r="P27" s="32"/>
      <c r="Q27" s="32"/>
      <c r="R27" s="32"/>
      <c r="S27" s="32"/>
      <c r="T27" s="32"/>
      <c r="U27" s="32"/>
    </row>
    <row r="28" spans="1:21" ht="16.5" x14ac:dyDescent="0.3">
      <c r="A28" s="47" t="s">
        <v>212</v>
      </c>
      <c r="B28" s="115">
        <f>'Step 8'!B44</f>
        <v>16.300223504340146</v>
      </c>
      <c r="C28" s="136">
        <f>IF(ROUNDDOWN(D24,-2)=ROUNDUP(D24,-2),VLOOKUP(D24,Enthalpy,12),VLOOKUP(ROUNDDOWN(D24,-2),Enthalpy,12)+(D24-ROUNDDOWN(D24,-2))/(ROUNDUP(D24,-2)-ROUNDDOWN(D24,-2))*(VLOOKUP(ROUNDUP(D24,-2),Enthalpy,12)-VLOOKUP(ROUNDDOWN(D24,-2),Enthalpy,12)))</f>
        <v>1660.9</v>
      </c>
      <c r="D28" s="136">
        <f t="shared" si="0"/>
        <v>27073.04121835855</v>
      </c>
      <c r="E28" s="47"/>
      <c r="F28" s="47"/>
      <c r="G28" s="47"/>
      <c r="H28" s="47"/>
      <c r="I28" s="47"/>
      <c r="J28" s="47"/>
      <c r="K28" s="60"/>
      <c r="L28" s="32" t="s">
        <v>212</v>
      </c>
      <c r="M28" s="71">
        <f>'Step 8'!M44</f>
        <v>16.300223504340146</v>
      </c>
      <c r="N28" s="95">
        <f>IF(ROUNDDOWN(O24,-2)=ROUNDUP(O24,-2),VLOOKUP(O24,Enthalpy,12),VLOOKUP(ROUNDDOWN(O24,-2),Enthalpy,12)+(O24-ROUNDDOWN(O24,-2))/(ROUNDUP(O24,-2)-ROUNDDOWN(O24,-2))*(VLOOKUP(ROUNDUP(O24,-2),Enthalpy,12)-VLOOKUP(ROUNDDOWN(O24,-2),Enthalpy,12)))</f>
        <v>1660.9</v>
      </c>
      <c r="O28" s="95">
        <f t="shared" si="1"/>
        <v>27073.04121835855</v>
      </c>
      <c r="P28" s="32"/>
      <c r="Q28" s="32"/>
      <c r="R28" s="32"/>
      <c r="S28" s="32"/>
      <c r="T28" s="32"/>
      <c r="U28" s="32"/>
    </row>
    <row r="29" spans="1:21" ht="16.5" x14ac:dyDescent="0.3">
      <c r="A29" s="47" t="s">
        <v>47</v>
      </c>
      <c r="B29" s="115">
        <f>'Step 8'!B45</f>
        <v>326.32021253325479</v>
      </c>
      <c r="C29" s="136">
        <f>IF(ROUNDDOWN(D24,-2)=ROUNDUP(D24,-2),VLOOKUP(D24,Enthalpy,15),VLOOKUP(ROUNDDOWN(D24,-2),Enthalpy,15)+(D24-ROUNDDOWN(D24,-2))/(ROUNDUP(D24,-2)-ROUNDDOWN(D24,-2))*(VLOOKUP(ROUNDUP(D24,-2),Enthalpy,15)-VLOOKUP(ROUNDDOWN(D24,-2),Enthalpy,15)))</f>
        <v>1976</v>
      </c>
      <c r="D29" s="136">
        <f t="shared" si="0"/>
        <v>644808.73996571149</v>
      </c>
      <c r="E29" s="47"/>
      <c r="F29" s="47"/>
      <c r="G29" s="47"/>
      <c r="H29" s="47"/>
      <c r="I29" s="47"/>
      <c r="J29" s="47"/>
      <c r="K29" s="60"/>
      <c r="L29" s="32" t="s">
        <v>47</v>
      </c>
      <c r="M29" s="71">
        <f>'Step 8'!M45</f>
        <v>326.32021240736788</v>
      </c>
      <c r="N29" s="95">
        <f>IF(ROUNDDOWN(O24,-2)=ROUNDUP(O24,-2),VLOOKUP(O24,Enthalpy,15),VLOOKUP(ROUNDDOWN(O24,-2),Enthalpy,15)+(O24-ROUNDDOWN(O24,-2))/(ROUNDUP(O24,-2)-ROUNDDOWN(O24,-2))*(VLOOKUP(ROUNDUP(O24,-2),Enthalpy,15)-VLOOKUP(ROUNDDOWN(O24,-2),Enthalpy,15)))</f>
        <v>1976</v>
      </c>
      <c r="O29" s="95">
        <f t="shared" si="1"/>
        <v>644808.73971695895</v>
      </c>
      <c r="P29" s="32"/>
      <c r="Q29" s="32"/>
      <c r="R29" s="32"/>
      <c r="S29" s="32"/>
      <c r="T29" s="32"/>
      <c r="U29" s="32"/>
    </row>
    <row r="30" spans="1:21" ht="16.5" x14ac:dyDescent="0.3">
      <c r="A30" s="47" t="s">
        <v>67</v>
      </c>
      <c r="B30" s="115">
        <f>'Step 8'!B46</f>
        <v>4.185282766467564</v>
      </c>
      <c r="C30" s="136">
        <f>IF(ROUNDDOWN(D24,-2)=ROUNDUP(D24,-2),VLOOKUP(D24,Enthalpy,17),VLOOKUP(ROUNDDOWN(D24,-2),Enthalpy,17)+(D24-ROUNDDOWN(D24,-2))/(ROUNDUP(D24,-2)-ROUNDDOWN(D24,-2))*(VLOOKUP(ROUNDUP(D24,-2),Enthalpy,17)-VLOOKUP(ROUNDDOWN(D24,-2),Enthalpy,17)))</f>
        <v>2401.1</v>
      </c>
      <c r="D30" s="136">
        <f t="shared" si="0"/>
        <v>10049.282450565268</v>
      </c>
      <c r="E30" s="47"/>
      <c r="F30" s="47"/>
      <c r="G30" s="47"/>
      <c r="H30" s="47"/>
      <c r="I30" s="47"/>
      <c r="J30" s="47"/>
      <c r="K30" s="60"/>
      <c r="L30" s="32" t="s">
        <v>67</v>
      </c>
      <c r="M30" s="71">
        <f>'Step 8'!M46</f>
        <v>4.1852828294110429</v>
      </c>
      <c r="N30" s="95">
        <f>IF(ROUNDDOWN(O24,-2)=ROUNDUP(O24,-2),VLOOKUP(O24,Enthalpy,17),VLOOKUP(ROUNDDOWN(O24,-2),Enthalpy,17)+(O24-ROUNDDOWN(O24,-2))/(ROUNDUP(O24,-2)-ROUNDDOWN(O24,-2))*(VLOOKUP(ROUNDUP(O24,-2),Enthalpy,17)-VLOOKUP(ROUNDDOWN(O24,-2),Enthalpy,17)))</f>
        <v>2401.1</v>
      </c>
      <c r="O30" s="95">
        <f t="shared" si="1"/>
        <v>10049.282601698855</v>
      </c>
      <c r="P30" s="32"/>
      <c r="Q30" s="32"/>
      <c r="R30" s="32"/>
      <c r="S30" s="32"/>
      <c r="T30" s="32"/>
      <c r="U30" s="32"/>
    </row>
    <row r="31" spans="1:21" ht="16.5" x14ac:dyDescent="0.3">
      <c r="A31" s="47" t="s">
        <v>68</v>
      </c>
      <c r="B31" s="115">
        <f>'Step 8'!B47</f>
        <v>551.97957289408987</v>
      </c>
      <c r="C31" s="136">
        <f>IF(ROUNDDOWN(D24,-2)=ROUNDUP(D24,-2),VLOOKUP(D24,Enthalpy,9),VLOOKUP(ROUNDDOWN(D24,-2),Enthalpy,9)+(D24-ROUNDDOWN(D24,-2))/(ROUNDUP(D24,-2)-ROUNDDOWN(D24,-2))*(VLOOKUP(ROUNDUP(D24,-2),Enthalpy,9)-VLOOKUP(ROUNDDOWN(D24,-2),Enthalpy,9)))</f>
        <v>1663</v>
      </c>
      <c r="D31" s="136">
        <f t="shared" si="0"/>
        <v>917942.02972287149</v>
      </c>
      <c r="E31" s="47"/>
      <c r="F31" s="47"/>
      <c r="G31" s="47"/>
      <c r="H31" s="47"/>
      <c r="I31" s="47"/>
      <c r="J31" s="47"/>
      <c r="K31" s="60"/>
      <c r="L31" s="32" t="s">
        <v>68</v>
      </c>
      <c r="M31" s="71">
        <f>'Step 8'!M47</f>
        <v>551.97957289408987</v>
      </c>
      <c r="N31" s="95">
        <f>IF(ROUNDDOWN(O24,-2)=ROUNDUP(O24,-2),VLOOKUP(O24,Enthalpy,9),VLOOKUP(ROUNDDOWN(O24,-2),Enthalpy,9)+(O24-ROUNDDOWN(O24,-2))/(ROUNDUP(O24,-2)-ROUNDDOWN(O24,-2))*(VLOOKUP(ROUNDUP(O24,-2),Enthalpy,9)-VLOOKUP(ROUNDDOWN(O24,-2),Enthalpy,9)))</f>
        <v>1663</v>
      </c>
      <c r="O31" s="95">
        <f t="shared" si="1"/>
        <v>917942.02972287149</v>
      </c>
      <c r="P31" s="32"/>
      <c r="Q31" s="32"/>
      <c r="R31" s="32"/>
      <c r="S31" s="32"/>
      <c r="T31" s="32"/>
      <c r="U31" s="32"/>
    </row>
    <row r="32" spans="1:21" ht="16.5" x14ac:dyDescent="0.3">
      <c r="A32" s="206" t="s">
        <v>121</v>
      </c>
      <c r="B32" s="115"/>
      <c r="C32" s="269"/>
      <c r="D32" s="136"/>
      <c r="E32" s="47"/>
      <c r="F32" s="47"/>
      <c r="G32" s="47"/>
      <c r="H32" s="47"/>
      <c r="I32" s="47"/>
      <c r="J32" s="47"/>
      <c r="K32" s="60"/>
      <c r="L32" s="190" t="s">
        <v>121</v>
      </c>
      <c r="M32" s="71"/>
      <c r="N32" s="250"/>
      <c r="O32" s="95"/>
      <c r="P32" s="32"/>
      <c r="Q32" s="32"/>
      <c r="R32" s="32"/>
      <c r="S32" s="32"/>
      <c r="T32" s="32"/>
      <c r="U32" s="32"/>
    </row>
    <row r="33" spans="1:21" ht="16.5" x14ac:dyDescent="0.3">
      <c r="A33" s="206" t="s">
        <v>123</v>
      </c>
      <c r="B33" s="115"/>
      <c r="C33" s="56"/>
      <c r="D33" s="56"/>
      <c r="E33" s="47"/>
      <c r="F33" s="47"/>
      <c r="G33" s="47"/>
      <c r="H33" s="47"/>
      <c r="I33" s="47"/>
      <c r="J33" s="47"/>
      <c r="K33" s="60"/>
      <c r="L33" s="190" t="s">
        <v>123</v>
      </c>
      <c r="M33" s="71"/>
      <c r="N33" s="41"/>
      <c r="O33" s="41"/>
      <c r="P33" s="32"/>
      <c r="Q33" s="32"/>
      <c r="R33" s="32"/>
      <c r="S33" s="32"/>
      <c r="T33" s="32"/>
      <c r="U33" s="32"/>
    </row>
    <row r="34" spans="1:21" ht="16.5" x14ac:dyDescent="0.3">
      <c r="A34" s="206" t="s">
        <v>124</v>
      </c>
      <c r="B34" s="276">
        <f>'Step 8'!B50</f>
        <v>2.3883530106306856</v>
      </c>
      <c r="C34" s="136">
        <f>IF(ROUNDDOWN(D24,-2)=ROUNDUP(D24,-2),VLOOKUP(D24,Enthalpy,23),VLOOKUP(ROUNDDOWN(D24,-2),Enthalpy,23)+(D24-ROUNDDOWN(D24,-2))/(ROUNDUP(D24,-2)-ROUNDDOWN(D24,-2))*(VLOOKUP(ROUNDUP(D24,-2),Enthalpy,23)-VLOOKUP(ROUNDDOWN(D24,-2),Enthalpy,23)))</f>
        <v>9167.2000000000007</v>
      </c>
      <c r="D34" s="143">
        <f>(B34*C34)</f>
        <v>21894.509719053622</v>
      </c>
      <c r="E34" s="47"/>
      <c r="F34" s="47"/>
      <c r="G34" s="47"/>
      <c r="H34" s="47"/>
      <c r="I34" s="47"/>
      <c r="J34" s="47"/>
      <c r="K34" s="60"/>
      <c r="L34" s="190" t="s">
        <v>124</v>
      </c>
      <c r="M34" s="273">
        <f>'Step 8'!M50</f>
        <v>2.3883530001045186</v>
      </c>
      <c r="N34" s="95">
        <f>IF(ROUNDDOWN(O24,-2)=ROUNDUP(O24,-2),VLOOKUP(O24,Enthalpy,23),VLOOKUP(ROUNDDOWN(O24,-2),Enthalpy,23)+(O24-ROUNDDOWN(O24,-2))/(ROUNDUP(O24,-2)-ROUNDDOWN(O24,-2))*(VLOOKUP(ROUNDUP(O24,-2),Enthalpy,23)-VLOOKUP(ROUNDDOWN(O24,-2),Enthalpy,23)))</f>
        <v>9167.2000000000007</v>
      </c>
      <c r="O34" s="103">
        <f>(M34*N34)</f>
        <v>21894.509622558144</v>
      </c>
      <c r="P34" s="32"/>
      <c r="Q34" s="32"/>
      <c r="R34" s="32"/>
      <c r="S34" s="32"/>
      <c r="T34" s="32"/>
      <c r="U34" s="32"/>
    </row>
    <row r="35" spans="1:21" x14ac:dyDescent="0.25">
      <c r="A35" s="47"/>
      <c r="B35" s="115">
        <f>SUM(B26:B34)</f>
        <v>1068.6398436090706</v>
      </c>
      <c r="C35" s="56"/>
      <c r="D35" s="136">
        <f>SUM(D26:D34)</f>
        <v>1993852.3551369985</v>
      </c>
      <c r="E35" s="47"/>
      <c r="F35" s="47"/>
      <c r="G35" s="47"/>
      <c r="H35" s="47"/>
      <c r="I35" s="47"/>
      <c r="J35" s="47"/>
      <c r="K35" s="60"/>
      <c r="L35" s="32"/>
      <c r="M35" s="71">
        <f>SUM(M26:M34)</f>
        <v>1068.6398436614877</v>
      </c>
      <c r="N35" s="41"/>
      <c r="O35" s="95">
        <f>SUM(O26:O34)</f>
        <v>1993852.3551870545</v>
      </c>
      <c r="P35" s="32"/>
      <c r="Q35" s="32"/>
      <c r="R35" s="32"/>
      <c r="S35" s="32"/>
      <c r="T35" s="32"/>
      <c r="U35" s="32"/>
    </row>
    <row r="36" spans="1:21" x14ac:dyDescent="0.25">
      <c r="A36" s="47"/>
      <c r="B36" s="56" t="s">
        <v>101</v>
      </c>
      <c r="C36" s="202">
        <f>'Step 8'!D51-D35</f>
        <v>1864412.1322367066</v>
      </c>
      <c r="D36" s="110" t="s">
        <v>83</v>
      </c>
      <c r="E36" s="47"/>
      <c r="F36" s="47"/>
      <c r="G36" s="47"/>
      <c r="H36" s="47"/>
      <c r="I36" s="47"/>
      <c r="J36" s="47"/>
      <c r="K36" s="60"/>
      <c r="L36" s="32"/>
      <c r="M36" s="41" t="s">
        <v>101</v>
      </c>
      <c r="N36" s="186">
        <f>'Step 8'!O51-O35</f>
        <v>1864412.1488377212</v>
      </c>
      <c r="O36" s="66" t="s">
        <v>83</v>
      </c>
      <c r="P36" s="32"/>
      <c r="Q36" s="32"/>
      <c r="R36" s="32"/>
      <c r="S36" s="32"/>
      <c r="T36" s="32"/>
      <c r="U36" s="32"/>
    </row>
    <row r="37" spans="1:21" x14ac:dyDescent="0.25">
      <c r="A37" s="47"/>
      <c r="B37" s="49"/>
      <c r="C37" s="49"/>
      <c r="D37" s="47"/>
      <c r="E37" s="47"/>
      <c r="F37" s="47"/>
      <c r="G37" s="47"/>
      <c r="H37" s="47"/>
      <c r="I37" s="47"/>
      <c r="J37" s="47"/>
      <c r="K37" s="60"/>
      <c r="L37" s="32"/>
      <c r="M37" s="34"/>
      <c r="N37" s="34"/>
      <c r="O37" s="32"/>
      <c r="P37" s="32"/>
      <c r="Q37" s="32"/>
      <c r="R37" s="32"/>
      <c r="S37" s="32"/>
      <c r="T37" s="32"/>
      <c r="U37" s="32"/>
    </row>
    <row r="38" spans="1:21" x14ac:dyDescent="0.25">
      <c r="A38" s="47" t="s">
        <v>234</v>
      </c>
      <c r="B38" s="49"/>
      <c r="C38" s="49"/>
      <c r="D38" s="47"/>
      <c r="E38" s="47"/>
      <c r="F38" s="47"/>
      <c r="G38" s="47"/>
      <c r="H38" s="47"/>
      <c r="I38" s="47"/>
      <c r="J38" s="47"/>
      <c r="K38" s="60"/>
      <c r="L38" s="32" t="s">
        <v>234</v>
      </c>
      <c r="M38" s="34"/>
      <c r="N38" s="34"/>
      <c r="O38" s="32"/>
      <c r="P38" s="32"/>
      <c r="Q38" s="32"/>
      <c r="R38" s="32"/>
      <c r="S38" s="32"/>
      <c r="T38" s="32"/>
      <c r="U38" s="32"/>
    </row>
    <row r="39" spans="1:21" ht="16.5" x14ac:dyDescent="0.3">
      <c r="A39" s="208" t="s">
        <v>128</v>
      </c>
      <c r="B39" s="174">
        <v>135</v>
      </c>
      <c r="C39" s="110" t="s">
        <v>127</v>
      </c>
      <c r="D39" s="145">
        <f>(B21*B39*8*32.065)</f>
        <v>79358.281672643818</v>
      </c>
      <c r="E39" s="47" t="s">
        <v>83</v>
      </c>
      <c r="F39" s="47"/>
      <c r="G39" s="47"/>
      <c r="H39" s="47"/>
      <c r="I39" s="47"/>
      <c r="J39" s="47"/>
      <c r="K39" s="60"/>
      <c r="L39" s="192" t="s">
        <v>128</v>
      </c>
      <c r="M39" s="158">
        <v>135</v>
      </c>
      <c r="N39" s="66" t="s">
        <v>127</v>
      </c>
      <c r="O39" s="105">
        <f>(M21*M39*8*32.065)</f>
        <v>79358.281307922734</v>
      </c>
      <c r="P39" s="32" t="s">
        <v>83</v>
      </c>
      <c r="Q39" s="32"/>
      <c r="R39" s="32"/>
      <c r="S39" s="32"/>
      <c r="T39" s="32"/>
      <c r="U39" s="32"/>
    </row>
    <row r="40" spans="1:21" ht="15.75" thickBot="1" x14ac:dyDescent="0.3">
      <c r="A40" s="47"/>
      <c r="B40" s="49"/>
      <c r="C40" s="49"/>
      <c r="D40" s="47"/>
      <c r="E40" s="47"/>
      <c r="F40" s="47"/>
      <c r="G40" s="47"/>
      <c r="H40" s="47"/>
      <c r="I40" s="47"/>
      <c r="J40" s="47"/>
      <c r="K40" s="60"/>
      <c r="L40" s="32"/>
      <c r="M40" s="34"/>
      <c r="N40" s="34"/>
      <c r="O40" s="32"/>
      <c r="P40" s="32"/>
      <c r="Q40" s="32"/>
      <c r="R40" s="32"/>
      <c r="S40" s="32"/>
      <c r="T40" s="32"/>
      <c r="U40" s="32"/>
    </row>
    <row r="41" spans="1:21" ht="15.75" thickBot="1" x14ac:dyDescent="0.3">
      <c r="A41" s="47" t="s">
        <v>132</v>
      </c>
      <c r="B41" s="209">
        <f>C36+D39</f>
        <v>1943770.4139093503</v>
      </c>
      <c r="C41" s="110" t="s">
        <v>83</v>
      </c>
      <c r="D41" s="47"/>
      <c r="E41" s="47"/>
      <c r="F41" s="47"/>
      <c r="G41" s="47"/>
      <c r="H41" s="47"/>
      <c r="I41" s="47"/>
      <c r="J41" s="47"/>
      <c r="K41" s="60"/>
      <c r="L41" s="32" t="s">
        <v>132</v>
      </c>
      <c r="M41" s="194">
        <f>N36+O39</f>
        <v>1943770.4301456439</v>
      </c>
      <c r="N41" s="66" t="s">
        <v>83</v>
      </c>
      <c r="O41" s="32"/>
      <c r="P41" s="32"/>
      <c r="Q41" s="32"/>
      <c r="R41" s="32"/>
      <c r="S41" s="32"/>
      <c r="T41" s="32"/>
      <c r="U41" s="32"/>
    </row>
    <row r="42" spans="1:21" x14ac:dyDescent="0.25">
      <c r="A42" s="47"/>
      <c r="B42" s="49"/>
      <c r="C42" s="49"/>
      <c r="D42" s="47"/>
      <c r="E42" s="47"/>
      <c r="F42" s="47"/>
      <c r="G42" s="47"/>
      <c r="H42" s="47"/>
      <c r="I42" s="47"/>
      <c r="J42" s="47"/>
      <c r="L42" s="32"/>
      <c r="M42" s="34"/>
      <c r="N42" s="34"/>
      <c r="O42" s="32"/>
      <c r="P42" s="32"/>
      <c r="Q42" s="32"/>
      <c r="R42" s="32"/>
      <c r="S42" s="32"/>
      <c r="T42" s="32"/>
      <c r="U42" s="32"/>
    </row>
    <row r="44" spans="1:21" x14ac:dyDescent="0.25">
      <c r="A44" s="44" t="s">
        <v>307</v>
      </c>
    </row>
    <row r="45" spans="1:21" x14ac:dyDescent="0.25">
      <c r="A45" s="44" t="s">
        <v>303</v>
      </c>
    </row>
    <row r="46" spans="1:21" x14ac:dyDescent="0.25">
      <c r="A46" s="44" t="s">
        <v>304</v>
      </c>
    </row>
    <row r="47" spans="1:21" x14ac:dyDescent="0.25">
      <c r="A47" s="44" t="s">
        <v>305</v>
      </c>
    </row>
    <row r="48" spans="1:21" x14ac:dyDescent="0.25">
      <c r="A48" s="45" t="s">
        <v>306</v>
      </c>
    </row>
  </sheetData>
  <sheetProtection password="E156" sheet="1" objects="1" scenarios="1"/>
  <mergeCells count="2">
    <mergeCell ref="C23:D23"/>
    <mergeCell ref="N23:O23"/>
  </mergeCells>
  <pageMargins left="0.7" right="0.7" top="0.75" bottom="0.75" header="0.51180555555555551" footer="0.51180555555555551"/>
  <pageSetup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U36"/>
  <sheetViews>
    <sheetView zoomScaleNormal="100" workbookViewId="0">
      <selection activeCell="F3" sqref="F3"/>
    </sheetView>
  </sheetViews>
  <sheetFormatPr defaultColWidth="8.7109375" defaultRowHeight="15" x14ac:dyDescent="0.25"/>
  <cols>
    <col min="1" max="1" width="15.7109375" style="28" customWidth="1"/>
    <col min="2" max="2" width="15.85546875" style="28" customWidth="1"/>
    <col min="3" max="3" width="15.28515625" style="28" customWidth="1"/>
    <col min="4" max="4" width="12.85546875" style="28" customWidth="1"/>
    <col min="5" max="5" width="8.5703125" style="28" customWidth="1"/>
    <col min="6" max="6" width="9.7109375" style="28" customWidth="1"/>
    <col min="7" max="11" width="8.7109375" style="28"/>
    <col min="12" max="12" width="15.7109375" style="28" customWidth="1"/>
    <col min="13" max="13" width="15.85546875" style="28" customWidth="1"/>
    <col min="14" max="14" width="15.28515625" style="28" customWidth="1"/>
    <col min="15" max="15" width="14.85546875" style="28" customWidth="1"/>
    <col min="16" max="16" width="8.7109375" style="28" customWidth="1"/>
    <col min="17" max="17" width="9.85546875" style="28" customWidth="1"/>
    <col min="18" max="16384" width="8.7109375" style="28"/>
  </cols>
  <sheetData>
    <row r="1" spans="1:21" x14ac:dyDescent="0.25">
      <c r="A1" s="27" t="s">
        <v>298</v>
      </c>
    </row>
    <row r="5" spans="1:21" ht="24" x14ac:dyDescent="0.3">
      <c r="A5" s="106" t="s">
        <v>282</v>
      </c>
      <c r="B5" s="49"/>
      <c r="C5" s="49"/>
      <c r="D5" s="47"/>
      <c r="E5" s="47"/>
      <c r="F5" s="47"/>
      <c r="G5" s="47"/>
      <c r="H5" s="47"/>
      <c r="I5" s="47"/>
      <c r="J5" s="47"/>
      <c r="K5" s="60"/>
      <c r="L5" s="270" t="s">
        <v>282</v>
      </c>
      <c r="M5" s="34"/>
      <c r="N5" s="34"/>
      <c r="O5" s="32"/>
      <c r="P5" s="32"/>
      <c r="Q5" s="32"/>
      <c r="R5" s="32"/>
      <c r="S5" s="32"/>
      <c r="T5" s="32"/>
      <c r="U5" s="32"/>
    </row>
    <row r="6" spans="1:21" ht="36.75" customHeight="1" x14ac:dyDescent="0.25">
      <c r="A6" s="219" t="s">
        <v>133</v>
      </c>
      <c r="B6" s="220"/>
      <c r="C6" s="220"/>
      <c r="D6" s="220"/>
      <c r="E6" s="220"/>
      <c r="F6" s="220"/>
      <c r="G6" s="220"/>
      <c r="H6" s="47"/>
      <c r="I6" s="47"/>
      <c r="J6" s="47"/>
      <c r="K6" s="60"/>
      <c r="L6" s="211" t="s">
        <v>133</v>
      </c>
      <c r="M6" s="210"/>
      <c r="N6" s="210"/>
      <c r="O6" s="210"/>
      <c r="P6" s="210"/>
      <c r="Q6" s="210"/>
      <c r="R6" s="210"/>
      <c r="S6" s="32"/>
      <c r="T6" s="32"/>
      <c r="U6" s="32"/>
    </row>
    <row r="7" spans="1:21" ht="16.5" x14ac:dyDescent="0.3">
      <c r="A7" s="47" t="s">
        <v>135</v>
      </c>
      <c r="B7" s="49"/>
      <c r="C7" s="127">
        <f>8*'Step 9'!B34</f>
        <v>19.106824085045485</v>
      </c>
      <c r="D7" s="47" t="s">
        <v>86</v>
      </c>
      <c r="E7" s="47"/>
      <c r="F7" s="47"/>
      <c r="G7" s="47"/>
      <c r="H7" s="47"/>
      <c r="I7" s="47"/>
      <c r="J7" s="47"/>
      <c r="K7" s="60"/>
      <c r="L7" s="32" t="s">
        <v>135</v>
      </c>
      <c r="M7" s="34"/>
      <c r="N7" s="87">
        <f>8*'Step 9'!M34</f>
        <v>19.106824000836149</v>
      </c>
      <c r="O7" s="32" t="s">
        <v>86</v>
      </c>
      <c r="P7" s="32"/>
      <c r="Q7" s="32"/>
      <c r="R7" s="32"/>
      <c r="S7" s="32"/>
      <c r="T7" s="32"/>
      <c r="U7" s="32"/>
    </row>
    <row r="8" spans="1:21" x14ac:dyDescent="0.25">
      <c r="A8" s="47" t="s">
        <v>136</v>
      </c>
      <c r="B8" s="49"/>
      <c r="C8" s="49"/>
      <c r="D8" s="117">
        <v>0.7</v>
      </c>
      <c r="E8" s="47" t="s">
        <v>74</v>
      </c>
      <c r="F8" s="47"/>
      <c r="G8" s="47"/>
      <c r="H8" s="47"/>
      <c r="I8" s="47"/>
      <c r="J8" s="47"/>
      <c r="K8" s="60"/>
      <c r="L8" s="32" t="s">
        <v>136</v>
      </c>
      <c r="M8" s="34"/>
      <c r="N8" s="34"/>
      <c r="O8" s="73">
        <v>0.7</v>
      </c>
      <c r="P8" s="32" t="s">
        <v>74</v>
      </c>
      <c r="Q8" s="32"/>
      <c r="R8" s="32"/>
      <c r="S8" s="32"/>
      <c r="T8" s="32"/>
      <c r="U8" s="32"/>
    </row>
    <row r="9" spans="1:21" x14ac:dyDescent="0.25">
      <c r="A9" s="47" t="s">
        <v>137</v>
      </c>
      <c r="B9" s="223">
        <f>'Step 9'!G7-D8</f>
        <v>15.5</v>
      </c>
      <c r="C9" s="47" t="s">
        <v>74</v>
      </c>
      <c r="D9" s="47"/>
      <c r="E9" s="47"/>
      <c r="F9" s="47"/>
      <c r="G9" s="47"/>
      <c r="H9" s="47"/>
      <c r="I9" s="47"/>
      <c r="J9" s="47"/>
      <c r="K9" s="60"/>
      <c r="L9" s="32" t="s">
        <v>137</v>
      </c>
      <c r="M9" s="214">
        <f>'Step 9'!R7-O8</f>
        <v>15.5</v>
      </c>
      <c r="N9" s="32" t="s">
        <v>74</v>
      </c>
      <c r="O9" s="32"/>
      <c r="P9" s="32"/>
      <c r="Q9" s="32"/>
      <c r="R9" s="32"/>
      <c r="S9" s="32"/>
      <c r="T9" s="32"/>
      <c r="U9" s="32"/>
    </row>
    <row r="10" spans="1:21" ht="16.5" x14ac:dyDescent="0.3">
      <c r="A10" s="47" t="s">
        <v>138</v>
      </c>
      <c r="B10" s="49"/>
      <c r="C10" s="133" t="str">
        <f>CONCATENATE(ROUND(C7,2)," / ",ROUND('Step 9'!B26+'Step 9'!B27+'Step 9'!B29+'Step 9'!B30+'Step 9'!B31+'Step 9'!B33*6+'Step 9'!B34*8,2)," * ",ROUND(B9,2)," = ")</f>
        <v xml:space="preserve">19.11 / 1069.06 * 15.5 = </v>
      </c>
      <c r="D10" s="134"/>
      <c r="E10" s="127">
        <f>C7/('Step 9'!B26+'Step 9'!B27+'Step 9'!B29+'Step 9'!B30+'Step 9'!B31+'Step 9'!B33*6+'Step 9'!B34*8) * B9</f>
        <v>0.2770249584768143</v>
      </c>
      <c r="F10" s="47" t="s">
        <v>74</v>
      </c>
      <c r="G10" s="47"/>
      <c r="H10" s="47"/>
      <c r="I10" s="47"/>
      <c r="J10" s="47"/>
      <c r="K10" s="60"/>
      <c r="L10" s="32" t="s">
        <v>138</v>
      </c>
      <c r="M10" s="34"/>
      <c r="N10" s="93" t="str">
        <f>CONCATENATE(ROUND(N7,2)," / ",ROUND('Step 9'!M26+'Step 9'!M27+'Step 9'!M29+'Step 9'!M30+'Step 9'!M31+'Step 9'!M33*6+'Step 9'!M34*8,2)," * ",ROUND(M9,2)," = ")</f>
        <v xml:space="preserve">19.11 / 1069.06 * 15.5 = </v>
      </c>
      <c r="O10" s="92"/>
      <c r="P10" s="87">
        <f>N7/('Step 9'!M26+'Step 9'!M27+'Step 9'!M29+'Step 9'!M30+'Step 9'!M31+'Step 9'!M33*6+'Step 9'!M34*8) * M9</f>
        <v>0.2770249572613952</v>
      </c>
      <c r="Q10" s="32" t="s">
        <v>74</v>
      </c>
      <c r="R10" s="32"/>
      <c r="S10" s="32"/>
      <c r="T10" s="32"/>
      <c r="U10" s="32"/>
    </row>
    <row r="11" spans="1:21" x14ac:dyDescent="0.25">
      <c r="A11" s="47"/>
      <c r="B11" s="56" t="s">
        <v>3</v>
      </c>
      <c r="C11" s="173">
        <f>E10*0.068</f>
        <v>1.8837697176423373E-2</v>
      </c>
      <c r="D11" s="47" t="s">
        <v>111</v>
      </c>
      <c r="E11" s="47"/>
      <c r="F11" s="47"/>
      <c r="G11" s="47"/>
      <c r="H11" s="47"/>
      <c r="I11" s="47"/>
      <c r="J11" s="47"/>
      <c r="K11" s="60"/>
      <c r="L11" s="32"/>
      <c r="M11" s="41" t="s">
        <v>3</v>
      </c>
      <c r="N11" s="157">
        <f>P10*0.068</f>
        <v>1.8837697093774874E-2</v>
      </c>
      <c r="O11" s="32" t="s">
        <v>111</v>
      </c>
      <c r="P11" s="32"/>
      <c r="Q11" s="32"/>
      <c r="R11" s="32"/>
      <c r="S11" s="32"/>
      <c r="T11" s="32"/>
      <c r="U11" s="32"/>
    </row>
    <row r="12" spans="1:21" x14ac:dyDescent="0.25">
      <c r="A12" s="47" t="s">
        <v>226</v>
      </c>
      <c r="B12" s="49"/>
      <c r="C12" s="49"/>
      <c r="D12" s="47"/>
      <c r="E12" s="47"/>
      <c r="F12" s="195">
        <v>380</v>
      </c>
      <c r="G12" s="47" t="s">
        <v>32</v>
      </c>
      <c r="H12" s="47"/>
      <c r="I12" s="47"/>
      <c r="J12" s="47"/>
      <c r="K12" s="60"/>
      <c r="L12" s="32" t="s">
        <v>226</v>
      </c>
      <c r="M12" s="34"/>
      <c r="N12" s="34"/>
      <c r="O12" s="32"/>
      <c r="P12" s="32"/>
      <c r="Q12" s="179">
        <v>380</v>
      </c>
      <c r="R12" s="32" t="s">
        <v>32</v>
      </c>
      <c r="S12" s="32"/>
      <c r="T12" s="32"/>
      <c r="U12" s="32"/>
    </row>
    <row r="13" spans="1:21" x14ac:dyDescent="0.25">
      <c r="A13" s="47" t="s">
        <v>139</v>
      </c>
      <c r="B13" s="49"/>
      <c r="C13" s="49"/>
      <c r="D13" s="117">
        <v>30</v>
      </c>
      <c r="E13" s="47" t="s">
        <v>140</v>
      </c>
      <c r="F13" s="47"/>
      <c r="G13" s="47"/>
      <c r="H13" s="47"/>
      <c r="I13" s="47"/>
      <c r="J13" s="47"/>
      <c r="K13" s="60"/>
      <c r="L13" s="32" t="s">
        <v>139</v>
      </c>
      <c r="M13" s="34"/>
      <c r="N13" s="34"/>
      <c r="O13" s="73">
        <v>30</v>
      </c>
      <c r="P13" s="32" t="s">
        <v>140</v>
      </c>
      <c r="Q13" s="32"/>
      <c r="R13" s="32"/>
      <c r="S13" s="32"/>
      <c r="T13" s="32"/>
      <c r="U13" s="32"/>
    </row>
    <row r="14" spans="1:21" x14ac:dyDescent="0.25">
      <c r="A14" s="47" t="s">
        <v>141</v>
      </c>
      <c r="B14" s="49"/>
      <c r="C14" s="49"/>
      <c r="D14" s="56">
        <f>F12+D13</f>
        <v>410</v>
      </c>
      <c r="E14" s="47" t="s">
        <v>32</v>
      </c>
      <c r="F14" s="47"/>
      <c r="G14" s="47"/>
      <c r="H14" s="47"/>
      <c r="I14" s="47"/>
      <c r="J14" s="47"/>
      <c r="K14" s="60"/>
      <c r="L14" s="32" t="s">
        <v>141</v>
      </c>
      <c r="M14" s="34"/>
      <c r="N14" s="34"/>
      <c r="O14" s="41">
        <f>Q12+O13</f>
        <v>410</v>
      </c>
      <c r="P14" s="32" t="s">
        <v>32</v>
      </c>
      <c r="Q14" s="32"/>
      <c r="R14" s="32"/>
      <c r="S14" s="32"/>
      <c r="T14" s="32"/>
      <c r="U14" s="32"/>
    </row>
    <row r="15" spans="1:21" x14ac:dyDescent="0.25">
      <c r="A15" s="47"/>
      <c r="B15" s="49"/>
      <c r="C15" s="49"/>
      <c r="D15" s="47"/>
      <c r="E15" s="47"/>
      <c r="F15" s="47"/>
      <c r="G15" s="47"/>
      <c r="H15" s="47"/>
      <c r="I15" s="47"/>
      <c r="J15" s="47"/>
      <c r="K15" s="60"/>
      <c r="L15" s="32"/>
      <c r="M15" s="34"/>
      <c r="N15" s="34"/>
      <c r="O15" s="32"/>
      <c r="P15" s="32"/>
      <c r="Q15" s="32"/>
      <c r="R15" s="32"/>
      <c r="S15" s="32"/>
      <c r="T15" s="32"/>
      <c r="U15" s="32"/>
    </row>
    <row r="16" spans="1:21" x14ac:dyDescent="0.25">
      <c r="A16" s="47"/>
      <c r="B16" s="49"/>
      <c r="C16" s="50" t="s">
        <v>85</v>
      </c>
      <c r="D16" s="224">
        <f>D14</f>
        <v>410</v>
      </c>
      <c r="E16" s="225" t="s">
        <v>85</v>
      </c>
      <c r="F16" s="169">
        <f>'Step 9'!D8</f>
        <v>270</v>
      </c>
      <c r="G16" s="47" t="s">
        <v>32</v>
      </c>
      <c r="H16" s="47"/>
      <c r="I16" s="47"/>
      <c r="J16" s="47"/>
      <c r="K16" s="60"/>
      <c r="L16" s="32"/>
      <c r="M16" s="34"/>
      <c r="N16" s="35" t="s">
        <v>85</v>
      </c>
      <c r="O16" s="215">
        <f>O14</f>
        <v>410</v>
      </c>
      <c r="P16" s="216" t="s">
        <v>85</v>
      </c>
      <c r="Q16" s="152">
        <f>'Step 9'!O8</f>
        <v>270</v>
      </c>
      <c r="R16" s="32" t="s">
        <v>32</v>
      </c>
      <c r="S16" s="32"/>
      <c r="T16" s="32"/>
      <c r="U16" s="32"/>
    </row>
    <row r="17" spans="1:21" x14ac:dyDescent="0.25">
      <c r="A17" s="47"/>
      <c r="B17" s="50" t="s">
        <v>86</v>
      </c>
      <c r="C17" s="50" t="s">
        <v>87</v>
      </c>
      <c r="D17" s="50" t="s">
        <v>83</v>
      </c>
      <c r="E17" s="226"/>
      <c r="F17" s="50" t="s">
        <v>83</v>
      </c>
      <c r="G17" s="47"/>
      <c r="H17" s="47"/>
      <c r="I17" s="47"/>
      <c r="J17" s="47"/>
      <c r="K17" s="60"/>
      <c r="L17" s="32"/>
      <c r="M17" s="35" t="s">
        <v>86</v>
      </c>
      <c r="N17" s="35" t="s">
        <v>87</v>
      </c>
      <c r="O17" s="35" t="s">
        <v>83</v>
      </c>
      <c r="P17" s="217"/>
      <c r="Q17" s="35" t="s">
        <v>83</v>
      </c>
      <c r="R17" s="32"/>
      <c r="S17" s="32"/>
      <c r="T17" s="32"/>
      <c r="U17" s="32"/>
    </row>
    <row r="18" spans="1:21" ht="16.5" x14ac:dyDescent="0.3">
      <c r="A18" s="47" t="s">
        <v>41</v>
      </c>
      <c r="B18" s="115">
        <f>'Step 9'!B26</f>
        <v>8.3705655329351281</v>
      </c>
      <c r="C18" s="136">
        <f>IF(ROUNDDOWN(D16,-2)=ROUNDUP(D16,-2),VLOOKUP(D16,Enthalpy,19),VLOOKUP(ROUNDDOWN(D16,-2),Enthalpy,19)+(D16-ROUNDDOWN(D16,-2))/(ROUNDUP(D16,-2)-ROUNDDOWN(D16,-2))*(VLOOKUP(ROUNDUP(D16,-2),Enthalpy,19)-VLOOKUP(ROUNDDOWN(D16,-2),Enthalpy,19)))</f>
        <v>3128</v>
      </c>
      <c r="D18" s="136">
        <f t="shared" ref="D18:D23" si="0">(B18*C18)</f>
        <v>26183.128987021082</v>
      </c>
      <c r="E18" s="136">
        <f>IF(ROUNDDOWN(F16,-2)=ROUNDUP(F16,-2),VLOOKUP(F16,Enthalpy,19),VLOOKUP(ROUNDDOWN(F16,-2),Enthalpy,19)+(F16-ROUNDDOWN(F16,-2))/(ROUNDUP(F16,-2)-ROUNDDOWN(F16,-2))*(VLOOKUP(ROUNDUP(F16,-2),Enthalpy,19)-VLOOKUP(ROUNDDOWN(F16,-2),Enthalpy,19)))</f>
        <v>1939.6</v>
      </c>
      <c r="F18" s="136">
        <f>E18*B18</f>
        <v>16235.548907680974</v>
      </c>
      <c r="G18" s="47"/>
      <c r="H18" s="47"/>
      <c r="I18" s="47"/>
      <c r="J18" s="47"/>
      <c r="K18" s="60"/>
      <c r="L18" s="32" t="s">
        <v>41</v>
      </c>
      <c r="M18" s="71">
        <f>'Step 9'!M26</f>
        <v>8.3705656588220858</v>
      </c>
      <c r="N18" s="95">
        <f>IF(ROUNDDOWN(O16,-2)=ROUNDUP(O16,-2),VLOOKUP(O16,Enthalpy,19),VLOOKUP(ROUNDDOWN(O16,-2),Enthalpy,19)+(O16-ROUNDDOWN(O16,-2))/(ROUNDUP(O16,-2)-ROUNDDOWN(O16,-2))*(VLOOKUP(ROUNDUP(O16,-2),Enthalpy,19)-VLOOKUP(ROUNDDOWN(O16,-2),Enthalpy,19)))</f>
        <v>3128</v>
      </c>
      <c r="O18" s="95">
        <f t="shared" ref="O18:O23" si="1">(M18*N18)</f>
        <v>26183.129380795486</v>
      </c>
      <c r="P18" s="95">
        <f>IF(ROUNDDOWN(Q16,-2)=ROUNDUP(Q16,-2),VLOOKUP(Q16,Enthalpy,19),VLOOKUP(ROUNDDOWN(Q16,-2),Enthalpy,19)+(Q16-ROUNDDOWN(Q16,-2))/(ROUNDUP(Q16,-2)-ROUNDDOWN(Q16,-2))*(VLOOKUP(ROUNDUP(Q16,-2),Enthalpy,19)-VLOOKUP(ROUNDDOWN(Q16,-2),Enthalpy,19)))</f>
        <v>1939.6</v>
      </c>
      <c r="Q18" s="95">
        <f>P18*M18</f>
        <v>16235.549151851317</v>
      </c>
      <c r="R18" s="32"/>
      <c r="S18" s="32"/>
      <c r="T18" s="32"/>
      <c r="U18" s="32"/>
    </row>
    <row r="19" spans="1:21" ht="16.5" x14ac:dyDescent="0.3">
      <c r="A19" s="47" t="s">
        <v>44</v>
      </c>
      <c r="B19" s="115">
        <f>'Step 9'!B27</f>
        <v>159.09563336735241</v>
      </c>
      <c r="C19" s="136">
        <f>IF(ROUNDDOWN(D16,-2)=ROUNDUP(D16,-2),VLOOKUP(D16,Enthalpy,14),VLOOKUP(ROUNDDOWN(D16,-2),Enthalpy,14)+(D16-ROUNDDOWN(D16,-2))/(ROUNDUP(D16,-2)-ROUNDDOWN(D16,-2))*(VLOOKUP(ROUNDUP(D16,-2),Enthalpy,14)-VLOOKUP(ROUNDDOWN(D16,-2),Enthalpy,14)))</f>
        <v>3672.9</v>
      </c>
      <c r="D19" s="136">
        <f t="shared" si="0"/>
        <v>584342.35179494868</v>
      </c>
      <c r="E19" s="136">
        <f>IF(ROUNDDOWN(F16,-2)=ROUNDUP(F16,-2),VLOOKUP(F16,Enthalpy,14),VLOOKUP(ROUNDDOWN(F16,-2),Enthalpy,14)+(F16-ROUNDDOWN(F16,-2))/(ROUNDUP(F16,-2)-ROUNDDOWN(F16,-2))*(VLOOKUP(ROUNDUP(F16,-2),Enthalpy,14)-VLOOKUP(ROUNDDOWN(F16,-2),Enthalpy,14)))</f>
        <v>2236.6999999999998</v>
      </c>
      <c r="F19" s="136">
        <f t="shared" ref="F19:F26" si="2">E19*B19</f>
        <v>355849.20315275708</v>
      </c>
      <c r="G19" s="47"/>
      <c r="H19" s="47"/>
      <c r="I19" s="47"/>
      <c r="J19" s="47"/>
      <c r="K19" s="60"/>
      <c r="L19" s="32" t="s">
        <v>44</v>
      </c>
      <c r="M19" s="71">
        <f>'Step 9'!M27</f>
        <v>159.09563336735241</v>
      </c>
      <c r="N19" s="95">
        <f>IF(ROUNDDOWN(O16,-2)=ROUNDUP(O16,-2),VLOOKUP(O16,Enthalpy,14),VLOOKUP(ROUNDDOWN(O16,-2),Enthalpy,14)+(O16-ROUNDDOWN(O16,-2))/(ROUNDUP(O16,-2)-ROUNDDOWN(O16,-2))*(VLOOKUP(ROUNDUP(O16,-2),Enthalpy,14)-VLOOKUP(ROUNDDOWN(O16,-2),Enthalpy,14)))</f>
        <v>3672.9</v>
      </c>
      <c r="O19" s="95">
        <f t="shared" si="1"/>
        <v>584342.35179494868</v>
      </c>
      <c r="P19" s="95">
        <f>IF(ROUNDDOWN(Q16,-2)=ROUNDUP(Q16,-2),VLOOKUP(Q16,Enthalpy,14),VLOOKUP(ROUNDDOWN(Q16,-2),Enthalpy,14)+(Q16-ROUNDDOWN(Q16,-2))/(ROUNDUP(Q16,-2)-ROUNDDOWN(Q16,-2))*(VLOOKUP(ROUNDUP(Q16,-2),Enthalpy,14)-VLOOKUP(ROUNDDOWN(Q16,-2),Enthalpy,14)))</f>
        <v>2236.6999999999998</v>
      </c>
      <c r="Q19" s="95">
        <f t="shared" ref="Q19:Q26" si="3">P19*M19</f>
        <v>355849.20315275708</v>
      </c>
      <c r="R19" s="32"/>
      <c r="S19" s="32"/>
      <c r="T19" s="32"/>
      <c r="U19" s="32"/>
    </row>
    <row r="20" spans="1:21" ht="16.5" x14ac:dyDescent="0.3">
      <c r="A20" s="47" t="s">
        <v>212</v>
      </c>
      <c r="B20" s="115">
        <f>'Step 9'!B28</f>
        <v>16.300223504340146</v>
      </c>
      <c r="C20" s="136">
        <f>IF(ROUNDDOWN(D16,-2)=ROUNDUP(D16,-2),VLOOKUP(D16,Enthalpy,12),VLOOKUP(ROUNDDOWN(D16,-2),Enthalpy,12)+(D16-ROUNDDOWN(D16,-2))/(ROUNDUP(D16,-2)-ROUNDDOWN(D16,-2))*(VLOOKUP(ROUNDUP(D16,-2),Enthalpy,12)-VLOOKUP(ROUNDDOWN(D16,-2),Enthalpy,12)))</f>
        <v>2634.6</v>
      </c>
      <c r="D20" s="136">
        <f t="shared" si="0"/>
        <v>42944.568844534544</v>
      </c>
      <c r="E20" s="136">
        <f>IF(ROUNDDOWN(F16,-2)=ROUNDUP(F16,-2),VLOOKUP(F16,Enthalpy,12),VLOOKUP(ROUNDDOWN(F16,-2),Enthalpy,12)+(F16-ROUNDDOWN(F16,-2))/(ROUNDUP(F16,-2)-ROUNDDOWN(F16,-2))*(VLOOKUP(ROUNDUP(F16,-2),Enthalpy,12)-VLOOKUP(ROUNDDOWN(F16,-2),Enthalpy,12)))</f>
        <v>1660.9</v>
      </c>
      <c r="F20" s="136">
        <f t="shared" si="2"/>
        <v>27073.04121835855</v>
      </c>
      <c r="G20" s="47"/>
      <c r="H20" s="47"/>
      <c r="I20" s="47"/>
      <c r="J20" s="47"/>
      <c r="K20" s="60"/>
      <c r="L20" s="32" t="s">
        <v>212</v>
      </c>
      <c r="M20" s="71">
        <f>'Step 9'!M28</f>
        <v>16.300223504340146</v>
      </c>
      <c r="N20" s="95">
        <f>IF(ROUNDDOWN(O16,-2)=ROUNDUP(O16,-2),VLOOKUP(O16,Enthalpy,12),VLOOKUP(ROUNDDOWN(O16,-2),Enthalpy,12)+(O16-ROUNDDOWN(O16,-2))/(ROUNDUP(O16,-2)-ROUNDDOWN(O16,-2))*(VLOOKUP(ROUNDUP(O16,-2),Enthalpy,12)-VLOOKUP(ROUNDDOWN(O16,-2),Enthalpy,12)))</f>
        <v>2634.6</v>
      </c>
      <c r="O20" s="95">
        <f t="shared" si="1"/>
        <v>42944.568844534544</v>
      </c>
      <c r="P20" s="95">
        <f>IF(ROUNDDOWN(Q16,-2)=ROUNDUP(Q16,-2),VLOOKUP(Q16,Enthalpy,12),VLOOKUP(ROUNDDOWN(Q16,-2),Enthalpy,12)+(Q16-ROUNDDOWN(Q16,-2))/(ROUNDUP(Q16,-2)-ROUNDDOWN(Q16,-2))*(VLOOKUP(ROUNDUP(Q16,-2),Enthalpy,12)-VLOOKUP(ROUNDDOWN(Q16,-2),Enthalpy,12)))</f>
        <v>1660.9</v>
      </c>
      <c r="Q20" s="95">
        <f t="shared" si="3"/>
        <v>27073.04121835855</v>
      </c>
      <c r="R20" s="32"/>
      <c r="S20" s="32"/>
      <c r="T20" s="32"/>
      <c r="U20" s="32"/>
    </row>
    <row r="21" spans="1:21" ht="16.5" x14ac:dyDescent="0.3">
      <c r="A21" s="47" t="s">
        <v>47</v>
      </c>
      <c r="B21" s="115">
        <f>'Step 9'!B29</f>
        <v>326.32021253325479</v>
      </c>
      <c r="C21" s="136">
        <f>IF(ROUNDDOWN(D16,-2)=ROUNDUP(D16,-2),VLOOKUP(D16,Enthalpy,15),VLOOKUP(ROUNDDOWN(D16,-2),Enthalpy,15)+(D16-ROUNDDOWN(D16,-2))/(ROUNDUP(D16,-2)-ROUNDDOWN(D16,-2))*(VLOOKUP(ROUNDUP(D16,-2),Enthalpy,15)-VLOOKUP(ROUNDDOWN(D16,-2),Enthalpy,15)))</f>
        <v>3160.3</v>
      </c>
      <c r="D21" s="136">
        <f t="shared" si="0"/>
        <v>1031269.7676688451</v>
      </c>
      <c r="E21" s="136">
        <f>IF(ROUNDDOWN(F16,-2)=ROUNDUP(F16,-2),VLOOKUP(F16,Enthalpy,15),VLOOKUP(ROUNDDOWN(F16,-2),Enthalpy,15)+(F16-ROUNDDOWN(F16,-2))/(ROUNDUP(F16,-2)-ROUNDDOWN(F16,-2))*(VLOOKUP(ROUNDUP(F16,-2),Enthalpy,15)-VLOOKUP(ROUNDDOWN(F16,-2),Enthalpy,15)))</f>
        <v>1976</v>
      </c>
      <c r="F21" s="136">
        <f t="shared" si="2"/>
        <v>644808.73996571149</v>
      </c>
      <c r="G21" s="47"/>
      <c r="H21" s="47"/>
      <c r="I21" s="47"/>
      <c r="J21" s="47"/>
      <c r="K21" s="60"/>
      <c r="L21" s="32" t="s">
        <v>47</v>
      </c>
      <c r="M21" s="71">
        <f>'Step 9'!M29</f>
        <v>326.32021240736788</v>
      </c>
      <c r="N21" s="95">
        <f>IF(ROUNDDOWN(O16,-2)=ROUNDUP(O16,-2),VLOOKUP(O16,Enthalpy,15),VLOOKUP(ROUNDDOWN(O16,-2),Enthalpy,15)+(O16-ROUNDDOWN(O16,-2))/(ROUNDUP(O16,-2)-ROUNDDOWN(O16,-2))*(VLOOKUP(ROUNDUP(O16,-2),Enthalpy,15)-VLOOKUP(ROUNDDOWN(O16,-2),Enthalpy,15)))</f>
        <v>3160.3</v>
      </c>
      <c r="O21" s="95">
        <f t="shared" si="1"/>
        <v>1031269.7672710047</v>
      </c>
      <c r="P21" s="95">
        <f>IF(ROUNDDOWN(Q16,-2)=ROUNDUP(Q16,-2),VLOOKUP(Q16,Enthalpy,15),VLOOKUP(ROUNDDOWN(Q16,-2),Enthalpy,15)+(Q16-ROUNDDOWN(Q16,-2))/(ROUNDUP(Q16,-2)-ROUNDDOWN(Q16,-2))*(VLOOKUP(ROUNDUP(Q16,-2),Enthalpy,15)-VLOOKUP(ROUNDDOWN(Q16,-2),Enthalpy,15)))</f>
        <v>1976</v>
      </c>
      <c r="Q21" s="95">
        <f t="shared" si="3"/>
        <v>644808.73971695895</v>
      </c>
      <c r="R21" s="32"/>
      <c r="S21" s="32"/>
      <c r="T21" s="32"/>
      <c r="U21" s="32"/>
    </row>
    <row r="22" spans="1:21" ht="16.5" x14ac:dyDescent="0.3">
      <c r="A22" s="47" t="s">
        <v>67</v>
      </c>
      <c r="B22" s="115">
        <f>'Step 9'!B30</f>
        <v>4.185282766467564</v>
      </c>
      <c r="C22" s="136">
        <f>IF(ROUNDDOWN(D16,-2)=ROUNDUP(D16,-2),VLOOKUP(D16,Enthalpy,17),VLOOKUP(ROUNDDOWN(D16,-2),Enthalpy,17)+(D16-ROUNDDOWN(D16,-2))/(ROUNDUP(D16,-2)-ROUNDDOWN(D16,-2))*(VLOOKUP(ROUNDUP(D16,-2),Enthalpy,17)-VLOOKUP(ROUNDDOWN(D16,-2),Enthalpy,17)))</f>
        <v>3937.7</v>
      </c>
      <c r="D22" s="136">
        <f t="shared" si="0"/>
        <v>16480.387949519325</v>
      </c>
      <c r="E22" s="136">
        <f>IF(ROUNDDOWN(F16,-2)=ROUNDUP(F16,-2),VLOOKUP(F16,Enthalpy,17),VLOOKUP(ROUNDDOWN(F16,-2),Enthalpy,17)+(F16-ROUNDDOWN(F16,-2))/(ROUNDUP(F16,-2)-ROUNDDOWN(F16,-2))*(VLOOKUP(ROUNDUP(F16,-2),Enthalpy,17)-VLOOKUP(ROUNDDOWN(F16,-2),Enthalpy,17)))</f>
        <v>2401.1</v>
      </c>
      <c r="F22" s="136">
        <f t="shared" si="2"/>
        <v>10049.282450565268</v>
      </c>
      <c r="G22" s="47"/>
      <c r="H22" s="47"/>
      <c r="I22" s="47"/>
      <c r="J22" s="47"/>
      <c r="K22" s="60"/>
      <c r="L22" s="32" t="s">
        <v>67</v>
      </c>
      <c r="M22" s="71">
        <f>'Step 9'!M30</f>
        <v>4.1852828294110429</v>
      </c>
      <c r="N22" s="95">
        <f>IF(ROUNDDOWN(O16,-2)=ROUNDUP(O16,-2),VLOOKUP(O16,Enthalpy,17),VLOOKUP(ROUNDDOWN(O16,-2),Enthalpy,17)+(O16-ROUNDDOWN(O16,-2))/(ROUNDUP(O16,-2)-ROUNDDOWN(O16,-2))*(VLOOKUP(ROUNDUP(O16,-2),Enthalpy,17)-VLOOKUP(ROUNDDOWN(O16,-2),Enthalpy,17)))</f>
        <v>3937.7</v>
      </c>
      <c r="O22" s="95">
        <f t="shared" si="1"/>
        <v>16480.388197371863</v>
      </c>
      <c r="P22" s="95">
        <f>IF(ROUNDDOWN(Q16,-2)=ROUNDUP(Q16,-2),VLOOKUP(Q16,Enthalpy,17),VLOOKUP(ROUNDDOWN(Q16,-2),Enthalpy,17)+(Q16-ROUNDDOWN(Q16,-2))/(ROUNDUP(Q16,-2)-ROUNDDOWN(Q16,-2))*(VLOOKUP(ROUNDUP(Q16,-2),Enthalpy,17)-VLOOKUP(ROUNDDOWN(Q16,-2),Enthalpy,17)))</f>
        <v>2401.1</v>
      </c>
      <c r="Q22" s="95">
        <f t="shared" si="3"/>
        <v>10049.282601698855</v>
      </c>
      <c r="R22" s="32"/>
      <c r="S22" s="32"/>
      <c r="T22" s="32"/>
      <c r="U22" s="32"/>
    </row>
    <row r="23" spans="1:21" ht="16.5" x14ac:dyDescent="0.3">
      <c r="A23" s="47" t="s">
        <v>68</v>
      </c>
      <c r="B23" s="115">
        <f>'Step 9'!B31</f>
        <v>551.97957289408987</v>
      </c>
      <c r="C23" s="136">
        <f>IF(ROUNDDOWN(D16,-2)=ROUNDUP(D16,-2),VLOOKUP(D16,Enthalpy,9),VLOOKUP(ROUNDDOWN(D16,-2),Enthalpy,9)+(D16-ROUNDDOWN(D16,-2))/(ROUNDUP(D16,-2)-ROUNDDOWN(D16,-2))*(VLOOKUP(ROUNDUP(D16,-2),Enthalpy,9)-VLOOKUP(ROUNDDOWN(D16,-2),Enthalpy,9)))</f>
        <v>2647.8</v>
      </c>
      <c r="D23" s="136">
        <f t="shared" si="0"/>
        <v>1461531.5131089713</v>
      </c>
      <c r="E23" s="136">
        <f>IF(ROUNDDOWN(F16,-2)=ROUNDUP(F16,-2),VLOOKUP(F16,Enthalpy,9),VLOOKUP(ROUNDDOWN(F16,-2),Enthalpy,9)+(F16-ROUNDDOWN(F16,-2))/(ROUNDUP(F16,-2)-ROUNDDOWN(F16,-2))*(VLOOKUP(ROUNDUP(F16,-2),Enthalpy,9)-VLOOKUP(ROUNDDOWN(F16,-2),Enthalpy,9)))</f>
        <v>1663</v>
      </c>
      <c r="F23" s="136">
        <f t="shared" si="2"/>
        <v>917942.02972287149</v>
      </c>
      <c r="G23" s="47"/>
      <c r="H23" s="47"/>
      <c r="I23" s="47"/>
      <c r="J23" s="47"/>
      <c r="K23" s="60"/>
      <c r="L23" s="32" t="s">
        <v>68</v>
      </c>
      <c r="M23" s="71">
        <f>'Step 9'!M31</f>
        <v>551.97957289408987</v>
      </c>
      <c r="N23" s="95">
        <f>IF(ROUNDDOWN(O16,-2)=ROUNDUP(O16,-2),VLOOKUP(O16,Enthalpy,9),VLOOKUP(ROUNDDOWN(O16,-2),Enthalpy,9)+(O16-ROUNDDOWN(O16,-2))/(ROUNDUP(O16,-2)-ROUNDDOWN(O16,-2))*(VLOOKUP(ROUNDUP(O16,-2),Enthalpy,9)-VLOOKUP(ROUNDDOWN(O16,-2),Enthalpy,9)))</f>
        <v>2647.8</v>
      </c>
      <c r="O23" s="95">
        <f t="shared" si="1"/>
        <v>1461531.5131089713</v>
      </c>
      <c r="P23" s="95">
        <f>IF(ROUNDDOWN(Q16,-2)=ROUNDUP(Q16,-2),VLOOKUP(Q16,Enthalpy,9),VLOOKUP(ROUNDDOWN(Q16,-2),Enthalpy,9)+(Q16-ROUNDDOWN(Q16,-2))/(ROUNDUP(Q16,-2)-ROUNDDOWN(Q16,-2))*(VLOOKUP(ROUNDUP(Q16,-2),Enthalpy,9)-VLOOKUP(ROUNDDOWN(Q16,-2),Enthalpy,9)))</f>
        <v>1663</v>
      </c>
      <c r="Q23" s="95">
        <f t="shared" si="3"/>
        <v>917942.02972287149</v>
      </c>
      <c r="R23" s="32"/>
      <c r="S23" s="32"/>
      <c r="T23" s="32"/>
      <c r="U23" s="32"/>
    </row>
    <row r="24" spans="1:21" ht="16.5" x14ac:dyDescent="0.3">
      <c r="A24" s="206" t="s">
        <v>121</v>
      </c>
      <c r="B24" s="115"/>
      <c r="C24" s="136"/>
      <c r="D24" s="136"/>
      <c r="E24" s="136"/>
      <c r="F24" s="136">
        <f t="shared" si="2"/>
        <v>0</v>
      </c>
      <c r="G24" s="47"/>
      <c r="H24" s="47"/>
      <c r="I24" s="47"/>
      <c r="J24" s="47"/>
      <c r="K24" s="60"/>
      <c r="L24" s="190" t="s">
        <v>121</v>
      </c>
      <c r="M24" s="71"/>
      <c r="N24" s="95"/>
      <c r="O24" s="95"/>
      <c r="P24" s="95"/>
      <c r="Q24" s="95">
        <f t="shared" si="3"/>
        <v>0</v>
      </c>
      <c r="R24" s="32"/>
      <c r="S24" s="32"/>
      <c r="T24" s="32"/>
      <c r="U24" s="32"/>
    </row>
    <row r="25" spans="1:21" ht="16.5" x14ac:dyDescent="0.3">
      <c r="A25" s="206" t="s">
        <v>123</v>
      </c>
      <c r="B25" s="115"/>
      <c r="C25" s="136"/>
      <c r="D25" s="136"/>
      <c r="E25" s="136"/>
      <c r="F25" s="136">
        <f t="shared" si="2"/>
        <v>0</v>
      </c>
      <c r="G25" s="47"/>
      <c r="H25" s="47"/>
      <c r="I25" s="47"/>
      <c r="J25" s="47"/>
      <c r="K25" s="60"/>
      <c r="L25" s="190" t="s">
        <v>123</v>
      </c>
      <c r="M25" s="71"/>
      <c r="N25" s="95"/>
      <c r="O25" s="95"/>
      <c r="P25" s="95"/>
      <c r="Q25" s="95">
        <f t="shared" si="3"/>
        <v>0</v>
      </c>
      <c r="R25" s="32"/>
      <c r="S25" s="32"/>
      <c r="T25" s="32"/>
      <c r="U25" s="32"/>
    </row>
    <row r="26" spans="1:21" ht="16.5" x14ac:dyDescent="0.3">
      <c r="A26" s="206" t="s">
        <v>125</v>
      </c>
      <c r="B26" s="276">
        <f>'Step 9'!B18</f>
        <v>9.6761230258530048E-2</v>
      </c>
      <c r="C26" s="136">
        <f>IF(ROUNDDOWN(D16,-2)=ROUNDUP(D16,-2),VLOOKUP(D16,Enthalpy,23),VLOOKUP(ROUNDDOWN(D16,-2),Enthalpy,23)+(D16-ROUNDDOWN(D16,-2))/(ROUNDUP(D16,-2)-ROUNDDOWN(D16,-2))*(VLOOKUP(ROUNDUP(D16,-2),Enthalpy,23)-VLOOKUP(ROUNDDOWN(D16,-2),Enthalpy,23)))</f>
        <v>14845</v>
      </c>
      <c r="D26" s="143">
        <f>(B26*C26)</f>
        <v>1436.4204631878786</v>
      </c>
      <c r="E26" s="136">
        <f>IF(ROUNDDOWN(F16,-2)=ROUNDUP(F16,-2),VLOOKUP(F16,Enthalpy,23),VLOOKUP(ROUNDDOWN(F16,-2),Enthalpy,23)+(F16-ROUNDDOWN(F16,-2))/(ROUNDUP(F16,-2)-ROUNDDOWN(F16,-2))*(VLOOKUP(ROUNDUP(F16,-2),Enthalpy,23)-VLOOKUP(ROUNDDOWN(F16,-2),Enthalpy,23)))</f>
        <v>9167.2000000000007</v>
      </c>
      <c r="F26" s="137">
        <f t="shared" si="2"/>
        <v>887.02955002599674</v>
      </c>
      <c r="G26" s="47"/>
      <c r="H26" s="47"/>
      <c r="I26" s="47"/>
      <c r="J26" s="47"/>
      <c r="K26" s="60"/>
      <c r="L26" s="190" t="s">
        <v>125</v>
      </c>
      <c r="M26" s="273">
        <f>'Step 9'!M18</f>
        <v>9.6761230264242104E-2</v>
      </c>
      <c r="N26" s="95">
        <f>IF(ROUNDDOWN(O16,-2)=ROUNDUP(O16,-2),VLOOKUP(O16,Enthalpy,23),VLOOKUP(ROUNDDOWN(O16,-2),Enthalpy,23)+(O16-ROUNDDOWN(O16,-2))/(ROUNDUP(O16,-2)-ROUNDDOWN(O16,-2))*(VLOOKUP(ROUNDUP(O16,-2),Enthalpy,23)-VLOOKUP(ROUNDDOWN(O16,-2),Enthalpy,23)))</f>
        <v>14845</v>
      </c>
      <c r="O26" s="103">
        <f>(M26*N26)</f>
        <v>1436.4204632726739</v>
      </c>
      <c r="P26" s="95">
        <f>IF(ROUNDDOWN(Q16,-2)=ROUNDUP(Q16,-2),VLOOKUP(Q16,Enthalpy,23),VLOOKUP(ROUNDDOWN(Q16,-2),Enthalpy,23)+(Q16-ROUNDDOWN(Q16,-2))/(ROUNDUP(Q16,-2)-ROUNDDOWN(Q16,-2))*(VLOOKUP(ROUNDUP(Q16,-2),Enthalpy,23)-VLOOKUP(ROUNDDOWN(Q16,-2),Enthalpy,23)))</f>
        <v>9167.2000000000007</v>
      </c>
      <c r="Q26" s="97">
        <f t="shared" si="3"/>
        <v>887.02955007836033</v>
      </c>
      <c r="R26" s="32"/>
      <c r="S26" s="32"/>
      <c r="T26" s="32"/>
      <c r="U26" s="32"/>
    </row>
    <row r="27" spans="1:21" x14ac:dyDescent="0.25">
      <c r="A27" s="47"/>
      <c r="B27" s="115">
        <f>SUM(B18:B26)</f>
        <v>1066.3482518286985</v>
      </c>
      <c r="C27" s="56"/>
      <c r="D27" s="136">
        <f>SUM(D18:D26)</f>
        <v>3164188.1388170281</v>
      </c>
      <c r="E27" s="56"/>
      <c r="F27" s="136">
        <f>SUM(F18:F26)</f>
        <v>1972844.8749679709</v>
      </c>
      <c r="G27" s="47"/>
      <c r="H27" s="47"/>
      <c r="I27" s="47"/>
      <c r="J27" s="47"/>
      <c r="K27" s="60"/>
      <c r="L27" s="32"/>
      <c r="M27" s="71">
        <f>SUM(M18:M26)</f>
        <v>1066.3482518916476</v>
      </c>
      <c r="N27" s="41"/>
      <c r="O27" s="95">
        <f>SUM(O18:O26)</f>
        <v>3164188.1390608996</v>
      </c>
      <c r="P27" s="41"/>
      <c r="Q27" s="95">
        <f>SUM(Q18:Q26)</f>
        <v>1972844.8751145746</v>
      </c>
      <c r="R27" s="32"/>
      <c r="S27" s="32"/>
      <c r="T27" s="32"/>
      <c r="U27" s="32"/>
    </row>
    <row r="28" spans="1:21" ht="15.75" thickBot="1" x14ac:dyDescent="0.3">
      <c r="A28" s="47"/>
      <c r="B28" s="49"/>
      <c r="C28" s="49"/>
      <c r="D28" s="47"/>
      <c r="E28" s="47"/>
      <c r="F28" s="47"/>
      <c r="G28" s="47"/>
      <c r="H28" s="47"/>
      <c r="I28" s="47"/>
      <c r="J28" s="47"/>
      <c r="L28" s="32"/>
      <c r="M28" s="34"/>
      <c r="N28" s="34"/>
      <c r="O28" s="32"/>
      <c r="P28" s="32"/>
      <c r="Q28" s="32"/>
      <c r="R28" s="32"/>
      <c r="S28" s="32"/>
      <c r="T28" s="32"/>
      <c r="U28" s="32"/>
    </row>
    <row r="29" spans="1:21" ht="15.75" thickBot="1" x14ac:dyDescent="0.3">
      <c r="A29" s="47"/>
      <c r="B29" s="56" t="s">
        <v>145</v>
      </c>
      <c r="C29" s="172">
        <f>D27-F27</f>
        <v>1191343.2638490573</v>
      </c>
      <c r="D29" s="110" t="s">
        <v>83</v>
      </c>
      <c r="E29" s="47"/>
      <c r="F29" s="47"/>
      <c r="G29" s="47"/>
      <c r="H29" s="47"/>
      <c r="I29" s="47"/>
      <c r="J29" s="47"/>
      <c r="L29" s="32"/>
      <c r="M29" s="41" t="s">
        <v>145</v>
      </c>
      <c r="N29" s="156">
        <f>O27-Q27</f>
        <v>1191343.2639463251</v>
      </c>
      <c r="O29" s="66" t="s">
        <v>83</v>
      </c>
      <c r="P29" s="32"/>
      <c r="Q29" s="32"/>
      <c r="R29" s="32"/>
      <c r="S29" s="32"/>
      <c r="T29" s="32"/>
      <c r="U29" s="32"/>
    </row>
    <row r="30" spans="1:21" x14ac:dyDescent="0.25">
      <c r="A30" s="47"/>
      <c r="B30" s="49"/>
      <c r="C30" s="49"/>
      <c r="D30" s="47"/>
      <c r="E30" s="47"/>
      <c r="F30" s="47"/>
      <c r="G30" s="47"/>
      <c r="H30" s="47"/>
      <c r="I30" s="47"/>
      <c r="J30" s="47"/>
      <c r="L30" s="32"/>
      <c r="M30" s="34"/>
      <c r="N30" s="34"/>
      <c r="O30" s="32"/>
      <c r="P30" s="32"/>
      <c r="Q30" s="32"/>
      <c r="R30" s="32"/>
      <c r="S30" s="32"/>
      <c r="T30" s="32"/>
      <c r="U30" s="32"/>
    </row>
    <row r="32" spans="1:21" x14ac:dyDescent="0.25">
      <c r="A32" s="44" t="s">
        <v>307</v>
      </c>
    </row>
    <row r="33" spans="1:1" x14ac:dyDescent="0.25">
      <c r="A33" s="44" t="s">
        <v>303</v>
      </c>
    </row>
    <row r="34" spans="1:1" x14ac:dyDescent="0.25">
      <c r="A34" s="44" t="s">
        <v>304</v>
      </c>
    </row>
    <row r="35" spans="1:1" x14ac:dyDescent="0.25">
      <c r="A35" s="44" t="s">
        <v>305</v>
      </c>
    </row>
    <row r="36" spans="1:1" x14ac:dyDescent="0.25">
      <c r="A36" s="45" t="s">
        <v>306</v>
      </c>
    </row>
  </sheetData>
  <sheetProtection password="E156" sheet="1" objects="1" scenarios="1"/>
  <mergeCells count="4">
    <mergeCell ref="A6:G6"/>
    <mergeCell ref="C10:D10"/>
    <mergeCell ref="L6:R6"/>
    <mergeCell ref="N10:O10"/>
  </mergeCells>
  <pageMargins left="0.7" right="0.7" top="0.75" bottom="0.75" header="0.51180555555555551" footer="0.51180555555555551"/>
  <pageSetup firstPageNumber="0"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U143"/>
  <sheetViews>
    <sheetView zoomScaleNormal="100" workbookViewId="0">
      <selection activeCell="E2" sqref="E2"/>
    </sheetView>
  </sheetViews>
  <sheetFormatPr defaultRowHeight="15" x14ac:dyDescent="0.25"/>
  <cols>
    <col min="1" max="1" width="14.85546875" style="230" customWidth="1"/>
    <col min="2" max="2" width="14.140625" style="230" customWidth="1"/>
    <col min="3" max="3" width="15.28515625" style="230" customWidth="1"/>
    <col min="4" max="4" width="15.5703125" style="230" customWidth="1"/>
    <col min="5" max="5" width="15.28515625" style="230" customWidth="1"/>
    <col min="6" max="6" width="12.42578125" style="230" customWidth="1"/>
    <col min="7" max="11" width="9.140625" style="230"/>
    <col min="12" max="12" width="14.85546875" style="230" customWidth="1"/>
    <col min="13" max="13" width="14" style="230" customWidth="1"/>
    <col min="14" max="14" width="15.28515625" style="230" customWidth="1"/>
    <col min="15" max="15" width="15.42578125" style="230" customWidth="1"/>
    <col min="16" max="16" width="15.28515625" style="230" customWidth="1"/>
    <col min="17" max="17" width="13.42578125" style="230" customWidth="1"/>
    <col min="18" max="18" width="9.140625" style="230" customWidth="1"/>
    <col min="19" max="16384" width="9.140625" style="230"/>
  </cols>
  <sheetData>
    <row r="1" spans="1:21" x14ac:dyDescent="0.25">
      <c r="A1" s="27" t="s">
        <v>298</v>
      </c>
    </row>
    <row r="5" spans="1:21" ht="24" x14ac:dyDescent="0.3">
      <c r="A5" s="106" t="s">
        <v>283</v>
      </c>
      <c r="B5" s="49"/>
      <c r="C5" s="49"/>
      <c r="D5" s="47"/>
      <c r="E5" s="47"/>
      <c r="F5" s="47"/>
      <c r="G5" s="47"/>
      <c r="H5" s="47"/>
      <c r="I5" s="47"/>
      <c r="J5" s="47"/>
      <c r="K5" s="60"/>
      <c r="L5" s="270" t="s">
        <v>283</v>
      </c>
      <c r="M5" s="34"/>
      <c r="N5" s="34"/>
      <c r="O5" s="32"/>
      <c r="P5" s="32"/>
      <c r="Q5" s="32"/>
      <c r="R5" s="32"/>
      <c r="S5" s="32"/>
      <c r="T5" s="32"/>
      <c r="U5" s="32"/>
    </row>
    <row r="6" spans="1:21" ht="30" customHeight="1" x14ac:dyDescent="0.25">
      <c r="A6" s="119" t="s">
        <v>146</v>
      </c>
      <c r="B6" s="120"/>
      <c r="C6" s="120"/>
      <c r="D6" s="120"/>
      <c r="E6" s="120"/>
      <c r="F6" s="120"/>
      <c r="G6" s="120"/>
      <c r="H6" s="47"/>
      <c r="I6" s="47"/>
      <c r="J6" s="47"/>
      <c r="K6" s="60"/>
      <c r="L6" s="76" t="s">
        <v>146</v>
      </c>
      <c r="M6" s="75"/>
      <c r="N6" s="75"/>
      <c r="O6" s="75"/>
      <c r="P6" s="75"/>
      <c r="Q6" s="75"/>
      <c r="R6" s="75"/>
      <c r="S6" s="32"/>
      <c r="T6" s="32"/>
      <c r="U6" s="32"/>
    </row>
    <row r="7" spans="1:21" ht="16.5" x14ac:dyDescent="0.3">
      <c r="A7" s="47" t="s">
        <v>297</v>
      </c>
      <c r="B7" s="49"/>
      <c r="C7" s="49"/>
      <c r="D7" s="47"/>
      <c r="E7" s="47"/>
      <c r="F7" s="47"/>
      <c r="G7" s="47"/>
      <c r="H7" s="47"/>
      <c r="I7" s="47"/>
      <c r="J7" s="47"/>
      <c r="K7" s="60"/>
      <c r="L7" s="32" t="s">
        <v>297</v>
      </c>
      <c r="M7" s="34"/>
      <c r="N7" s="34"/>
      <c r="O7" s="32"/>
      <c r="P7" s="32"/>
      <c r="Q7" s="32"/>
      <c r="R7" s="32"/>
      <c r="S7" s="32"/>
      <c r="T7" s="32"/>
      <c r="U7" s="32"/>
    </row>
    <row r="8" spans="1:21" ht="16.5" x14ac:dyDescent="0.3">
      <c r="A8" s="47" t="s">
        <v>147</v>
      </c>
      <c r="B8" s="49"/>
      <c r="C8" s="49"/>
      <c r="D8" s="47"/>
      <c r="E8" s="47"/>
      <c r="F8" s="47"/>
      <c r="G8" s="47"/>
      <c r="H8" s="47"/>
      <c r="I8" s="47"/>
      <c r="J8" s="47"/>
      <c r="K8" s="60"/>
      <c r="L8" s="32" t="s">
        <v>147</v>
      </c>
      <c r="M8" s="34"/>
      <c r="N8" s="34"/>
      <c r="O8" s="32"/>
      <c r="P8" s="32"/>
      <c r="Q8" s="32"/>
      <c r="R8" s="32"/>
      <c r="S8" s="32"/>
      <c r="T8" s="32"/>
      <c r="U8" s="32"/>
    </row>
    <row r="9" spans="1:21" ht="16.5" x14ac:dyDescent="0.3">
      <c r="A9" s="47"/>
      <c r="B9" s="47" t="s">
        <v>148</v>
      </c>
      <c r="C9" s="49"/>
      <c r="D9" s="47"/>
      <c r="E9" s="47"/>
      <c r="F9" s="47"/>
      <c r="G9" s="47"/>
      <c r="H9" s="47"/>
      <c r="I9" s="47"/>
      <c r="J9" s="47"/>
      <c r="K9" s="60"/>
      <c r="L9" s="32"/>
      <c r="M9" s="32" t="s">
        <v>148</v>
      </c>
      <c r="N9" s="34"/>
      <c r="O9" s="32"/>
      <c r="P9" s="32"/>
      <c r="Q9" s="32"/>
      <c r="R9" s="32"/>
      <c r="S9" s="32"/>
      <c r="T9" s="32"/>
      <c r="U9" s="32"/>
    </row>
    <row r="10" spans="1:21" x14ac:dyDescent="0.25">
      <c r="A10" s="47"/>
      <c r="B10" s="47" t="s">
        <v>149</v>
      </c>
      <c r="C10" s="49"/>
      <c r="D10" s="47"/>
      <c r="E10" s="47"/>
      <c r="F10" s="47"/>
      <c r="G10" s="47"/>
      <c r="H10" s="47"/>
      <c r="I10" s="47"/>
      <c r="J10" s="47"/>
      <c r="K10" s="60"/>
      <c r="L10" s="32"/>
      <c r="M10" s="32" t="s">
        <v>149</v>
      </c>
      <c r="N10" s="34"/>
      <c r="O10" s="32"/>
      <c r="P10" s="32"/>
      <c r="Q10" s="32"/>
      <c r="R10" s="32"/>
      <c r="S10" s="32"/>
      <c r="T10" s="32"/>
      <c r="U10" s="32"/>
    </row>
    <row r="11" spans="1:21" x14ac:dyDescent="0.25">
      <c r="A11" s="56" t="s">
        <v>150</v>
      </c>
      <c r="B11" s="49" t="s">
        <v>3</v>
      </c>
      <c r="C11" s="136">
        <f>'Step 8'!C11</f>
        <v>-46470</v>
      </c>
      <c r="D11" s="47" t="s">
        <v>53</v>
      </c>
      <c r="E11" s="164" t="s">
        <v>231</v>
      </c>
      <c r="F11" s="47"/>
      <c r="G11" s="47"/>
      <c r="H11" s="47"/>
      <c r="I11" s="47"/>
      <c r="J11" s="47"/>
      <c r="K11" s="60"/>
      <c r="L11" s="41" t="s">
        <v>150</v>
      </c>
      <c r="M11" s="34" t="s">
        <v>3</v>
      </c>
      <c r="N11" s="289">
        <f>'Step 8'!N11</f>
        <v>-46470</v>
      </c>
      <c r="O11" s="32" t="s">
        <v>53</v>
      </c>
      <c r="P11" s="147" t="s">
        <v>231</v>
      </c>
      <c r="Q11" s="32"/>
      <c r="R11" s="32"/>
      <c r="S11" s="32"/>
      <c r="T11" s="32"/>
      <c r="U11" s="32"/>
    </row>
    <row r="12" spans="1:21" x14ac:dyDescent="0.25">
      <c r="A12" s="47"/>
      <c r="B12" s="49"/>
      <c r="C12" s="49"/>
      <c r="D12" s="47"/>
      <c r="E12" s="47"/>
      <c r="F12" s="47"/>
      <c r="G12" s="47"/>
      <c r="H12" s="47"/>
      <c r="I12" s="47"/>
      <c r="J12" s="47"/>
      <c r="K12" s="60"/>
      <c r="L12" s="32"/>
      <c r="M12" s="34"/>
      <c r="N12" s="34"/>
      <c r="O12" s="32"/>
      <c r="P12" s="32"/>
      <c r="Q12" s="32"/>
      <c r="R12" s="32"/>
      <c r="S12" s="32"/>
      <c r="T12" s="32"/>
      <c r="U12" s="32"/>
    </row>
    <row r="13" spans="1:21" x14ac:dyDescent="0.25">
      <c r="A13" s="47"/>
      <c r="B13" s="56" t="str">
        <f>CONCATENATE("Feed Gas @ ", 'Step 10'!D16, "°F")</f>
        <v>Feed Gas @ 410°F</v>
      </c>
      <c r="C13" s="133" t="s">
        <v>151</v>
      </c>
      <c r="D13" s="134"/>
      <c r="E13" s="47"/>
      <c r="F13" s="47"/>
      <c r="G13" s="47"/>
      <c r="H13" s="47"/>
      <c r="I13" s="47"/>
      <c r="J13" s="47"/>
      <c r="K13" s="60"/>
      <c r="L13" s="32"/>
      <c r="M13" s="41" t="str">
        <f>CONCATENATE("Feed Gas @ ", 'Step 10'!O16, "°F")</f>
        <v>Feed Gas @ 410°F</v>
      </c>
      <c r="N13" s="93" t="s">
        <v>151</v>
      </c>
      <c r="O13" s="92"/>
      <c r="P13" s="32"/>
      <c r="Q13" s="32"/>
      <c r="R13" s="32"/>
      <c r="S13" s="32"/>
      <c r="T13" s="32"/>
      <c r="U13" s="32"/>
    </row>
    <row r="14" spans="1:21" x14ac:dyDescent="0.25">
      <c r="A14" s="47"/>
      <c r="B14" s="50" t="s">
        <v>86</v>
      </c>
      <c r="C14" s="252" t="s">
        <v>86</v>
      </c>
      <c r="D14" s="253"/>
      <c r="E14" s="47"/>
      <c r="F14" s="47"/>
      <c r="G14" s="47"/>
      <c r="H14" s="47"/>
      <c r="I14" s="47"/>
      <c r="J14" s="47"/>
      <c r="K14" s="60"/>
      <c r="L14" s="32"/>
      <c r="M14" s="35" t="s">
        <v>86</v>
      </c>
      <c r="N14" s="234" t="s">
        <v>86</v>
      </c>
      <c r="O14" s="233"/>
      <c r="P14" s="32"/>
      <c r="Q14" s="32"/>
      <c r="R14" s="32"/>
      <c r="S14" s="32"/>
      <c r="T14" s="32"/>
      <c r="U14" s="32"/>
    </row>
    <row r="15" spans="1:21" ht="16.5" x14ac:dyDescent="0.3">
      <c r="A15" s="47" t="s">
        <v>41</v>
      </c>
      <c r="B15" s="52">
        <f>'Step 10'!B18</f>
        <v>8.3705655329351281</v>
      </c>
      <c r="C15" s="52">
        <f t="shared" ref="C15:C20" si="0">B15</f>
        <v>8.3705655329351281</v>
      </c>
      <c r="D15" s="110" t="s">
        <v>152</v>
      </c>
      <c r="E15" s="47"/>
      <c r="F15" s="47"/>
      <c r="G15" s="47"/>
      <c r="H15" s="278"/>
      <c r="I15" s="47"/>
      <c r="J15" s="47"/>
      <c r="K15" s="60"/>
      <c r="L15" s="32" t="s">
        <v>41</v>
      </c>
      <c r="M15" s="39">
        <f>'Step 10'!M18</f>
        <v>8.3705656588220858</v>
      </c>
      <c r="N15" s="39">
        <f t="shared" ref="N15:N20" si="1">M15</f>
        <v>8.3705656588220858</v>
      </c>
      <c r="O15" s="66" t="s">
        <v>152</v>
      </c>
      <c r="P15" s="32"/>
      <c r="Q15" s="32"/>
      <c r="R15" s="32"/>
      <c r="S15" s="281"/>
      <c r="T15" s="32"/>
      <c r="U15" s="32"/>
    </row>
    <row r="16" spans="1:21" ht="16.5" x14ac:dyDescent="0.3">
      <c r="A16" s="47" t="s">
        <v>44</v>
      </c>
      <c r="B16" s="52">
        <f>'Step 10'!B19</f>
        <v>159.09563336735241</v>
      </c>
      <c r="C16" s="52">
        <f t="shared" si="0"/>
        <v>159.09563336735241</v>
      </c>
      <c r="D16" s="110"/>
      <c r="E16" s="47"/>
      <c r="F16" s="47"/>
      <c r="G16" s="47"/>
      <c r="H16" s="47"/>
      <c r="I16" s="47"/>
      <c r="J16" s="47"/>
      <c r="K16" s="60"/>
      <c r="L16" s="32" t="s">
        <v>44</v>
      </c>
      <c r="M16" s="39">
        <f>'Step 10'!M19</f>
        <v>159.09563336735241</v>
      </c>
      <c r="N16" s="39">
        <f t="shared" si="1"/>
        <v>159.09563336735241</v>
      </c>
      <c r="O16" s="66"/>
      <c r="P16" s="32"/>
      <c r="Q16" s="32"/>
      <c r="R16" s="32"/>
      <c r="S16" s="32"/>
      <c r="T16" s="32"/>
      <c r="U16" s="32"/>
    </row>
    <row r="17" spans="1:21" ht="16.5" x14ac:dyDescent="0.3">
      <c r="A17" s="47" t="s">
        <v>212</v>
      </c>
      <c r="B17" s="52">
        <f>'Step 10'!B20</f>
        <v>16.300223504340146</v>
      </c>
      <c r="C17" s="52">
        <f t="shared" si="0"/>
        <v>16.300223504340146</v>
      </c>
      <c r="D17" s="110"/>
      <c r="E17" s="47"/>
      <c r="F17" s="47"/>
      <c r="G17" s="47"/>
      <c r="H17" s="47"/>
      <c r="I17" s="47"/>
      <c r="J17" s="47"/>
      <c r="K17" s="60"/>
      <c r="L17" s="32" t="s">
        <v>212</v>
      </c>
      <c r="M17" s="39">
        <f>'Step 10'!M20</f>
        <v>16.300223504340146</v>
      </c>
      <c r="N17" s="39">
        <f t="shared" si="1"/>
        <v>16.300223504340146</v>
      </c>
      <c r="O17" s="66"/>
      <c r="P17" s="32"/>
      <c r="Q17" s="32"/>
      <c r="R17" s="32"/>
      <c r="S17" s="32"/>
      <c r="T17" s="32"/>
      <c r="U17" s="32"/>
    </row>
    <row r="18" spans="1:21" ht="16.5" x14ac:dyDescent="0.3">
      <c r="A18" s="47" t="s">
        <v>47</v>
      </c>
      <c r="B18" s="52">
        <f>'Step 10'!B21</f>
        <v>326.32021253325479</v>
      </c>
      <c r="C18" s="52">
        <f t="shared" si="0"/>
        <v>326.32021253325479</v>
      </c>
      <c r="D18" s="110" t="s">
        <v>153</v>
      </c>
      <c r="E18" s="47"/>
      <c r="F18" s="47"/>
      <c r="G18" s="47"/>
      <c r="H18" s="47"/>
      <c r="I18" s="47"/>
      <c r="J18" s="47"/>
      <c r="K18" s="60"/>
      <c r="L18" s="32" t="s">
        <v>47</v>
      </c>
      <c r="M18" s="39">
        <f>'Step 10'!M21</f>
        <v>326.32021240736788</v>
      </c>
      <c r="N18" s="39">
        <f t="shared" si="1"/>
        <v>326.32021240736788</v>
      </c>
      <c r="O18" s="66" t="s">
        <v>153</v>
      </c>
      <c r="P18" s="32"/>
      <c r="Q18" s="32"/>
      <c r="R18" s="32"/>
      <c r="S18" s="32"/>
      <c r="T18" s="32"/>
      <c r="U18" s="32"/>
    </row>
    <row r="19" spans="1:21" ht="16.5" x14ac:dyDescent="0.3">
      <c r="A19" s="47" t="s">
        <v>67</v>
      </c>
      <c r="B19" s="52">
        <f>'Step 10'!B22</f>
        <v>4.185282766467564</v>
      </c>
      <c r="C19" s="52">
        <f t="shared" si="0"/>
        <v>4.185282766467564</v>
      </c>
      <c r="D19" s="110" t="s">
        <v>154</v>
      </c>
      <c r="E19" s="47"/>
      <c r="F19" s="47"/>
      <c r="G19" s="47"/>
      <c r="H19" s="47"/>
      <c r="I19" s="47"/>
      <c r="J19" s="47"/>
      <c r="K19" s="60"/>
      <c r="L19" s="32" t="s">
        <v>67</v>
      </c>
      <c r="M19" s="39">
        <f>'Step 10'!M22</f>
        <v>4.1852828294110429</v>
      </c>
      <c r="N19" s="39">
        <f t="shared" si="1"/>
        <v>4.1852828294110429</v>
      </c>
      <c r="O19" s="66" t="s">
        <v>154</v>
      </c>
      <c r="P19" s="32"/>
      <c r="Q19" s="32"/>
      <c r="R19" s="32"/>
      <c r="S19" s="32"/>
      <c r="T19" s="32"/>
      <c r="U19" s="32"/>
    </row>
    <row r="20" spans="1:21" ht="16.5" x14ac:dyDescent="0.3">
      <c r="A20" s="47" t="s">
        <v>68</v>
      </c>
      <c r="B20" s="52">
        <f>'Step 10'!B23</f>
        <v>551.97957289408987</v>
      </c>
      <c r="C20" s="52">
        <f t="shared" si="0"/>
        <v>551.97957289408987</v>
      </c>
      <c r="D20" s="110"/>
      <c r="E20" s="47"/>
      <c r="F20" s="47"/>
      <c r="G20" s="47"/>
      <c r="H20" s="47"/>
      <c r="I20" s="47"/>
      <c r="J20" s="47"/>
      <c r="K20" s="60"/>
      <c r="L20" s="32" t="s">
        <v>68</v>
      </c>
      <c r="M20" s="39">
        <f>'Step 10'!M23</f>
        <v>551.97957289408987</v>
      </c>
      <c r="N20" s="39">
        <f t="shared" si="1"/>
        <v>551.97957289408987</v>
      </c>
      <c r="O20" s="66"/>
      <c r="P20" s="32"/>
      <c r="Q20" s="32"/>
      <c r="R20" s="32"/>
      <c r="S20" s="32"/>
      <c r="T20" s="32"/>
      <c r="U20" s="32"/>
    </row>
    <row r="21" spans="1:21" ht="16.5" x14ac:dyDescent="0.3">
      <c r="A21" s="206" t="s">
        <v>121</v>
      </c>
      <c r="B21" s="52"/>
      <c r="C21" s="52"/>
      <c r="D21" s="110"/>
      <c r="E21" s="47"/>
      <c r="F21" s="47"/>
      <c r="G21" s="47"/>
      <c r="H21" s="47"/>
      <c r="I21" s="47"/>
      <c r="J21" s="47"/>
      <c r="K21" s="60"/>
      <c r="L21" s="190" t="s">
        <v>121</v>
      </c>
      <c r="M21" s="39"/>
      <c r="N21" s="39"/>
      <c r="O21" s="66"/>
      <c r="P21" s="32"/>
      <c r="Q21" s="32"/>
      <c r="R21" s="32"/>
      <c r="S21" s="32"/>
      <c r="T21" s="32"/>
      <c r="U21" s="32"/>
    </row>
    <row r="22" spans="1:21" ht="16.5" x14ac:dyDescent="0.3">
      <c r="A22" s="206" t="s">
        <v>123</v>
      </c>
      <c r="B22" s="56"/>
      <c r="C22" s="56"/>
      <c r="D22" s="110"/>
      <c r="E22" s="47"/>
      <c r="F22" s="47"/>
      <c r="G22" s="47"/>
      <c r="H22" s="47"/>
      <c r="I22" s="47"/>
      <c r="J22" s="47"/>
      <c r="K22" s="60"/>
      <c r="L22" s="190" t="s">
        <v>123</v>
      </c>
      <c r="M22" s="41"/>
      <c r="N22" s="41"/>
      <c r="O22" s="66"/>
      <c r="P22" s="32"/>
      <c r="Q22" s="32"/>
      <c r="R22" s="32"/>
      <c r="S22" s="32"/>
      <c r="T22" s="32"/>
      <c r="U22" s="32"/>
    </row>
    <row r="23" spans="1:21" ht="16.5" x14ac:dyDescent="0.3">
      <c r="A23" s="206" t="s">
        <v>125</v>
      </c>
      <c r="B23" s="292">
        <f>'Step 10'!B26</f>
        <v>9.6761230258530048E-2</v>
      </c>
      <c r="C23" s="58">
        <f>(B23+B22*6/8)</f>
        <v>9.6761230258530048E-2</v>
      </c>
      <c r="D23" s="199" t="s">
        <v>155</v>
      </c>
      <c r="E23" s="47"/>
      <c r="F23" s="47"/>
      <c r="G23" s="47"/>
      <c r="H23" s="47"/>
      <c r="I23" s="47"/>
      <c r="J23" s="47"/>
      <c r="K23" s="60"/>
      <c r="L23" s="190" t="s">
        <v>125</v>
      </c>
      <c r="M23" s="290">
        <f>'Step 10'!M26</f>
        <v>9.6761230264242104E-2</v>
      </c>
      <c r="N23" s="43">
        <f>(M23+M22*6/8)</f>
        <v>9.6761230264242104E-2</v>
      </c>
      <c r="O23" s="183" t="s">
        <v>155</v>
      </c>
      <c r="P23" s="32"/>
      <c r="Q23" s="32"/>
      <c r="R23" s="32"/>
      <c r="S23" s="32"/>
      <c r="T23" s="32"/>
      <c r="U23" s="32"/>
    </row>
    <row r="24" spans="1:21" x14ac:dyDescent="0.25">
      <c r="A24" s="47"/>
      <c r="B24" s="52">
        <f>SUM(B15:B23)</f>
        <v>1066.3482518286985</v>
      </c>
      <c r="C24" s="52">
        <f>SUM(C15:C23)</f>
        <v>1066.3482518286985</v>
      </c>
      <c r="D24" s="110" t="s">
        <v>156</v>
      </c>
      <c r="E24" s="47"/>
      <c r="F24" s="47"/>
      <c r="G24" s="47"/>
      <c r="H24" s="47"/>
      <c r="I24" s="47"/>
      <c r="J24" s="47"/>
      <c r="K24" s="60"/>
      <c r="L24" s="32"/>
      <c r="M24" s="39">
        <f>SUM(M15:M23)</f>
        <v>1066.3482518916476</v>
      </c>
      <c r="N24" s="39">
        <f>SUM(N15:N23)</f>
        <v>1066.3482518916476</v>
      </c>
      <c r="O24" s="66" t="s">
        <v>156</v>
      </c>
      <c r="P24" s="32"/>
      <c r="Q24" s="32"/>
      <c r="R24" s="32"/>
      <c r="S24" s="32"/>
      <c r="T24" s="32"/>
      <c r="U24" s="32"/>
    </row>
    <row r="25" spans="1:21" x14ac:dyDescent="0.25">
      <c r="A25" s="47"/>
      <c r="B25" s="49"/>
      <c r="C25" s="49"/>
      <c r="D25" s="47"/>
      <c r="E25" s="47"/>
      <c r="F25" s="47"/>
      <c r="G25" s="47"/>
      <c r="H25" s="47"/>
      <c r="I25" s="47"/>
      <c r="J25" s="47"/>
      <c r="K25" s="60"/>
      <c r="L25" s="32"/>
      <c r="M25" s="34"/>
      <c r="N25" s="34"/>
      <c r="O25" s="32"/>
      <c r="P25" s="32"/>
      <c r="Q25" s="32"/>
      <c r="R25" s="32"/>
      <c r="S25" s="32"/>
      <c r="T25" s="32"/>
      <c r="U25" s="32"/>
    </row>
    <row r="26" spans="1:21" x14ac:dyDescent="0.25">
      <c r="A26" s="47" t="s">
        <v>78</v>
      </c>
      <c r="B26" s="49"/>
      <c r="C26" s="49"/>
      <c r="D26" s="47"/>
      <c r="E26" s="47"/>
      <c r="F26" s="47"/>
      <c r="G26" s="47"/>
      <c r="H26" s="47"/>
      <c r="I26" s="47"/>
      <c r="J26" s="47"/>
      <c r="K26" s="60"/>
      <c r="L26" s="32" t="s">
        <v>78</v>
      </c>
      <c r="M26" s="34"/>
      <c r="N26" s="34"/>
      <c r="O26" s="32"/>
      <c r="P26" s="32"/>
      <c r="Q26" s="32"/>
      <c r="R26" s="32"/>
      <c r="S26" s="32"/>
      <c r="T26" s="32"/>
      <c r="U26" s="32"/>
    </row>
    <row r="27" spans="1:21" ht="18.75" x14ac:dyDescent="0.3">
      <c r="A27" s="47" t="s">
        <v>232</v>
      </c>
      <c r="B27" s="49"/>
      <c r="C27" s="49"/>
      <c r="D27" s="47"/>
      <c r="E27" s="47"/>
      <c r="F27" s="47"/>
      <c r="G27" s="47"/>
      <c r="H27" s="47"/>
      <c r="I27" s="47"/>
      <c r="J27" s="47"/>
      <c r="K27" s="60"/>
      <c r="L27" s="32" t="s">
        <v>232</v>
      </c>
      <c r="M27" s="34"/>
      <c r="N27" s="34"/>
      <c r="O27" s="32"/>
      <c r="P27" s="32"/>
      <c r="Q27" s="32"/>
      <c r="R27" s="32"/>
      <c r="S27" s="32"/>
      <c r="T27" s="32"/>
      <c r="U27" s="32"/>
    </row>
    <row r="28" spans="1:21" x14ac:dyDescent="0.25">
      <c r="A28" s="110" t="str">
        <f>CONCATENATE("= ( [",ROUND(C18,2)," + y]^2[",ROUND(C23,2)," + 3/16 y]^3/8 ) / ( [",ROUND(C15,2)," - y]^2[",ROUND(C19,2)," - 1/2 y] ) * ( ",ROUND('Step 7'!B9 *0.068,1)," / [",ROUND(C24,2)," - .3125 y] )^-5/8")</f>
        <v>= ( [326.32 + y]^2[0.1 + 3/16 y]^3/8 ) / ( [8.37 - y]^2[4.19 - 1/2 y] ) * ( 1.1 / [1066.35 - .3125 y] )^-5/8</v>
      </c>
      <c r="B28" s="110"/>
      <c r="C28" s="49"/>
      <c r="D28" s="47"/>
      <c r="E28" s="47"/>
      <c r="F28" s="47"/>
      <c r="G28" s="47"/>
      <c r="H28" s="47"/>
      <c r="I28" s="47"/>
      <c r="J28" s="47"/>
      <c r="K28" s="60"/>
      <c r="L28" s="66" t="str">
        <f>CONCATENATE("= ( [",ROUND(N18,2)," + y]^2[",ROUND(N23,2)," + 3/16 y]^3/8 ) / ( [",ROUND(N15,2)," - y]^2[",ROUND(N19,2)," - 1/2 y] ) * ( ",ROUND('Step 7'!M9 *0.068,1)," / [",ROUND(N24,2)," - .3125 y] )^-5/8")</f>
        <v>= ( [326.32 + y]^2[0.1 + 3/16 y]^3/8 ) / ( [8.37 - y]^2[4.19 - 1/2 y] ) * ( 1.1 / [1066.35 - .3125 y] )^-5/8</v>
      </c>
      <c r="M28" s="66"/>
      <c r="N28" s="34"/>
      <c r="O28" s="32"/>
      <c r="P28" s="32"/>
      <c r="Q28" s="32"/>
      <c r="R28" s="32"/>
      <c r="S28" s="32"/>
      <c r="T28" s="32"/>
      <c r="U28" s="32"/>
    </row>
    <row r="29" spans="1:21" x14ac:dyDescent="0.25">
      <c r="A29" s="110" t="s">
        <v>254</v>
      </c>
      <c r="B29" s="110"/>
      <c r="C29" s="49"/>
      <c r="D29" s="47"/>
      <c r="E29" s="47"/>
      <c r="F29" s="47"/>
      <c r="G29" s="47"/>
      <c r="H29" s="47"/>
      <c r="I29" s="47"/>
      <c r="J29" s="47"/>
      <c r="K29" s="60"/>
      <c r="L29" s="66" t="s">
        <v>254</v>
      </c>
      <c r="M29" s="66"/>
      <c r="N29" s="34"/>
      <c r="O29" s="32"/>
      <c r="P29" s="32"/>
      <c r="Q29" s="32"/>
      <c r="R29" s="32"/>
      <c r="S29" s="32"/>
      <c r="T29" s="32"/>
      <c r="U29" s="32"/>
    </row>
    <row r="30" spans="1:21" x14ac:dyDescent="0.25">
      <c r="A30" s="47" t="s">
        <v>165</v>
      </c>
      <c r="B30" s="49"/>
      <c r="C30" s="49"/>
      <c r="D30" s="47"/>
      <c r="E30" s="47"/>
      <c r="F30" s="47"/>
      <c r="G30" s="47"/>
      <c r="H30" s="47"/>
      <c r="I30" s="47"/>
      <c r="J30" s="47"/>
      <c r="K30" s="60"/>
      <c r="L30" s="32" t="s">
        <v>165</v>
      </c>
      <c r="M30" s="34"/>
      <c r="N30" s="34"/>
      <c r="O30" s="32"/>
      <c r="P30" s="32"/>
      <c r="Q30" s="32"/>
      <c r="R30" s="32"/>
      <c r="S30" s="32"/>
      <c r="T30" s="32"/>
      <c r="U30" s="32"/>
    </row>
    <row r="31" spans="1:21" ht="18.75" x14ac:dyDescent="0.3">
      <c r="A31" s="47" t="s">
        <v>157</v>
      </c>
      <c r="B31" s="49"/>
      <c r="C31" s="49"/>
      <c r="D31" s="47"/>
      <c r="E31" s="47"/>
      <c r="F31" s="47"/>
      <c r="G31" s="47"/>
      <c r="H31" s="47"/>
      <c r="I31" s="47"/>
      <c r="J31" s="47"/>
      <c r="K31" s="60"/>
      <c r="L31" s="32" t="s">
        <v>157</v>
      </c>
      <c r="M31" s="34"/>
      <c r="N31" s="34"/>
      <c r="O31" s="32"/>
      <c r="P31" s="32"/>
      <c r="Q31" s="32"/>
      <c r="R31" s="32"/>
      <c r="S31" s="32"/>
      <c r="T31" s="32"/>
      <c r="U31" s="32"/>
    </row>
    <row r="32" spans="1:21" ht="60.75" x14ac:dyDescent="0.3">
      <c r="A32" s="47"/>
      <c r="B32" s="256" t="s">
        <v>255</v>
      </c>
      <c r="C32" s="124" t="s">
        <v>80</v>
      </c>
      <c r="D32" s="124" t="s">
        <v>235</v>
      </c>
      <c r="E32" s="256" t="s">
        <v>236</v>
      </c>
      <c r="F32" s="47"/>
      <c r="G32" s="47"/>
      <c r="H32" s="47"/>
      <c r="I32" s="47"/>
      <c r="J32" s="47"/>
      <c r="K32" s="60"/>
      <c r="L32" s="32"/>
      <c r="M32" s="237" t="s">
        <v>255</v>
      </c>
      <c r="N32" s="81" t="s">
        <v>80</v>
      </c>
      <c r="O32" s="81" t="s">
        <v>235</v>
      </c>
      <c r="P32" s="237" t="s">
        <v>236</v>
      </c>
      <c r="Q32" s="32"/>
      <c r="R32" s="32"/>
      <c r="S32" s="32"/>
      <c r="T32" s="32"/>
      <c r="U32" s="32"/>
    </row>
    <row r="33" spans="1:21" x14ac:dyDescent="0.25">
      <c r="A33" s="47"/>
      <c r="B33" s="257">
        <v>4.2048493453563447</v>
      </c>
      <c r="C33" s="202">
        <f>( (C18+B33)^2 * (C23+3/16*B33)^(3/8) ) / ( (C15-B33)^2 * (C19-B33/2) ) * ('Step 7'!B9 *0.068 / (C24-0.3125*B33) )^(-5/8)</f>
        <v>210383.46496520407</v>
      </c>
      <c r="D33" s="258">
        <v>425</v>
      </c>
      <c r="E33" s="259">
        <f>1143-90.19*LN(C33)+3.108*LN(C33)^2-0.04539*LN(C33)^3</f>
        <v>420.89737740234949</v>
      </c>
      <c r="F33" s="130" t="s">
        <v>256</v>
      </c>
      <c r="G33" s="121"/>
      <c r="H33" s="121"/>
      <c r="I33" s="121"/>
      <c r="J33" s="47"/>
      <c r="K33" s="60"/>
      <c r="L33" s="32"/>
      <c r="M33" s="238">
        <v>4.2048494493516282</v>
      </c>
      <c r="N33" s="186">
        <f>( (N18+M33)^2 * (N23+3/16*M33)^(3/8) ) / ( (N15-M33)^2 * (N19-M33/2) ) * ('Step 7'!M9 *0.068 / (N24-0.3125*M33) )^(-5/8)</f>
        <v>210383.4633627063</v>
      </c>
      <c r="O33" s="239">
        <v>425</v>
      </c>
      <c r="P33" s="240">
        <f>1143-90.19*LN(N33)+3.108*LN(N33)^2-0.04539*LN(N33)^3</f>
        <v>420.89737766482313</v>
      </c>
      <c r="Q33" s="241" t="s">
        <v>268</v>
      </c>
      <c r="R33" s="77"/>
      <c r="S33" s="77"/>
      <c r="T33" s="77"/>
      <c r="U33" s="32"/>
    </row>
    <row r="34" spans="1:21" x14ac:dyDescent="0.25">
      <c r="A34" s="132" t="s">
        <v>233</v>
      </c>
      <c r="B34" s="49"/>
      <c r="C34" s="49"/>
      <c r="D34" s="47"/>
      <c r="E34" s="47"/>
      <c r="F34" s="121"/>
      <c r="G34" s="121"/>
      <c r="H34" s="121"/>
      <c r="I34" s="121"/>
      <c r="J34" s="47"/>
      <c r="K34" s="60"/>
      <c r="L34" s="91" t="s">
        <v>233</v>
      </c>
      <c r="M34" s="34"/>
      <c r="N34" s="34"/>
      <c r="O34" s="32"/>
      <c r="P34" s="32"/>
      <c r="Q34" s="77"/>
      <c r="R34" s="77"/>
      <c r="S34" s="77"/>
      <c r="T34" s="77"/>
      <c r="U34" s="32"/>
    </row>
    <row r="35" spans="1:21" x14ac:dyDescent="0.25">
      <c r="A35" s="260" t="s">
        <v>82</v>
      </c>
      <c r="B35" s="261">
        <f>D52-C56</f>
        <v>5.0598755478858948E-5</v>
      </c>
      <c r="C35" s="262" t="s">
        <v>83</v>
      </c>
      <c r="D35" s="262" t="s">
        <v>257</v>
      </c>
      <c r="E35" s="262"/>
      <c r="F35" s="121"/>
      <c r="G35" s="121"/>
      <c r="H35" s="121"/>
      <c r="I35" s="121"/>
      <c r="J35" s="47"/>
      <c r="K35" s="60"/>
      <c r="L35" s="291" t="s">
        <v>82</v>
      </c>
      <c r="M35" s="32">
        <f>O52-N56</f>
        <v>0</v>
      </c>
      <c r="N35" s="32" t="s">
        <v>83</v>
      </c>
      <c r="O35" s="91" t="s">
        <v>257</v>
      </c>
      <c r="P35" s="32"/>
      <c r="Q35" s="77"/>
      <c r="R35" s="77"/>
      <c r="S35" s="77"/>
      <c r="T35" s="77"/>
      <c r="U35" s="32"/>
    </row>
    <row r="36" spans="1:21" x14ac:dyDescent="0.25">
      <c r="A36" s="47"/>
      <c r="B36" s="47"/>
      <c r="C36" s="47"/>
      <c r="D36" s="47"/>
      <c r="E36" s="47"/>
      <c r="F36" s="121"/>
      <c r="G36" s="121"/>
      <c r="H36" s="121"/>
      <c r="I36" s="121"/>
      <c r="J36" s="47"/>
      <c r="K36" s="60"/>
      <c r="L36" s="32"/>
      <c r="M36" s="32"/>
      <c r="N36" s="32"/>
      <c r="O36" s="32"/>
      <c r="P36" s="32"/>
      <c r="Q36" s="77"/>
      <c r="R36" s="77"/>
      <c r="S36" s="77"/>
      <c r="T36" s="77"/>
      <c r="U36" s="32"/>
    </row>
    <row r="37" spans="1:21" x14ac:dyDescent="0.25">
      <c r="A37" s="47"/>
      <c r="B37" s="47"/>
      <c r="C37" s="47"/>
      <c r="D37" s="47"/>
      <c r="E37" s="47"/>
      <c r="F37" s="121"/>
      <c r="G37" s="121"/>
      <c r="H37" s="121"/>
      <c r="I37" s="121"/>
      <c r="J37" s="47"/>
      <c r="K37" s="60"/>
      <c r="L37" s="32"/>
      <c r="M37" s="32"/>
      <c r="N37" s="32"/>
      <c r="O37" s="32"/>
      <c r="P37" s="32"/>
      <c r="Q37" s="77"/>
      <c r="R37" s="77"/>
      <c r="S37" s="77"/>
      <c r="T37" s="77"/>
      <c r="U37" s="32"/>
    </row>
    <row r="38" spans="1:21" ht="15" customHeight="1" x14ac:dyDescent="0.25">
      <c r="A38" s="47"/>
      <c r="B38" s="47"/>
      <c r="C38" s="47"/>
      <c r="D38" s="47"/>
      <c r="E38" s="47"/>
      <c r="F38" s="121"/>
      <c r="G38" s="121"/>
      <c r="H38" s="121"/>
      <c r="I38" s="121"/>
      <c r="J38" s="47"/>
      <c r="K38" s="60"/>
      <c r="L38" s="32"/>
      <c r="M38" s="32"/>
      <c r="N38" s="32"/>
      <c r="O38" s="32"/>
      <c r="P38" s="32"/>
      <c r="Q38" s="77"/>
      <c r="R38" s="77"/>
      <c r="S38" s="77"/>
      <c r="T38" s="77"/>
      <c r="U38" s="32"/>
    </row>
    <row r="39" spans="1:21" ht="12.75" customHeight="1" x14ac:dyDescent="0.25">
      <c r="A39" s="47"/>
      <c r="B39" s="47"/>
      <c r="C39" s="47"/>
      <c r="D39" s="47"/>
      <c r="E39" s="47"/>
      <c r="F39" s="121"/>
      <c r="G39" s="121"/>
      <c r="H39" s="121"/>
      <c r="I39" s="121"/>
      <c r="J39" s="47"/>
      <c r="K39" s="60"/>
      <c r="L39" s="32"/>
      <c r="M39" s="32"/>
      <c r="N39" s="32"/>
      <c r="O39" s="32"/>
      <c r="P39" s="32"/>
      <c r="Q39" s="77"/>
      <c r="R39" s="77"/>
      <c r="S39" s="77"/>
      <c r="T39" s="77"/>
      <c r="U39" s="32"/>
    </row>
    <row r="40" spans="1:21" x14ac:dyDescent="0.25">
      <c r="A40" s="56"/>
      <c r="B40" s="110"/>
      <c r="C40" s="49"/>
      <c r="D40" s="47"/>
      <c r="E40" s="47"/>
      <c r="F40" s="47"/>
      <c r="G40" s="47"/>
      <c r="H40" s="47"/>
      <c r="I40" s="47"/>
      <c r="J40" s="47"/>
      <c r="K40" s="60"/>
      <c r="L40" s="41"/>
      <c r="M40" s="66"/>
      <c r="N40" s="34"/>
      <c r="O40" s="32"/>
      <c r="P40" s="32"/>
      <c r="Q40" s="32"/>
      <c r="R40" s="32"/>
      <c r="S40" s="32"/>
      <c r="T40" s="32"/>
      <c r="U40" s="32"/>
    </row>
    <row r="41" spans="1:21" x14ac:dyDescent="0.25">
      <c r="A41" s="47"/>
      <c r="B41" s="49" t="s">
        <v>160</v>
      </c>
      <c r="C41" s="50" t="s">
        <v>85</v>
      </c>
      <c r="D41" s="280">
        <f>E33</f>
        <v>420.89737740234949</v>
      </c>
      <c r="E41" s="47" t="s">
        <v>32</v>
      </c>
      <c r="F41" s="47"/>
      <c r="G41" s="47"/>
      <c r="H41" s="47"/>
      <c r="I41" s="47"/>
      <c r="J41" s="47"/>
      <c r="K41" s="60"/>
      <c r="L41" s="32"/>
      <c r="M41" s="34" t="s">
        <v>160</v>
      </c>
      <c r="N41" s="35" t="s">
        <v>85</v>
      </c>
      <c r="O41" s="284">
        <f>P33</f>
        <v>420.89737766482313</v>
      </c>
      <c r="P41" s="32" t="s">
        <v>32</v>
      </c>
      <c r="Q41" s="32"/>
      <c r="R41" s="32"/>
      <c r="S41" s="32"/>
      <c r="T41" s="32"/>
      <c r="U41" s="32"/>
    </row>
    <row r="42" spans="1:21" x14ac:dyDescent="0.25">
      <c r="A42" s="47"/>
      <c r="B42" s="50" t="s">
        <v>86</v>
      </c>
      <c r="C42" s="50" t="s">
        <v>87</v>
      </c>
      <c r="D42" s="50" t="s">
        <v>83</v>
      </c>
      <c r="E42" s="47"/>
      <c r="F42" s="47"/>
      <c r="G42" s="47"/>
      <c r="H42" s="47"/>
      <c r="I42" s="47"/>
      <c r="J42" s="47"/>
      <c r="K42" s="60"/>
      <c r="L42" s="32"/>
      <c r="M42" s="35" t="s">
        <v>86</v>
      </c>
      <c r="N42" s="35" t="s">
        <v>87</v>
      </c>
      <c r="O42" s="35" t="s">
        <v>83</v>
      </c>
      <c r="P42" s="32"/>
      <c r="Q42" s="32"/>
      <c r="R42" s="32"/>
      <c r="S42" s="32"/>
      <c r="T42" s="32"/>
      <c r="U42" s="32"/>
    </row>
    <row r="43" spans="1:21" ht="16.5" x14ac:dyDescent="0.3">
      <c r="A43" s="47" t="s">
        <v>41</v>
      </c>
      <c r="B43" s="115">
        <f>C15-B33</f>
        <v>4.1657161875787834</v>
      </c>
      <c r="C43" s="136">
        <f>IF(ROUNDDOWN(D41,-2)=ROUNDUP(D41,-2),VLOOKUP(D41,Enthalpy,19),VLOOKUP(ROUNDDOWN(D41,-2),Enthalpy,19)+(D41-ROUNDDOWN(D41,-2))/(ROUNDUP(D41,-2)-ROUNDDOWN(D41,-2))*(VLOOKUP(ROUNDUP(D41,-2),Enthalpy,19)-VLOOKUP(ROUNDDOWN(D41,-2),Enthalpy,19)))</f>
        <v>3223.8969211406757</v>
      </c>
      <c r="D43" s="136">
        <f t="shared" ref="D43:D48" si="2">(B43*C43)</f>
        <v>13429.839591481114</v>
      </c>
      <c r="E43" s="47"/>
      <c r="F43" s="47"/>
      <c r="G43" s="47"/>
      <c r="H43" s="47"/>
      <c r="I43" s="47"/>
      <c r="J43" s="47"/>
      <c r="K43" s="60"/>
      <c r="L43" s="32" t="s">
        <v>41</v>
      </c>
      <c r="M43" s="71">
        <f>N15-M33</f>
        <v>4.1657162094704576</v>
      </c>
      <c r="N43" s="95">
        <f>IF(ROUNDDOWN(O41,-2)=ROUNDUP(O41,-2),VLOOKUP(O41,Enthalpy,19),VLOOKUP(ROUNDDOWN(O41,-2),Enthalpy,19)+(O41-ROUNDDOWN(O41,-2))/(ROUNDUP(O41,-2)-ROUNDDOWN(O41,-2))*(VLOOKUP(ROUNDUP(O41,-2),Enthalpy,19)-VLOOKUP(ROUNDDOWN(O41,-2),Enthalpy,19)))</f>
        <v>3223.8969234504434</v>
      </c>
      <c r="O43" s="95">
        <f t="shared" ref="O43:O48" si="3">(M43*N43)</f>
        <v>13429.83967167945</v>
      </c>
      <c r="P43" s="32"/>
      <c r="Q43" s="32"/>
      <c r="R43" s="32"/>
      <c r="S43" s="32"/>
      <c r="T43" s="32"/>
      <c r="U43" s="32"/>
    </row>
    <row r="44" spans="1:21" ht="16.5" x14ac:dyDescent="0.3">
      <c r="A44" s="47" t="s">
        <v>44</v>
      </c>
      <c r="B44" s="115">
        <f>C16</f>
        <v>159.09563336735241</v>
      </c>
      <c r="C44" s="136">
        <f>IF(ROUNDDOWN(D41,-2)=ROUNDUP(D41,-2),VLOOKUP(D41,Enthalpy,14),VLOOKUP(ROUNDDOWN(D41,-2),Enthalpy,14)+(D41-ROUNDDOWN(D41,-2))/(ROUNDUP(D41,-2)-ROUNDDOWN(D41,-2))*(VLOOKUP(ROUNDUP(D41,-2),Enthalpy,14)-VLOOKUP(ROUNDDOWN(D41,-2),Enthalpy,14)))</f>
        <v>3789.3929644311161</v>
      </c>
      <c r="D44" s="136">
        <f t="shared" si="2"/>
        <v>602875.87375395757</v>
      </c>
      <c r="E44" s="47"/>
      <c r="F44" s="47"/>
      <c r="G44" s="47"/>
      <c r="H44" s="47"/>
      <c r="I44" s="47"/>
      <c r="J44" s="47"/>
      <c r="K44" s="60"/>
      <c r="L44" s="32" t="s">
        <v>44</v>
      </c>
      <c r="M44" s="71">
        <f>N16</f>
        <v>159.09563336735241</v>
      </c>
      <c r="N44" s="95">
        <f>IF(ROUNDDOWN(O41,-2)=ROUNDUP(O41,-2),VLOOKUP(O41,Enthalpy,14),VLOOKUP(ROUNDDOWN(O41,-2),Enthalpy,14)+(O41-ROUNDDOWN(O41,-2))/(ROUNDUP(O41,-2)-ROUNDDOWN(O41,-2))*(VLOOKUP(ROUNDUP(O41,-2),Enthalpy,14)-VLOOKUP(ROUNDDOWN(O41,-2),Enthalpy,14)))</f>
        <v>3789.3929672369591</v>
      </c>
      <c r="O44" s="95">
        <f t="shared" si="3"/>
        <v>602875.87420035491</v>
      </c>
      <c r="P44" s="32"/>
      <c r="Q44" s="32"/>
      <c r="R44" s="32"/>
      <c r="S44" s="32"/>
      <c r="T44" s="32"/>
      <c r="U44" s="32"/>
    </row>
    <row r="45" spans="1:21" ht="16.5" x14ac:dyDescent="0.3">
      <c r="A45" s="47" t="s">
        <v>212</v>
      </c>
      <c r="B45" s="115">
        <f>C17</f>
        <v>16.300223504340146</v>
      </c>
      <c r="C45" s="136">
        <f>IF(ROUNDDOWN(D41,-2)=ROUNDUP(D41,-2),VLOOKUP(D41,Enthalpy,12),VLOOKUP(ROUNDDOWN(D41,-2),Enthalpy,12)+(D41-ROUNDDOWN(D41,-2))/(ROUNDUP(D41,-2)-ROUNDDOWN(D41,-2))*(VLOOKUP(ROUNDUP(D41,-2),Enthalpy,12)-VLOOKUP(ROUNDDOWN(D41,-2),Enthalpy,12)))</f>
        <v>2710.4457467203524</v>
      </c>
      <c r="D45" s="136">
        <f t="shared" si="2"/>
        <v>44180.871467929865</v>
      </c>
      <c r="E45" s="47"/>
      <c r="F45" s="47"/>
      <c r="G45" s="47"/>
      <c r="H45" s="47"/>
      <c r="I45" s="47"/>
      <c r="J45" s="47"/>
      <c r="K45" s="60"/>
      <c r="L45" s="32" t="s">
        <v>212</v>
      </c>
      <c r="M45" s="71">
        <f>N17</f>
        <v>16.300223504340146</v>
      </c>
      <c r="N45" s="95">
        <f>IF(ROUNDDOWN(O41,-2)=ROUNDUP(O41,-2),VLOOKUP(O41,Enthalpy,12),VLOOKUP(ROUNDDOWN(O41,-2),Enthalpy,12)+(O41-ROUNDDOWN(O41,-2))/(ROUNDUP(O41,-2)-ROUNDDOWN(O41,-2))*(VLOOKUP(ROUNDUP(O41,-2),Enthalpy,12)-VLOOKUP(ROUNDDOWN(O41,-2),Enthalpy,12)))</f>
        <v>2710.4457485471689</v>
      </c>
      <c r="O45" s="95">
        <f t="shared" si="3"/>
        <v>44180.871497707383</v>
      </c>
      <c r="P45" s="32"/>
      <c r="Q45" s="32"/>
      <c r="R45" s="32"/>
      <c r="S45" s="32"/>
      <c r="T45" s="32"/>
      <c r="U45" s="32"/>
    </row>
    <row r="46" spans="1:21" ht="16.5" x14ac:dyDescent="0.3">
      <c r="A46" s="47" t="s">
        <v>47</v>
      </c>
      <c r="B46" s="115">
        <f>C18+B33</f>
        <v>330.52506187861115</v>
      </c>
      <c r="C46" s="136">
        <f>IF(ROUNDDOWN(D41,-2)=ROUNDUP(D41,-2),VLOOKUP(D41,Enthalpy,15),VLOOKUP(ROUNDDOWN(D41,-2),Enthalpy,15)+(D41-ROUNDDOWN(D41,-2))/(ROUNDUP(D41,-2)-ROUNDDOWN(D41,-2))*(VLOOKUP(ROUNDUP(D41,-2),Enthalpy,15)-VLOOKUP(ROUNDDOWN(D41,-2),Enthalpy,15)))</f>
        <v>3253.2546292420411</v>
      </c>
      <c r="D46" s="136">
        <f t="shared" si="2"/>
        <v>1075282.1876371037</v>
      </c>
      <c r="E46" s="47"/>
      <c r="F46" s="47"/>
      <c r="G46" s="47"/>
      <c r="H46" s="47"/>
      <c r="I46" s="47"/>
      <c r="J46" s="47"/>
      <c r="K46" s="60"/>
      <c r="L46" s="32" t="s">
        <v>47</v>
      </c>
      <c r="M46" s="71">
        <f>N18+M33</f>
        <v>330.5250618567195</v>
      </c>
      <c r="N46" s="95">
        <f>IF(ROUNDDOWN(O41,-2)=ROUNDUP(O41,-2),VLOOKUP(O41,Enthalpy,15),VLOOKUP(ROUNDDOWN(O41,-2),Enthalpy,15)+(O41-ROUNDDOWN(O41,-2))/(ROUNDUP(O41,-2)-ROUNDDOWN(O41,-2))*(VLOOKUP(ROUNDUP(O41,-2),Enthalpy,15)-VLOOKUP(ROUNDDOWN(O41,-2),Enthalpy,15)))</f>
        <v>3253.254631480941</v>
      </c>
      <c r="O46" s="95">
        <f t="shared" si="3"/>
        <v>1075282.1883058972</v>
      </c>
      <c r="P46" s="32"/>
      <c r="Q46" s="32"/>
      <c r="R46" s="32"/>
      <c r="S46" s="32"/>
      <c r="T46" s="32"/>
      <c r="U46" s="32"/>
    </row>
    <row r="47" spans="1:21" ht="16.5" x14ac:dyDescent="0.3">
      <c r="A47" s="47" t="s">
        <v>67</v>
      </c>
      <c r="B47" s="115">
        <f>C19-B33/2</f>
        <v>2.0828580937893917</v>
      </c>
      <c r="C47" s="136">
        <f>IF(ROUNDDOWN(D41,-2)=ROUNDUP(D41,-2),VLOOKUP(D41,Enthalpy,17),VLOOKUP(ROUNDDOWN(D41,-2),Enthalpy,17)+(D41-ROUNDDOWN(D41,-2))/(ROUNDUP(D41,-2)-ROUNDDOWN(D41,-2))*(VLOOKUP(ROUNDUP(D41,-2),Enthalpy,17)-VLOOKUP(ROUNDDOWN(D41,-2),Enthalpy,17)))</f>
        <v>4061.6031810647137</v>
      </c>
      <c r="D47" s="136">
        <f t="shared" si="2"/>
        <v>8459.7430594413781</v>
      </c>
      <c r="E47" s="47"/>
      <c r="F47" s="47"/>
      <c r="G47" s="47"/>
      <c r="H47" s="47"/>
      <c r="I47" s="47"/>
      <c r="J47" s="47"/>
      <c r="K47" s="60"/>
      <c r="L47" s="32" t="s">
        <v>67</v>
      </c>
      <c r="M47" s="71">
        <f>N19-M33/2</f>
        <v>2.0828581047352288</v>
      </c>
      <c r="N47" s="95">
        <f>IF(ROUNDDOWN(O41,-2)=ROUNDUP(O41,-2),VLOOKUP(O41,Enthalpy,17),VLOOKUP(ROUNDDOWN(O41,-2),Enthalpy,17)+(O41-ROUNDDOWN(O41,-2))/(ROUNDUP(O41,-2)-ROUNDDOWN(O41,-2))*(VLOOKUP(ROUNDUP(O41,-2),Enthalpy,17)-VLOOKUP(ROUNDDOWN(O41,-2),Enthalpy,17)))</f>
        <v>4061.6031840490391</v>
      </c>
      <c r="O47" s="95">
        <f t="shared" si="3"/>
        <v>8459.7431101149523</v>
      </c>
      <c r="P47" s="32"/>
      <c r="Q47" s="32"/>
      <c r="R47" s="32"/>
      <c r="S47" s="32"/>
      <c r="T47" s="32"/>
      <c r="U47" s="32"/>
    </row>
    <row r="48" spans="1:21" ht="16.5" x14ac:dyDescent="0.3">
      <c r="A48" s="47" t="s">
        <v>68</v>
      </c>
      <c r="B48" s="115">
        <f>C20</f>
        <v>551.97957289408987</v>
      </c>
      <c r="C48" s="136">
        <f>IF(ROUNDDOWN(D41,-2)=ROUNDUP(D41,-2),VLOOKUP(D41,Enthalpy,9),VLOOKUP(ROUNDDOWN(D41,-2),Enthalpy,9)+(D41-ROUNDDOWN(D41,-2))/(ROUNDUP(D41,-2)-ROUNDDOWN(D41,-2))*(VLOOKUP(ROUNDUP(D41,-2),Enthalpy,9)-VLOOKUP(ROUNDDOWN(D41,-2),Enthalpy,9)))</f>
        <v>2724.9534320086345</v>
      </c>
      <c r="D48" s="136">
        <f t="shared" si="2"/>
        <v>1504118.6315564103</v>
      </c>
      <c r="E48" s="47"/>
      <c r="F48" s="47"/>
      <c r="G48" s="47"/>
      <c r="H48" s="47"/>
      <c r="I48" s="47"/>
      <c r="J48" s="47"/>
      <c r="K48" s="60"/>
      <c r="L48" s="32" t="s">
        <v>68</v>
      </c>
      <c r="M48" s="71">
        <f>N20</f>
        <v>551.97957289408987</v>
      </c>
      <c r="N48" s="95">
        <f>IF(ROUNDDOWN(O41,-2)=ROUNDUP(O41,-2),VLOOKUP(O41,Enthalpy,9),VLOOKUP(ROUNDDOWN(O41,-2),Enthalpy,9)+(O41-ROUNDDOWN(O41,-2))/(ROUNDUP(O41,-2)-ROUNDDOWN(O41,-2))*(VLOOKUP(ROUNDUP(O41,-2),Enthalpy,9)-VLOOKUP(ROUNDDOWN(O41,-2),Enthalpy,9)))</f>
        <v>2724.9534338669478</v>
      </c>
      <c r="O48" s="95">
        <f t="shared" si="3"/>
        <v>1504118.6325821613</v>
      </c>
      <c r="P48" s="32"/>
      <c r="Q48" s="32"/>
      <c r="R48" s="32"/>
      <c r="S48" s="32"/>
      <c r="T48" s="32"/>
      <c r="U48" s="32"/>
    </row>
    <row r="49" spans="1:21" ht="16.5" x14ac:dyDescent="0.3">
      <c r="A49" s="206" t="s">
        <v>121</v>
      </c>
      <c r="B49" s="115"/>
      <c r="C49" s="136"/>
      <c r="D49" s="136"/>
      <c r="E49" s="47"/>
      <c r="F49" s="47"/>
      <c r="G49" s="47"/>
      <c r="H49" s="47"/>
      <c r="I49" s="47"/>
      <c r="J49" s="47"/>
      <c r="K49" s="60"/>
      <c r="L49" s="190" t="s">
        <v>121</v>
      </c>
      <c r="M49" s="71"/>
      <c r="N49" s="95"/>
      <c r="O49" s="95"/>
      <c r="P49" s="32"/>
      <c r="Q49" s="32"/>
      <c r="R49" s="32"/>
      <c r="S49" s="32"/>
      <c r="T49" s="32"/>
      <c r="U49" s="32"/>
    </row>
    <row r="50" spans="1:21" ht="16.5" x14ac:dyDescent="0.3">
      <c r="A50" s="206" t="s">
        <v>123</v>
      </c>
      <c r="B50" s="115"/>
      <c r="C50" s="56"/>
      <c r="D50" s="56"/>
      <c r="E50" s="47"/>
      <c r="F50" s="47"/>
      <c r="G50" s="47"/>
      <c r="H50" s="47"/>
      <c r="I50" s="47"/>
      <c r="J50" s="47"/>
      <c r="K50" s="60"/>
      <c r="L50" s="190" t="s">
        <v>123</v>
      </c>
      <c r="M50" s="71"/>
      <c r="N50" s="41"/>
      <c r="O50" s="41"/>
      <c r="P50" s="32"/>
      <c r="Q50" s="32"/>
      <c r="R50" s="32"/>
      <c r="S50" s="32"/>
      <c r="T50" s="32"/>
      <c r="U50" s="32"/>
    </row>
    <row r="51" spans="1:21" ht="16.5" x14ac:dyDescent="0.3">
      <c r="A51" s="206" t="s">
        <v>125</v>
      </c>
      <c r="B51" s="116">
        <f>C23+3/16*B33</f>
        <v>0.88517048251284469</v>
      </c>
      <c r="C51" s="136">
        <f>IF(ROUNDDOWN(D41,-2)=ROUNDUP(D41,-2),VLOOKUP(D41,Enthalpy,23),VLOOKUP(ROUNDDOWN(D41,-2),Enthalpy,23)+(D41-ROUNDDOWN(D41,-2))/(ROUNDUP(D41,-2)-ROUNDDOWN(D41,-2))*(VLOOKUP(ROUNDUP(D41,-2),Enthalpy,23)-VLOOKUP(ROUNDDOWN(D41,-2),Enthalpy,23)))</f>
        <v>15297.241162197504</v>
      </c>
      <c r="D51" s="143">
        <f>(B51*C51)</f>
        <v>13540.666340657714</v>
      </c>
      <c r="E51" s="47"/>
      <c r="F51" s="47"/>
      <c r="G51" s="47"/>
      <c r="H51" s="47"/>
      <c r="I51" s="47"/>
      <c r="J51" s="47"/>
      <c r="K51" s="60"/>
      <c r="L51" s="190" t="s">
        <v>125</v>
      </c>
      <c r="M51" s="72">
        <f>N23+3/16*M33</f>
        <v>0.88517050201767244</v>
      </c>
      <c r="N51" s="95">
        <f>IF(ROUNDDOWN(O41,-2)=ROUNDUP(O41,-2),VLOOKUP(O41,Enthalpy,23),VLOOKUP(ROUNDDOWN(O41,-2),Enthalpy,23)+(O41-ROUNDDOWN(O41,-2))/(ROUNDUP(O41,-2)-ROUNDDOWN(O41,-2))*(VLOOKUP(ROUNDUP(O41,-2),Enthalpy,23)-VLOOKUP(ROUNDDOWN(O41,-2),Enthalpy,23)))</f>
        <v>15297.24117309016</v>
      </c>
      <c r="O51" s="103">
        <f>(M51*N51)</f>
        <v>13540.666648669625</v>
      </c>
      <c r="P51" s="32"/>
      <c r="Q51" s="32"/>
      <c r="R51" s="32"/>
      <c r="S51" s="32"/>
      <c r="T51" s="32"/>
      <c r="U51" s="32"/>
    </row>
    <row r="52" spans="1:21" x14ac:dyDescent="0.25">
      <c r="A52" s="47"/>
      <c r="B52" s="115">
        <f>SUM(B43:B51)</f>
        <v>1065.0342364082746</v>
      </c>
      <c r="C52" s="56"/>
      <c r="D52" s="136">
        <f>SUM(D43:D51)</f>
        <v>3261887.8134069815</v>
      </c>
      <c r="E52" s="47"/>
      <c r="F52" s="47"/>
      <c r="G52" s="47"/>
      <c r="H52" s="47"/>
      <c r="I52" s="47"/>
      <c r="J52" s="47"/>
      <c r="K52" s="60"/>
      <c r="L52" s="32"/>
      <c r="M52" s="71">
        <f>SUM(M43:M51)</f>
        <v>1065.0342364387254</v>
      </c>
      <c r="N52" s="41"/>
      <c r="O52" s="95">
        <f>SUM(O43:O51)</f>
        <v>3261887.8160165851</v>
      </c>
      <c r="P52" s="32"/>
      <c r="Q52" s="32"/>
      <c r="R52" s="32"/>
      <c r="S52" s="32"/>
      <c r="T52" s="32"/>
      <c r="U52" s="32"/>
    </row>
    <row r="53" spans="1:21" x14ac:dyDescent="0.25">
      <c r="A53" s="47" t="s">
        <v>161</v>
      </c>
      <c r="B53" s="49"/>
      <c r="C53" s="49"/>
      <c r="D53" s="47"/>
      <c r="E53" s="47"/>
      <c r="F53" s="47"/>
      <c r="G53" s="47"/>
      <c r="H53" s="47"/>
      <c r="I53" s="47"/>
      <c r="J53" s="47"/>
      <c r="K53" s="60"/>
      <c r="L53" s="32" t="s">
        <v>161</v>
      </c>
      <c r="M53" s="34"/>
      <c r="N53" s="34"/>
      <c r="O53" s="32"/>
      <c r="P53" s="32"/>
      <c r="Q53" s="32"/>
      <c r="R53" s="32"/>
      <c r="S53" s="32"/>
      <c r="T53" s="32"/>
      <c r="U53" s="32"/>
    </row>
    <row r="54" spans="1:21" x14ac:dyDescent="0.25">
      <c r="A54" s="56" t="s">
        <v>166</v>
      </c>
      <c r="B54" s="49" t="s">
        <v>3</v>
      </c>
      <c r="C54" s="136">
        <f>'Step 10'!D27</f>
        <v>3164188.1388170281</v>
      </c>
      <c r="D54" s="47" t="s">
        <v>83</v>
      </c>
      <c r="E54" s="47"/>
      <c r="F54" s="47"/>
      <c r="G54" s="47"/>
      <c r="H54" s="47"/>
      <c r="I54" s="47"/>
      <c r="J54" s="47"/>
      <c r="K54" s="60"/>
      <c r="L54" s="41" t="s">
        <v>166</v>
      </c>
      <c r="M54" s="34" t="s">
        <v>3</v>
      </c>
      <c r="N54" s="95">
        <f>'Step 10'!O27</f>
        <v>3164188.1390608996</v>
      </c>
      <c r="O54" s="32" t="s">
        <v>83</v>
      </c>
      <c r="P54" s="32"/>
      <c r="Q54" s="32"/>
      <c r="R54" s="32"/>
      <c r="S54" s="32"/>
      <c r="T54" s="32"/>
      <c r="U54" s="32"/>
    </row>
    <row r="55" spans="1:21" x14ac:dyDescent="0.25">
      <c r="A55" s="56" t="s">
        <v>93</v>
      </c>
      <c r="B55" s="49" t="s">
        <v>3</v>
      </c>
      <c r="C55" s="143">
        <f>B33/2*(-C11)</f>
        <v>97699.674539354673</v>
      </c>
      <c r="D55" s="47" t="s">
        <v>83</v>
      </c>
      <c r="E55" s="47"/>
      <c r="F55" s="47"/>
      <c r="G55" s="47"/>
      <c r="H55" s="47"/>
      <c r="I55" s="47"/>
      <c r="J55" s="47"/>
      <c r="K55" s="60"/>
      <c r="L55" s="41" t="s">
        <v>93</v>
      </c>
      <c r="M55" s="34" t="s">
        <v>3</v>
      </c>
      <c r="N55" s="103">
        <f>M33/2*(-N11)</f>
        <v>97699.676955685078</v>
      </c>
      <c r="O55" s="32" t="s">
        <v>83</v>
      </c>
      <c r="P55" s="32"/>
      <c r="Q55" s="32"/>
      <c r="R55" s="32"/>
      <c r="S55" s="32"/>
      <c r="T55" s="32"/>
      <c r="U55" s="32"/>
    </row>
    <row r="56" spans="1:21" x14ac:dyDescent="0.25">
      <c r="A56" s="56" t="s">
        <v>163</v>
      </c>
      <c r="B56" s="49" t="s">
        <v>3</v>
      </c>
      <c r="C56" s="136">
        <f>C54+C55</f>
        <v>3261887.8133563828</v>
      </c>
      <c r="D56" s="47" t="s">
        <v>83</v>
      </c>
      <c r="E56" s="47"/>
      <c r="F56" s="47"/>
      <c r="G56" s="47"/>
      <c r="H56" s="47"/>
      <c r="I56" s="47"/>
      <c r="J56" s="47"/>
      <c r="K56" s="60"/>
      <c r="L56" s="41" t="s">
        <v>163</v>
      </c>
      <c r="M56" s="34" t="s">
        <v>3</v>
      </c>
      <c r="N56" s="95">
        <f>N54+N55</f>
        <v>3261887.8160165846</v>
      </c>
      <c r="O56" s="32" t="s">
        <v>83</v>
      </c>
      <c r="P56" s="32"/>
      <c r="Q56" s="32"/>
      <c r="R56" s="32"/>
      <c r="S56" s="32"/>
      <c r="T56" s="32"/>
      <c r="U56" s="32"/>
    </row>
    <row r="57" spans="1:21" x14ac:dyDescent="0.25">
      <c r="A57" s="56"/>
      <c r="B57" s="49"/>
      <c r="C57" s="269"/>
      <c r="D57" s="47"/>
      <c r="E57" s="47"/>
      <c r="F57" s="47"/>
      <c r="G57" s="47"/>
      <c r="H57" s="47"/>
      <c r="I57" s="47"/>
      <c r="J57" s="47"/>
      <c r="K57" s="60"/>
      <c r="L57" s="41"/>
      <c r="M57" s="34"/>
      <c r="N57" s="250"/>
      <c r="O57" s="32"/>
      <c r="P57" s="32"/>
      <c r="Q57" s="32"/>
      <c r="R57" s="32"/>
      <c r="S57" s="32"/>
      <c r="T57" s="32"/>
      <c r="U57" s="32"/>
    </row>
    <row r="58" spans="1:21" x14ac:dyDescent="0.25">
      <c r="K58" s="60"/>
    </row>
    <row r="59" spans="1:21" x14ac:dyDescent="0.25">
      <c r="A59" s="44" t="s">
        <v>307</v>
      </c>
      <c r="K59" s="60"/>
    </row>
    <row r="60" spans="1:21" x14ac:dyDescent="0.25">
      <c r="A60" s="44" t="s">
        <v>303</v>
      </c>
      <c r="K60" s="60"/>
    </row>
    <row r="61" spans="1:21" x14ac:dyDescent="0.25">
      <c r="A61" s="44" t="s">
        <v>304</v>
      </c>
      <c r="K61" s="60"/>
    </row>
    <row r="62" spans="1:21" x14ac:dyDescent="0.25">
      <c r="A62" s="44" t="s">
        <v>305</v>
      </c>
      <c r="K62" s="60"/>
    </row>
    <row r="63" spans="1:21" x14ac:dyDescent="0.25">
      <c r="A63" s="45" t="s">
        <v>306</v>
      </c>
      <c r="K63" s="60"/>
    </row>
    <row r="64" spans="1:21" x14ac:dyDescent="0.25">
      <c r="K64" s="60"/>
    </row>
    <row r="65" spans="11:11" x14ac:dyDescent="0.25">
      <c r="K65" s="60"/>
    </row>
    <row r="66" spans="11:11" x14ac:dyDescent="0.25">
      <c r="K66" s="60"/>
    </row>
    <row r="67" spans="11:11" x14ac:dyDescent="0.25">
      <c r="K67" s="60"/>
    </row>
    <row r="68" spans="11:11" x14ac:dyDescent="0.25">
      <c r="K68" s="60"/>
    </row>
    <row r="69" spans="11:11" x14ac:dyDescent="0.25">
      <c r="K69" s="60"/>
    </row>
    <row r="70" spans="11:11" x14ac:dyDescent="0.25">
      <c r="K70" s="60"/>
    </row>
    <row r="71" spans="11:11" x14ac:dyDescent="0.25">
      <c r="K71" s="60"/>
    </row>
    <row r="72" spans="11:11" x14ac:dyDescent="0.25">
      <c r="K72" s="60"/>
    </row>
    <row r="73" spans="11:11" x14ac:dyDescent="0.25">
      <c r="K73" s="60"/>
    </row>
    <row r="74" spans="11:11" x14ac:dyDescent="0.25">
      <c r="K74" s="60"/>
    </row>
    <row r="75" spans="11:11" x14ac:dyDescent="0.25">
      <c r="K75" s="60"/>
    </row>
    <row r="76" spans="11:11" x14ac:dyDescent="0.25">
      <c r="K76" s="60"/>
    </row>
    <row r="77" spans="11:11" x14ac:dyDescent="0.25">
      <c r="K77" s="60"/>
    </row>
    <row r="78" spans="11:11" x14ac:dyDescent="0.25">
      <c r="K78" s="60"/>
    </row>
    <row r="79" spans="11:11" x14ac:dyDescent="0.25">
      <c r="K79" s="60"/>
    </row>
    <row r="80" spans="11:11" x14ac:dyDescent="0.25">
      <c r="K80" s="60"/>
    </row>
    <row r="81" spans="11:11" x14ac:dyDescent="0.25">
      <c r="K81" s="60"/>
    </row>
    <row r="82" spans="11:11" x14ac:dyDescent="0.25">
      <c r="K82" s="60"/>
    </row>
    <row r="83" spans="11:11" x14ac:dyDescent="0.25">
      <c r="K83" s="60"/>
    </row>
    <row r="84" spans="11:11" x14ac:dyDescent="0.25">
      <c r="K84" s="60"/>
    </row>
    <row r="85" spans="11:11" x14ac:dyDescent="0.25">
      <c r="K85" s="60"/>
    </row>
    <row r="86" spans="11:11" x14ac:dyDescent="0.25">
      <c r="K86" s="60"/>
    </row>
    <row r="87" spans="11:11" x14ac:dyDescent="0.25">
      <c r="K87" s="60"/>
    </row>
    <row r="88" spans="11:11" x14ac:dyDescent="0.25">
      <c r="K88" s="60"/>
    </row>
    <row r="89" spans="11:11" x14ac:dyDescent="0.25">
      <c r="K89" s="60"/>
    </row>
    <row r="90" spans="11:11" x14ac:dyDescent="0.25">
      <c r="K90" s="60"/>
    </row>
    <row r="91" spans="11:11" x14ac:dyDescent="0.25">
      <c r="K91" s="60"/>
    </row>
    <row r="92" spans="11:11" x14ac:dyDescent="0.25">
      <c r="K92" s="60"/>
    </row>
    <row r="93" spans="11:11" x14ac:dyDescent="0.25">
      <c r="K93" s="60"/>
    </row>
    <row r="94" spans="11:11" x14ac:dyDescent="0.25">
      <c r="K94" s="60"/>
    </row>
    <row r="95" spans="11:11" x14ac:dyDescent="0.25">
      <c r="K95" s="60"/>
    </row>
    <row r="96" spans="11:11" x14ac:dyDescent="0.25">
      <c r="K96" s="60"/>
    </row>
    <row r="97" spans="11:11" x14ac:dyDescent="0.25">
      <c r="K97" s="60"/>
    </row>
    <row r="98" spans="11:11" x14ac:dyDescent="0.25">
      <c r="K98" s="60"/>
    </row>
    <row r="99" spans="11:11" x14ac:dyDescent="0.25">
      <c r="K99" s="60"/>
    </row>
    <row r="100" spans="11:11" x14ac:dyDescent="0.25">
      <c r="K100" s="60"/>
    </row>
    <row r="101" spans="11:11" x14ac:dyDescent="0.25">
      <c r="K101" s="60"/>
    </row>
    <row r="102" spans="11:11" x14ac:dyDescent="0.25">
      <c r="K102" s="60"/>
    </row>
    <row r="103" spans="11:11" x14ac:dyDescent="0.25">
      <c r="K103" s="60"/>
    </row>
    <row r="104" spans="11:11" x14ac:dyDescent="0.25">
      <c r="K104" s="60"/>
    </row>
    <row r="105" spans="11:11" x14ac:dyDescent="0.25">
      <c r="K105" s="60"/>
    </row>
    <row r="106" spans="11:11" x14ac:dyDescent="0.25">
      <c r="K106" s="60"/>
    </row>
    <row r="107" spans="11:11" x14ac:dyDescent="0.25">
      <c r="K107" s="60"/>
    </row>
    <row r="108" spans="11:11" x14ac:dyDescent="0.25">
      <c r="K108" s="60"/>
    </row>
    <row r="109" spans="11:11" x14ac:dyDescent="0.25">
      <c r="K109" s="60"/>
    </row>
    <row r="110" spans="11:11" x14ac:dyDescent="0.25">
      <c r="K110" s="60"/>
    </row>
    <row r="111" spans="11:11" x14ac:dyDescent="0.25">
      <c r="K111" s="60"/>
    </row>
    <row r="112" spans="11:11" x14ac:dyDescent="0.25">
      <c r="K112" s="60"/>
    </row>
    <row r="113" spans="11:11" x14ac:dyDescent="0.25">
      <c r="K113" s="60"/>
    </row>
    <row r="114" spans="11:11" x14ac:dyDescent="0.25">
      <c r="K114" s="60"/>
    </row>
    <row r="115" spans="11:11" x14ac:dyDescent="0.25">
      <c r="K115" s="60"/>
    </row>
    <row r="116" spans="11:11" x14ac:dyDescent="0.25">
      <c r="K116" s="60"/>
    </row>
    <row r="117" spans="11:11" x14ac:dyDescent="0.25">
      <c r="K117" s="60"/>
    </row>
    <row r="118" spans="11:11" x14ac:dyDescent="0.25">
      <c r="K118" s="60"/>
    </row>
    <row r="119" spans="11:11" x14ac:dyDescent="0.25">
      <c r="K119" s="60"/>
    </row>
    <row r="120" spans="11:11" x14ac:dyDescent="0.25">
      <c r="K120" s="60"/>
    </row>
    <row r="121" spans="11:11" x14ac:dyDescent="0.25">
      <c r="K121" s="60"/>
    </row>
    <row r="122" spans="11:11" x14ac:dyDescent="0.25">
      <c r="K122" s="60"/>
    </row>
    <row r="123" spans="11:11" x14ac:dyDescent="0.25">
      <c r="K123" s="60"/>
    </row>
    <row r="124" spans="11:11" x14ac:dyDescent="0.25">
      <c r="K124" s="60"/>
    </row>
    <row r="125" spans="11:11" x14ac:dyDescent="0.25">
      <c r="K125" s="60"/>
    </row>
    <row r="126" spans="11:11" x14ac:dyDescent="0.25">
      <c r="K126" s="60"/>
    </row>
    <row r="127" spans="11:11" x14ac:dyDescent="0.25">
      <c r="K127" s="60"/>
    </row>
    <row r="128" spans="11:11" x14ac:dyDescent="0.25">
      <c r="K128" s="60"/>
    </row>
    <row r="129" spans="11:11" x14ac:dyDescent="0.25">
      <c r="K129" s="60"/>
    </row>
    <row r="130" spans="11:11" x14ac:dyDescent="0.25">
      <c r="K130" s="60"/>
    </row>
    <row r="131" spans="11:11" x14ac:dyDescent="0.25">
      <c r="K131" s="60"/>
    </row>
    <row r="132" spans="11:11" x14ac:dyDescent="0.25">
      <c r="K132" s="60"/>
    </row>
    <row r="133" spans="11:11" x14ac:dyDescent="0.25">
      <c r="K133" s="60"/>
    </row>
    <row r="134" spans="11:11" x14ac:dyDescent="0.25">
      <c r="K134" s="60"/>
    </row>
    <row r="135" spans="11:11" x14ac:dyDescent="0.25">
      <c r="K135" s="60"/>
    </row>
    <row r="136" spans="11:11" x14ac:dyDescent="0.25">
      <c r="K136" s="60"/>
    </row>
    <row r="137" spans="11:11" x14ac:dyDescent="0.25">
      <c r="K137" s="60"/>
    </row>
    <row r="138" spans="11:11" x14ac:dyDescent="0.25">
      <c r="K138" s="60"/>
    </row>
    <row r="139" spans="11:11" x14ac:dyDescent="0.25">
      <c r="K139" s="60"/>
    </row>
    <row r="140" spans="11:11" x14ac:dyDescent="0.25">
      <c r="K140" s="60"/>
    </row>
    <row r="141" spans="11:11" x14ac:dyDescent="0.25">
      <c r="K141" s="60"/>
    </row>
    <row r="142" spans="11:11" x14ac:dyDescent="0.25">
      <c r="K142" s="60"/>
    </row>
    <row r="143" spans="11:11" x14ac:dyDescent="0.25">
      <c r="K143" s="60"/>
    </row>
  </sheetData>
  <sheetProtection password="E156" sheet="1" objects="1" scenarios="1"/>
  <mergeCells count="8">
    <mergeCell ref="A6:G6"/>
    <mergeCell ref="C13:D13"/>
    <mergeCell ref="C14:D14"/>
    <mergeCell ref="F33:I39"/>
    <mergeCell ref="L6:R6"/>
    <mergeCell ref="N13:O13"/>
    <mergeCell ref="N14:O14"/>
    <mergeCell ref="Q33:T39"/>
  </mergeCells>
  <pageMargins left="0.7" right="0.7" top="0.75" bottom="0.75" header="0.51180555555555551" footer="0.51180555555555551"/>
  <pageSetup firstPageNumber="0"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U48"/>
  <sheetViews>
    <sheetView zoomScaleNormal="100" workbookViewId="0">
      <selection activeCell="H3" sqref="H3"/>
    </sheetView>
  </sheetViews>
  <sheetFormatPr defaultColWidth="8.7109375" defaultRowHeight="15" x14ac:dyDescent="0.25"/>
  <cols>
    <col min="1" max="1" width="21.42578125" style="28" customWidth="1"/>
    <col min="2" max="2" width="12.42578125" style="28" customWidth="1"/>
    <col min="3" max="3" width="12.7109375" style="28" customWidth="1"/>
    <col min="4" max="4" width="11.28515625" style="28" customWidth="1"/>
    <col min="5" max="6" width="8.7109375" style="28"/>
    <col min="7" max="7" width="9.42578125" style="28" customWidth="1"/>
    <col min="8" max="11" width="8.7109375" style="28"/>
    <col min="12" max="12" width="21.42578125" style="28" customWidth="1"/>
    <col min="13" max="13" width="12.42578125" style="28" customWidth="1"/>
    <col min="14" max="14" width="12.5703125" style="28" customWidth="1"/>
    <col min="15" max="15" width="11.140625" style="28" customWidth="1"/>
    <col min="16" max="17" width="8.7109375" style="28"/>
    <col min="18" max="18" width="9.28515625" style="28" customWidth="1"/>
    <col min="19" max="16384" width="8.7109375" style="28"/>
  </cols>
  <sheetData>
    <row r="1" spans="1:21" x14ac:dyDescent="0.25">
      <c r="A1" s="27" t="s">
        <v>298</v>
      </c>
    </row>
    <row r="5" spans="1:21" ht="20.25" x14ac:dyDescent="0.3">
      <c r="A5" s="106" t="s">
        <v>284</v>
      </c>
      <c r="B5" s="49"/>
      <c r="C5" s="49"/>
      <c r="D5" s="47"/>
      <c r="E5" s="47"/>
      <c r="F5" s="47"/>
      <c r="G5" s="47"/>
      <c r="H5" s="47"/>
      <c r="I5" s="47"/>
      <c r="J5" s="47"/>
      <c r="K5" s="60"/>
      <c r="L5" s="270" t="s">
        <v>284</v>
      </c>
      <c r="M5" s="34"/>
      <c r="N5" s="34"/>
      <c r="O5" s="32"/>
      <c r="P5" s="32"/>
      <c r="Q5" s="32"/>
      <c r="R5" s="32"/>
      <c r="S5" s="32"/>
      <c r="T5" s="32"/>
      <c r="U5" s="32"/>
    </row>
    <row r="6" spans="1:21" x14ac:dyDescent="0.25">
      <c r="A6" s="47"/>
      <c r="B6" s="49"/>
      <c r="C6" s="49"/>
      <c r="D6" s="47"/>
      <c r="E6" s="47"/>
      <c r="F6" s="47"/>
      <c r="G6" s="47"/>
      <c r="H6" s="47"/>
      <c r="I6" s="47"/>
      <c r="J6" s="47"/>
      <c r="K6" s="60"/>
      <c r="L6" s="32"/>
      <c r="M6" s="34"/>
      <c r="N6" s="34"/>
      <c r="O6" s="32"/>
      <c r="P6" s="32"/>
      <c r="Q6" s="32"/>
      <c r="R6" s="32"/>
      <c r="S6" s="32"/>
      <c r="T6" s="32"/>
      <c r="U6" s="32"/>
    </row>
    <row r="7" spans="1:21" x14ac:dyDescent="0.25">
      <c r="A7" s="47" t="s">
        <v>109</v>
      </c>
      <c r="B7" s="49"/>
      <c r="C7" s="49"/>
      <c r="D7" s="117">
        <v>0.2</v>
      </c>
      <c r="E7" s="47" t="s">
        <v>74</v>
      </c>
      <c r="F7" s="56" t="s">
        <v>75</v>
      </c>
      <c r="G7" s="47">
        <f>'Step 10'!B9-D7</f>
        <v>15.3</v>
      </c>
      <c r="H7" s="47" t="s">
        <v>34</v>
      </c>
      <c r="I7" s="47"/>
      <c r="J7" s="47"/>
      <c r="K7" s="60"/>
      <c r="L7" s="32" t="s">
        <v>109</v>
      </c>
      <c r="M7" s="34"/>
      <c r="N7" s="34"/>
      <c r="O7" s="73">
        <v>0.2</v>
      </c>
      <c r="P7" s="32" t="s">
        <v>74</v>
      </c>
      <c r="Q7" s="41" t="s">
        <v>75</v>
      </c>
      <c r="R7" s="32">
        <f>'Step 10'!M9-O7</f>
        <v>15.3</v>
      </c>
      <c r="S7" s="32" t="s">
        <v>34</v>
      </c>
      <c r="T7" s="32"/>
      <c r="U7" s="32"/>
    </row>
    <row r="8" spans="1:21" x14ac:dyDescent="0.25">
      <c r="A8" s="47" t="s">
        <v>110</v>
      </c>
      <c r="B8" s="49"/>
      <c r="C8" s="49"/>
      <c r="D8" s="51">
        <v>270</v>
      </c>
      <c r="E8" s="47" t="s">
        <v>32</v>
      </c>
      <c r="F8" s="47"/>
      <c r="G8" s="47"/>
      <c r="H8" s="47"/>
      <c r="I8" s="47"/>
      <c r="J8" s="47"/>
      <c r="K8" s="60"/>
      <c r="L8" s="32" t="s">
        <v>110</v>
      </c>
      <c r="M8" s="34"/>
      <c r="N8" s="34"/>
      <c r="O8" s="36">
        <v>270</v>
      </c>
      <c r="P8" s="32" t="s">
        <v>32</v>
      </c>
      <c r="Q8" s="32"/>
      <c r="R8" s="32"/>
      <c r="S8" s="32"/>
      <c r="T8" s="32"/>
      <c r="U8" s="32"/>
    </row>
    <row r="9" spans="1:21" x14ac:dyDescent="0.25">
      <c r="A9" s="47" t="s">
        <v>224</v>
      </c>
      <c r="B9" s="49"/>
      <c r="C9" s="49"/>
      <c r="D9" s="47"/>
      <c r="E9" s="47"/>
      <c r="F9" s="195">
        <v>1E-4</v>
      </c>
      <c r="G9" s="47" t="s">
        <v>111</v>
      </c>
      <c r="H9" s="47"/>
      <c r="I9" s="47"/>
      <c r="J9" s="47"/>
      <c r="K9" s="60"/>
      <c r="L9" s="32" t="s">
        <v>224</v>
      </c>
      <c r="M9" s="34"/>
      <c r="N9" s="34"/>
      <c r="O9" s="32"/>
      <c r="P9" s="32"/>
      <c r="Q9" s="179">
        <v>1E-4</v>
      </c>
      <c r="R9" s="32" t="s">
        <v>111</v>
      </c>
      <c r="S9" s="32"/>
      <c r="T9" s="32"/>
      <c r="U9" s="32"/>
    </row>
    <row r="10" spans="1:21" x14ac:dyDescent="0.25">
      <c r="A10" s="47" t="s">
        <v>112</v>
      </c>
      <c r="B10" s="49"/>
      <c r="C10" s="49"/>
      <c r="D10" s="47"/>
      <c r="E10" s="47"/>
      <c r="F10" s="47"/>
      <c r="G10" s="47"/>
      <c r="H10" s="47"/>
      <c r="I10" s="47"/>
      <c r="J10" s="47"/>
      <c r="K10" s="60"/>
      <c r="L10" s="32" t="s">
        <v>112</v>
      </c>
      <c r="M10" s="34"/>
      <c r="N10" s="34"/>
      <c r="O10" s="32"/>
      <c r="P10" s="32"/>
      <c r="Q10" s="32"/>
      <c r="R10" s="32"/>
      <c r="S10" s="32"/>
      <c r="T10" s="32"/>
      <c r="U10" s="32"/>
    </row>
    <row r="11" spans="1:21" ht="16.5" x14ac:dyDescent="0.3">
      <c r="A11" s="47"/>
      <c r="B11" s="293">
        <f>1-B12</f>
        <v>0</v>
      </c>
      <c r="C11" s="47" t="s">
        <v>267</v>
      </c>
      <c r="D11" s="47"/>
      <c r="E11" s="47"/>
      <c r="F11" s="47"/>
      <c r="G11" s="47"/>
      <c r="H11" s="47"/>
      <c r="I11" s="47"/>
      <c r="J11" s="47"/>
      <c r="K11" s="60"/>
      <c r="L11" s="32"/>
      <c r="M11" s="285">
        <f>1-M12</f>
        <v>0</v>
      </c>
      <c r="N11" s="32" t="s">
        <v>267</v>
      </c>
      <c r="O11" s="32"/>
      <c r="P11" s="32"/>
      <c r="Q11" s="32"/>
      <c r="R11" s="32"/>
      <c r="S11" s="32"/>
      <c r="T11" s="32"/>
      <c r="U11" s="32"/>
    </row>
    <row r="12" spans="1:21" ht="16.5" x14ac:dyDescent="0.3">
      <c r="A12" s="47"/>
      <c r="B12" s="288">
        <v>1</v>
      </c>
      <c r="C12" s="47" t="s">
        <v>266</v>
      </c>
      <c r="D12" s="47"/>
      <c r="E12" s="47"/>
      <c r="F12" s="47"/>
      <c r="G12" s="47"/>
      <c r="H12" s="47"/>
      <c r="I12" s="47"/>
      <c r="J12" s="47"/>
      <c r="K12" s="60"/>
      <c r="L12" s="32"/>
      <c r="M12" s="286">
        <v>1</v>
      </c>
      <c r="N12" s="32" t="s">
        <v>266</v>
      </c>
      <c r="O12" s="32"/>
      <c r="P12" s="32"/>
      <c r="Q12" s="32"/>
      <c r="R12" s="32"/>
      <c r="S12" s="32"/>
      <c r="T12" s="32"/>
      <c r="U12" s="32"/>
    </row>
    <row r="13" spans="1:21" x14ac:dyDescent="0.25">
      <c r="A13" s="47"/>
      <c r="B13" s="198">
        <f>SUM(B11:B12)</f>
        <v>1</v>
      </c>
      <c r="C13" s="47"/>
      <c r="D13" s="47"/>
      <c r="E13" s="47"/>
      <c r="F13" s="47"/>
      <c r="G13" s="47"/>
      <c r="H13" s="47"/>
      <c r="I13" s="47"/>
      <c r="J13" s="47"/>
      <c r="K13" s="60"/>
      <c r="L13" s="32"/>
      <c r="M13" s="182">
        <f>SUM(M11:M12)</f>
        <v>1</v>
      </c>
      <c r="N13" s="32"/>
      <c r="O13" s="32"/>
      <c r="P13" s="32"/>
      <c r="Q13" s="32"/>
      <c r="R13" s="32"/>
      <c r="S13" s="32"/>
      <c r="T13" s="32"/>
      <c r="U13" s="32"/>
    </row>
    <row r="14" spans="1:21" x14ac:dyDescent="0.25">
      <c r="A14" s="47" t="s">
        <v>113</v>
      </c>
      <c r="B14" s="49"/>
      <c r="C14" s="49"/>
      <c r="D14" s="47"/>
      <c r="E14" s="47"/>
      <c r="F14" s="47"/>
      <c r="G14" s="47"/>
      <c r="H14" s="47"/>
      <c r="I14" s="47"/>
      <c r="J14" s="47"/>
      <c r="K14" s="60"/>
      <c r="L14" s="32" t="s">
        <v>113</v>
      </c>
      <c r="M14" s="34"/>
      <c r="N14" s="34"/>
      <c r="O14" s="32"/>
      <c r="P14" s="32"/>
      <c r="Q14" s="32"/>
      <c r="R14" s="32"/>
      <c r="S14" s="32"/>
      <c r="T14" s="32"/>
      <c r="U14" s="32"/>
    </row>
    <row r="15" spans="1:21" ht="16.5" x14ac:dyDescent="0.3">
      <c r="A15" s="47"/>
      <c r="B15" s="52">
        <f>'Step 11'!B51</f>
        <v>0.88517048251284469</v>
      </c>
      <c r="C15" s="47" t="s">
        <v>115</v>
      </c>
      <c r="D15" s="47"/>
      <c r="E15" s="47"/>
      <c r="F15" s="47"/>
      <c r="G15" s="47"/>
      <c r="H15" s="47"/>
      <c r="I15" s="47"/>
      <c r="J15" s="47"/>
      <c r="K15" s="60"/>
      <c r="L15" s="32"/>
      <c r="M15" s="39">
        <f>'Step 11'!M51</f>
        <v>0.88517050201767244</v>
      </c>
      <c r="N15" s="32" t="s">
        <v>115</v>
      </c>
      <c r="O15" s="32"/>
      <c r="P15" s="32"/>
      <c r="Q15" s="32"/>
      <c r="R15" s="32"/>
      <c r="S15" s="32"/>
      <c r="T15" s="32"/>
      <c r="U15" s="32"/>
    </row>
    <row r="16" spans="1:21" x14ac:dyDescent="0.25">
      <c r="A16" s="47" t="s">
        <v>116</v>
      </c>
      <c r="B16" s="49"/>
      <c r="C16" s="49"/>
      <c r="D16" s="47"/>
      <c r="E16" s="47"/>
      <c r="F16" s="47"/>
      <c r="G16" s="47"/>
      <c r="H16" s="47"/>
      <c r="I16" s="47"/>
      <c r="J16" s="47"/>
      <c r="K16" s="60"/>
      <c r="L16" s="32" t="s">
        <v>116</v>
      </c>
      <c r="M16" s="34"/>
      <c r="N16" s="34"/>
      <c r="O16" s="32"/>
      <c r="P16" s="32"/>
      <c r="Q16" s="32"/>
      <c r="R16" s="32"/>
      <c r="S16" s="32"/>
      <c r="T16" s="32"/>
      <c r="U16" s="32"/>
    </row>
    <row r="17" spans="1:21" x14ac:dyDescent="0.25">
      <c r="A17" s="56" t="s">
        <v>3</v>
      </c>
      <c r="B17" s="110" t="str">
        <f>CONCATENATE("(",F9,"*14.7 / (",'Step 10'!B9-D7," - ",F9,"*14.7)) * (",ROUND('Step 11'!B52,2)," - ",ROUND(B15,2),")")</f>
        <v>(0.0001*14.7 / (15.3 - 0.0001*14.7)) * (1065.03 - 0.89)</v>
      </c>
      <c r="C17" s="49"/>
      <c r="D17" s="47"/>
      <c r="E17" s="47"/>
      <c r="F17" s="47"/>
      <c r="G17" s="47"/>
      <c r="H17" s="47"/>
      <c r="I17" s="47"/>
      <c r="J17" s="47"/>
      <c r="K17" s="60"/>
      <c r="L17" s="41" t="s">
        <v>3</v>
      </c>
      <c r="M17" s="66" t="str">
        <f>CONCATENATE("(",Q9,"*14.7 / (",'Step 10'!M9-O7," - ",Q9,"*14.7)) * (",ROUND('Step 11'!M52,2)," - ",ROUND(M15,2),")")</f>
        <v>(0.0001*14.7 / (15.3 - 0.0001*14.7)) * (1065.03 - 0.89)</v>
      </c>
      <c r="N17" s="34"/>
      <c r="O17" s="32"/>
      <c r="P17" s="32"/>
      <c r="Q17" s="32"/>
      <c r="R17" s="32"/>
      <c r="S17" s="32"/>
      <c r="T17" s="32"/>
      <c r="U17" s="32"/>
    </row>
    <row r="18" spans="1:21" x14ac:dyDescent="0.25">
      <c r="A18" s="56" t="s">
        <v>3</v>
      </c>
      <c r="B18" s="127">
        <f>F9*14.7/('Step 10'!B9-D7-F9*14.7) * ('Step 11'!B52 - B15)</f>
        <v>0.10225159717377222</v>
      </c>
      <c r="C18" s="49" t="s">
        <v>86</v>
      </c>
      <c r="D18" s="47"/>
      <c r="E18" s="47"/>
      <c r="F18" s="47"/>
      <c r="G18" s="47"/>
      <c r="H18" s="47"/>
      <c r="I18" s="47"/>
      <c r="J18" s="47"/>
      <c r="K18" s="60"/>
      <c r="L18" s="41" t="s">
        <v>3</v>
      </c>
      <c r="M18" s="87">
        <f>Q9*14.7/('Step 10'!M9-O7-Q9*14.7) * ('Step 11'!M52 - M15)</f>
        <v>0.102251597174824</v>
      </c>
      <c r="N18" s="34" t="s">
        <v>86</v>
      </c>
      <c r="O18" s="32"/>
      <c r="P18" s="32"/>
      <c r="Q18" s="32"/>
      <c r="R18" s="32"/>
      <c r="S18" s="32"/>
      <c r="T18" s="32"/>
      <c r="U18" s="32"/>
    </row>
    <row r="19" spans="1:21" x14ac:dyDescent="0.25">
      <c r="A19" s="56"/>
      <c r="B19" s="127"/>
      <c r="C19" s="49"/>
      <c r="D19" s="47"/>
      <c r="E19" s="47"/>
      <c r="F19" s="47"/>
      <c r="G19" s="47"/>
      <c r="H19" s="47"/>
      <c r="I19" s="47"/>
      <c r="J19" s="47"/>
      <c r="K19" s="60"/>
      <c r="L19" s="41"/>
      <c r="M19" s="87"/>
      <c r="N19" s="34"/>
      <c r="O19" s="32"/>
      <c r="P19" s="32"/>
      <c r="Q19" s="32"/>
      <c r="R19" s="32"/>
      <c r="S19" s="32"/>
      <c r="T19" s="32"/>
      <c r="U19" s="32"/>
    </row>
    <row r="20" spans="1:21" ht="16.5" x14ac:dyDescent="0.3">
      <c r="A20" s="56" t="s">
        <v>72</v>
      </c>
      <c r="B20" s="274">
        <f>B18</f>
        <v>0.10225159717377222</v>
      </c>
      <c r="C20" s="275" t="s">
        <v>117</v>
      </c>
      <c r="D20" s="47"/>
      <c r="E20" s="47"/>
      <c r="F20" s="47"/>
      <c r="G20" s="47"/>
      <c r="H20" s="47"/>
      <c r="I20" s="47"/>
      <c r="J20" s="47"/>
      <c r="K20" s="60"/>
      <c r="L20" s="41" t="s">
        <v>72</v>
      </c>
      <c r="M20" s="271">
        <f>M18</f>
        <v>0.102251597174824</v>
      </c>
      <c r="N20" s="272" t="s">
        <v>117</v>
      </c>
      <c r="O20" s="32"/>
      <c r="P20" s="32"/>
      <c r="Q20" s="32"/>
      <c r="R20" s="32"/>
      <c r="S20" s="32"/>
      <c r="T20" s="32"/>
      <c r="U20" s="32"/>
    </row>
    <row r="21" spans="1:21" x14ac:dyDescent="0.25">
      <c r="A21" s="47"/>
      <c r="B21" s="52">
        <f>B15-B20</f>
        <v>0.7829188853390725</v>
      </c>
      <c r="C21" s="110" t="s">
        <v>118</v>
      </c>
      <c r="D21" s="47"/>
      <c r="E21" s="47"/>
      <c r="F21" s="47"/>
      <c r="G21" s="47"/>
      <c r="H21" s="47"/>
      <c r="I21" s="47"/>
      <c r="J21" s="47"/>
      <c r="K21" s="60"/>
      <c r="L21" s="32"/>
      <c r="M21" s="39">
        <f>M15-M20</f>
        <v>0.78291890484284843</v>
      </c>
      <c r="N21" s="66" t="s">
        <v>118</v>
      </c>
      <c r="O21" s="32"/>
      <c r="P21" s="32"/>
      <c r="Q21" s="32"/>
      <c r="R21" s="32"/>
      <c r="S21" s="32"/>
      <c r="T21" s="32"/>
      <c r="U21" s="32"/>
    </row>
    <row r="22" spans="1:21" x14ac:dyDescent="0.25">
      <c r="A22" s="47"/>
      <c r="B22" s="49"/>
      <c r="C22" s="49"/>
      <c r="D22" s="47"/>
      <c r="E22" s="47"/>
      <c r="F22" s="47"/>
      <c r="G22" s="47"/>
      <c r="H22" s="47"/>
      <c r="I22" s="47"/>
      <c r="J22" s="47"/>
      <c r="K22" s="60"/>
      <c r="L22" s="32"/>
      <c r="M22" s="34"/>
      <c r="N22" s="34"/>
      <c r="O22" s="32"/>
      <c r="P22" s="32"/>
      <c r="Q22" s="32"/>
      <c r="R22" s="32"/>
      <c r="S22" s="32"/>
      <c r="T22" s="32"/>
      <c r="U22" s="32"/>
    </row>
    <row r="23" spans="1:21" x14ac:dyDescent="0.25">
      <c r="A23" s="47"/>
      <c r="B23" s="49"/>
      <c r="C23" s="133" t="s">
        <v>119</v>
      </c>
      <c r="D23" s="134"/>
      <c r="E23" s="47"/>
      <c r="F23" s="47"/>
      <c r="G23" s="47"/>
      <c r="H23" s="47"/>
      <c r="I23" s="47"/>
      <c r="J23" s="47"/>
      <c r="K23" s="60"/>
      <c r="L23" s="32"/>
      <c r="M23" s="34"/>
      <c r="N23" s="93" t="s">
        <v>119</v>
      </c>
      <c r="O23" s="92"/>
      <c r="P23" s="32"/>
      <c r="Q23" s="32"/>
      <c r="R23" s="32"/>
      <c r="S23" s="32"/>
      <c r="T23" s="32"/>
      <c r="U23" s="32"/>
    </row>
    <row r="24" spans="1:21" x14ac:dyDescent="0.25">
      <c r="A24" s="47"/>
      <c r="B24" s="49"/>
      <c r="C24" s="50" t="s">
        <v>85</v>
      </c>
      <c r="D24" s="169">
        <f>D8</f>
        <v>270</v>
      </c>
      <c r="E24" s="47" t="s">
        <v>32</v>
      </c>
      <c r="F24" s="47"/>
      <c r="G24" s="47"/>
      <c r="H24" s="47"/>
      <c r="I24" s="47"/>
      <c r="J24" s="47"/>
      <c r="K24" s="60"/>
      <c r="L24" s="32"/>
      <c r="M24" s="34"/>
      <c r="N24" s="35" t="s">
        <v>85</v>
      </c>
      <c r="O24" s="152">
        <f>O8</f>
        <v>270</v>
      </c>
      <c r="P24" s="32" t="s">
        <v>32</v>
      </c>
      <c r="Q24" s="32"/>
      <c r="R24" s="32"/>
      <c r="S24" s="32"/>
      <c r="T24" s="32"/>
      <c r="U24" s="32"/>
    </row>
    <row r="25" spans="1:21" x14ac:dyDescent="0.25">
      <c r="A25" s="47"/>
      <c r="B25" s="169" t="s">
        <v>86</v>
      </c>
      <c r="C25" s="169" t="s">
        <v>87</v>
      </c>
      <c r="D25" s="169" t="s">
        <v>83</v>
      </c>
      <c r="E25" s="47"/>
      <c r="F25" s="47"/>
      <c r="G25" s="47"/>
      <c r="H25" s="47"/>
      <c r="I25" s="47"/>
      <c r="J25" s="47"/>
      <c r="K25" s="60"/>
      <c r="L25" s="32"/>
      <c r="M25" s="152" t="s">
        <v>86</v>
      </c>
      <c r="N25" s="152" t="s">
        <v>87</v>
      </c>
      <c r="O25" s="152" t="s">
        <v>83</v>
      </c>
      <c r="P25" s="32"/>
      <c r="Q25" s="32"/>
      <c r="R25" s="32"/>
      <c r="S25" s="32"/>
      <c r="T25" s="32"/>
      <c r="U25" s="32"/>
    </row>
    <row r="26" spans="1:21" ht="16.5" x14ac:dyDescent="0.3">
      <c r="A26" s="47" t="s">
        <v>41</v>
      </c>
      <c r="B26" s="115">
        <f>'Step 11'!B43</f>
        <v>4.1657161875787834</v>
      </c>
      <c r="C26" s="136">
        <f>IF(ROUNDDOWN(D24,-2)=ROUNDUP(D24,-2),VLOOKUP(D24,Enthalpy,19),VLOOKUP(ROUNDDOWN(D24,-2),Enthalpy,19)+(D24-ROUNDDOWN(D24,-2))/(ROUNDUP(D24,-2)-ROUNDDOWN(D24,-2))*(VLOOKUP(ROUNDUP(D24,-2),Enthalpy,19)-VLOOKUP(ROUNDDOWN(D24,-2),Enthalpy,19)))</f>
        <v>1939.6</v>
      </c>
      <c r="D26" s="136">
        <f t="shared" ref="D26:D31" si="0">(B26*C26)</f>
        <v>8079.823117427808</v>
      </c>
      <c r="E26" s="47"/>
      <c r="F26" s="203" t="s">
        <v>120</v>
      </c>
      <c r="G26" s="204"/>
      <c r="H26" s="205">
        <f>1-(B26+B30+8*B18)/'Example 22-1 Conditions'!C12</f>
        <v>0.97572248778152648</v>
      </c>
      <c r="I26" s="47"/>
      <c r="J26" s="47"/>
      <c r="K26" s="60"/>
      <c r="L26" s="32" t="s">
        <v>41</v>
      </c>
      <c r="M26" s="71">
        <f>'Step 11'!M43</f>
        <v>4.1657162094704576</v>
      </c>
      <c r="N26" s="95">
        <f>IF(ROUNDDOWN(O24,-2)=ROUNDUP(O24,-2),VLOOKUP(O24,Enthalpy,19),VLOOKUP(ROUNDDOWN(O24,-2),Enthalpy,19)+(O24-ROUNDDOWN(O24,-2))/(ROUNDUP(O24,-2)-ROUNDDOWN(O24,-2))*(VLOOKUP(ROUNDUP(O24,-2),Enthalpy,19)-VLOOKUP(ROUNDDOWN(O24,-2),Enthalpy,19)))</f>
        <v>1939.6</v>
      </c>
      <c r="O26" s="95">
        <f t="shared" ref="O26:O31" si="1">(M26*N26)</f>
        <v>8079.8231598888988</v>
      </c>
      <c r="P26" s="32"/>
      <c r="Q26" s="187" t="s">
        <v>120</v>
      </c>
      <c r="R26" s="188"/>
      <c r="S26" s="189">
        <f>1-(M26+M30+8*M18)/'Example 22-1 Conditions'!N12</f>
        <v>0.97572248766868308</v>
      </c>
      <c r="T26" s="32"/>
      <c r="U26" s="32"/>
    </row>
    <row r="27" spans="1:21" ht="16.5" x14ac:dyDescent="0.3">
      <c r="A27" s="47" t="s">
        <v>44</v>
      </c>
      <c r="B27" s="115">
        <f>'Step 11'!B44</f>
        <v>159.09563336735241</v>
      </c>
      <c r="C27" s="136">
        <f>IF(ROUNDDOWN(D24,-2)=ROUNDUP(D24,-2),VLOOKUP(D24,Enthalpy,14),VLOOKUP(ROUNDDOWN(D24,-2),Enthalpy,14)+(D24-ROUNDDOWN(D24,-2))/(ROUNDUP(D24,-2)-ROUNDDOWN(D24,-2))*(VLOOKUP(ROUNDUP(D24,-2),Enthalpy,14)-VLOOKUP(ROUNDDOWN(D24,-2),Enthalpy,14)))</f>
        <v>2236.6999999999998</v>
      </c>
      <c r="D27" s="136">
        <f t="shared" si="0"/>
        <v>355849.20315275708</v>
      </c>
      <c r="E27" s="47"/>
      <c r="F27" s="47"/>
      <c r="G27" s="47"/>
      <c r="H27" s="47"/>
      <c r="I27" s="47"/>
      <c r="J27" s="47"/>
      <c r="K27" s="60"/>
      <c r="L27" s="32" t="s">
        <v>44</v>
      </c>
      <c r="M27" s="71">
        <f>'Step 11'!M44</f>
        <v>159.09563336735241</v>
      </c>
      <c r="N27" s="95">
        <f>IF(ROUNDDOWN(O24,-2)=ROUNDUP(O24,-2),VLOOKUP(O24,Enthalpy,14),VLOOKUP(ROUNDDOWN(O24,-2),Enthalpy,14)+(O24-ROUNDDOWN(O24,-2))/(ROUNDUP(O24,-2)-ROUNDDOWN(O24,-2))*(VLOOKUP(ROUNDUP(O24,-2),Enthalpy,14)-VLOOKUP(ROUNDDOWN(O24,-2),Enthalpy,14)))</f>
        <v>2236.6999999999998</v>
      </c>
      <c r="O27" s="95">
        <f t="shared" si="1"/>
        <v>355849.20315275708</v>
      </c>
      <c r="P27" s="32"/>
      <c r="Q27" s="32"/>
      <c r="R27" s="32"/>
      <c r="S27" s="32"/>
      <c r="T27" s="32"/>
      <c r="U27" s="32"/>
    </row>
    <row r="28" spans="1:21" ht="16.5" x14ac:dyDescent="0.3">
      <c r="A28" s="47" t="s">
        <v>212</v>
      </c>
      <c r="B28" s="115">
        <f>'Step 11'!B45</f>
        <v>16.300223504340146</v>
      </c>
      <c r="C28" s="136">
        <f>IF(ROUNDDOWN(D24,-2)=ROUNDUP(D24,-2),VLOOKUP(D24,Enthalpy,12),VLOOKUP(ROUNDDOWN(D24,-2),Enthalpy,12)+(D24-ROUNDDOWN(D24,-2))/(ROUNDUP(D24,-2)-ROUNDDOWN(D24,-2))*(VLOOKUP(ROUNDUP(D24,-2),Enthalpy,12)-VLOOKUP(ROUNDDOWN(D24,-2),Enthalpy,12)))</f>
        <v>1660.9</v>
      </c>
      <c r="D28" s="136">
        <f t="shared" si="0"/>
        <v>27073.04121835855</v>
      </c>
      <c r="E28" s="47"/>
      <c r="F28" s="47"/>
      <c r="G28" s="47"/>
      <c r="H28" s="47"/>
      <c r="I28" s="47"/>
      <c r="J28" s="47"/>
      <c r="K28" s="60"/>
      <c r="L28" s="32" t="s">
        <v>212</v>
      </c>
      <c r="M28" s="71">
        <f>'Step 11'!M45</f>
        <v>16.300223504340146</v>
      </c>
      <c r="N28" s="95">
        <f>IF(ROUNDDOWN(O24,-2)=ROUNDUP(O24,-2),VLOOKUP(O24,Enthalpy,12),VLOOKUP(ROUNDDOWN(O24,-2),Enthalpy,12)+(O24-ROUNDDOWN(O24,-2))/(ROUNDUP(O24,-2)-ROUNDDOWN(O24,-2))*(VLOOKUP(ROUNDUP(O24,-2),Enthalpy,12)-VLOOKUP(ROUNDDOWN(O24,-2),Enthalpy,12)))</f>
        <v>1660.9</v>
      </c>
      <c r="O28" s="95">
        <f t="shared" si="1"/>
        <v>27073.04121835855</v>
      </c>
      <c r="P28" s="32"/>
      <c r="Q28" s="32"/>
      <c r="R28" s="32"/>
      <c r="S28" s="32"/>
      <c r="T28" s="32"/>
      <c r="U28" s="32"/>
    </row>
    <row r="29" spans="1:21" ht="16.5" x14ac:dyDescent="0.3">
      <c r="A29" s="47" t="s">
        <v>47</v>
      </c>
      <c r="B29" s="115">
        <f>'Step 11'!B46</f>
        <v>330.52506187861115</v>
      </c>
      <c r="C29" s="136">
        <f>IF(ROUNDDOWN(D24,-2)=ROUNDUP(D24,-2),VLOOKUP(D24,Enthalpy,15),VLOOKUP(ROUNDDOWN(D24,-2),Enthalpy,15)+(D24-ROUNDDOWN(D24,-2))/(ROUNDUP(D24,-2)-ROUNDDOWN(D24,-2))*(VLOOKUP(ROUNDUP(D24,-2),Enthalpy,15)-VLOOKUP(ROUNDDOWN(D24,-2),Enthalpy,15)))</f>
        <v>1976</v>
      </c>
      <c r="D29" s="136">
        <f t="shared" si="0"/>
        <v>653117.5222721356</v>
      </c>
      <c r="E29" s="47"/>
      <c r="F29" s="47"/>
      <c r="G29" s="47"/>
      <c r="H29" s="47"/>
      <c r="I29" s="47"/>
      <c r="J29" s="47"/>
      <c r="K29" s="60"/>
      <c r="L29" s="32" t="s">
        <v>47</v>
      </c>
      <c r="M29" s="71">
        <f>'Step 11'!M46</f>
        <v>330.5250618567195</v>
      </c>
      <c r="N29" s="95">
        <f>IF(ROUNDDOWN(O24,-2)=ROUNDUP(O24,-2),VLOOKUP(O24,Enthalpy,15),VLOOKUP(ROUNDDOWN(O24,-2),Enthalpy,15)+(O24-ROUNDDOWN(O24,-2))/(ROUNDUP(O24,-2)-ROUNDDOWN(O24,-2))*(VLOOKUP(ROUNDUP(O24,-2),Enthalpy,15)-VLOOKUP(ROUNDDOWN(O24,-2),Enthalpy,15)))</f>
        <v>1976</v>
      </c>
      <c r="O29" s="95">
        <f t="shared" si="1"/>
        <v>653117.52222887776</v>
      </c>
      <c r="P29" s="32"/>
      <c r="Q29" s="32"/>
      <c r="R29" s="32"/>
      <c r="S29" s="32"/>
      <c r="T29" s="32"/>
      <c r="U29" s="32"/>
    </row>
    <row r="30" spans="1:21" ht="16.5" x14ac:dyDescent="0.3">
      <c r="A30" s="47" t="s">
        <v>67</v>
      </c>
      <c r="B30" s="115">
        <f>'Step 11'!B47</f>
        <v>2.0828580937893917</v>
      </c>
      <c r="C30" s="136">
        <f>IF(ROUNDDOWN(D24,-2)=ROUNDUP(D24,-2),VLOOKUP(D24,Enthalpy,17),VLOOKUP(ROUNDDOWN(D24,-2),Enthalpy,17)+(D24-ROUNDDOWN(D24,-2))/(ROUNDUP(D24,-2)-ROUNDDOWN(D24,-2))*(VLOOKUP(ROUNDUP(D24,-2),Enthalpy,17)-VLOOKUP(ROUNDDOWN(D24,-2),Enthalpy,17)))</f>
        <v>2401.1</v>
      </c>
      <c r="D30" s="136">
        <f t="shared" si="0"/>
        <v>5001.1505689977084</v>
      </c>
      <c r="E30" s="47"/>
      <c r="F30" s="47"/>
      <c r="G30" s="47"/>
      <c r="H30" s="47"/>
      <c r="I30" s="47"/>
      <c r="J30" s="47"/>
      <c r="K30" s="60"/>
      <c r="L30" s="32" t="s">
        <v>67</v>
      </c>
      <c r="M30" s="71">
        <f>'Step 11'!M47</f>
        <v>2.0828581047352288</v>
      </c>
      <c r="N30" s="95">
        <f>IF(ROUNDDOWN(O24,-2)=ROUNDUP(O24,-2),VLOOKUP(O24,Enthalpy,17),VLOOKUP(ROUNDDOWN(O24,-2),Enthalpy,17)+(O24-ROUNDDOWN(O24,-2))/(ROUNDUP(O24,-2)-ROUNDDOWN(O24,-2))*(VLOOKUP(ROUNDUP(O24,-2),Enthalpy,17)-VLOOKUP(ROUNDDOWN(O24,-2),Enthalpy,17)))</f>
        <v>2401.1</v>
      </c>
      <c r="O30" s="95">
        <f t="shared" si="1"/>
        <v>5001.1505952797579</v>
      </c>
      <c r="P30" s="32"/>
      <c r="Q30" s="32"/>
      <c r="R30" s="32"/>
      <c r="S30" s="32"/>
      <c r="T30" s="32"/>
      <c r="U30" s="32"/>
    </row>
    <row r="31" spans="1:21" ht="16.5" x14ac:dyDescent="0.3">
      <c r="A31" s="47" t="s">
        <v>68</v>
      </c>
      <c r="B31" s="115">
        <f>'Step 11'!B48</f>
        <v>551.97957289408987</v>
      </c>
      <c r="C31" s="136">
        <f>IF(ROUNDDOWN(D24,-2)=ROUNDUP(D24,-2),VLOOKUP(D24,Enthalpy,9),VLOOKUP(ROUNDDOWN(D24,-2),Enthalpy,9)+(D24-ROUNDDOWN(D24,-2))/(ROUNDUP(D24,-2)-ROUNDDOWN(D24,-2))*(VLOOKUP(ROUNDUP(D24,-2),Enthalpy,9)-VLOOKUP(ROUNDDOWN(D24,-2),Enthalpy,9)))</f>
        <v>1663</v>
      </c>
      <c r="D31" s="136">
        <f t="shared" si="0"/>
        <v>917942.02972287149</v>
      </c>
      <c r="E31" s="47"/>
      <c r="F31" s="47"/>
      <c r="G31" s="47"/>
      <c r="H31" s="47"/>
      <c r="I31" s="47"/>
      <c r="J31" s="47"/>
      <c r="K31" s="60"/>
      <c r="L31" s="32" t="s">
        <v>68</v>
      </c>
      <c r="M31" s="71">
        <f>'Step 11'!M48</f>
        <v>551.97957289408987</v>
      </c>
      <c r="N31" s="95">
        <f>IF(ROUNDDOWN(O24,-2)=ROUNDUP(O24,-2),VLOOKUP(O24,Enthalpy,9),VLOOKUP(ROUNDDOWN(O24,-2),Enthalpy,9)+(O24-ROUNDDOWN(O24,-2))/(ROUNDUP(O24,-2)-ROUNDDOWN(O24,-2))*(VLOOKUP(ROUNDUP(O24,-2),Enthalpy,9)-VLOOKUP(ROUNDDOWN(O24,-2),Enthalpy,9)))</f>
        <v>1663</v>
      </c>
      <c r="O31" s="95">
        <f t="shared" si="1"/>
        <v>917942.02972287149</v>
      </c>
      <c r="P31" s="32"/>
      <c r="Q31" s="32"/>
      <c r="R31" s="32"/>
      <c r="S31" s="32"/>
      <c r="T31" s="32"/>
      <c r="U31" s="32"/>
    </row>
    <row r="32" spans="1:21" ht="16.5" x14ac:dyDescent="0.3">
      <c r="A32" s="206" t="s">
        <v>121</v>
      </c>
      <c r="B32" s="115"/>
      <c r="C32" s="269"/>
      <c r="D32" s="136"/>
      <c r="E32" s="47"/>
      <c r="F32" s="47"/>
      <c r="G32" s="47"/>
      <c r="H32" s="47"/>
      <c r="I32" s="47"/>
      <c r="J32" s="47"/>
      <c r="K32" s="60"/>
      <c r="L32" s="190" t="s">
        <v>121</v>
      </c>
      <c r="M32" s="71"/>
      <c r="N32" s="250"/>
      <c r="O32" s="95"/>
      <c r="P32" s="32"/>
      <c r="Q32" s="32"/>
      <c r="R32" s="32"/>
      <c r="S32" s="32"/>
      <c r="T32" s="32"/>
      <c r="U32" s="32"/>
    </row>
    <row r="33" spans="1:21" ht="16.5" x14ac:dyDescent="0.3">
      <c r="A33" s="206" t="s">
        <v>123</v>
      </c>
      <c r="B33" s="115"/>
      <c r="C33" s="56"/>
      <c r="D33" s="56"/>
      <c r="E33" s="47"/>
      <c r="F33" s="47"/>
      <c r="G33" s="47"/>
      <c r="H33" s="47"/>
      <c r="I33" s="47"/>
      <c r="J33" s="47"/>
      <c r="K33" s="60"/>
      <c r="L33" s="190" t="s">
        <v>123</v>
      </c>
      <c r="M33" s="71"/>
      <c r="N33" s="41"/>
      <c r="O33" s="41"/>
      <c r="P33" s="32"/>
      <c r="Q33" s="32"/>
      <c r="R33" s="32"/>
      <c r="S33" s="32"/>
      <c r="T33" s="32"/>
      <c r="U33" s="32"/>
    </row>
    <row r="34" spans="1:21" ht="16.5" x14ac:dyDescent="0.3">
      <c r="A34" s="206" t="s">
        <v>124</v>
      </c>
      <c r="B34" s="276">
        <f>'Step 11'!B51</f>
        <v>0.88517048251284469</v>
      </c>
      <c r="C34" s="136">
        <f>IF(ROUNDDOWN(D24,-2)=ROUNDUP(D24,-2),VLOOKUP(D24,Enthalpy,23),VLOOKUP(ROUNDDOWN(D24,-2),Enthalpy,23)+(D24-ROUNDDOWN(D24,-2))/(ROUNDUP(D24,-2)-ROUNDDOWN(D24,-2))*(VLOOKUP(ROUNDUP(D24,-2),Enthalpy,23)-VLOOKUP(ROUNDDOWN(D24,-2),Enthalpy,23)))</f>
        <v>9167.2000000000007</v>
      </c>
      <c r="D34" s="143">
        <f>(B34*C34)</f>
        <v>8114.5348472917503</v>
      </c>
      <c r="E34" s="47"/>
      <c r="F34" s="47"/>
      <c r="G34" s="47"/>
      <c r="H34" s="47"/>
      <c r="I34" s="47"/>
      <c r="J34" s="47"/>
      <c r="K34" s="60"/>
      <c r="L34" s="190" t="s">
        <v>124</v>
      </c>
      <c r="M34" s="273">
        <f>'Step 11'!M51</f>
        <v>0.88517050201767244</v>
      </c>
      <c r="N34" s="95">
        <f>IF(ROUNDDOWN(O24,-2)=ROUNDUP(O24,-2),VLOOKUP(O24,Enthalpy,23),VLOOKUP(ROUNDDOWN(O24,-2),Enthalpy,23)+(O24-ROUNDDOWN(O24,-2))/(ROUNDUP(O24,-2)-ROUNDDOWN(O24,-2))*(VLOOKUP(ROUNDUP(O24,-2),Enthalpy,23)-VLOOKUP(ROUNDDOWN(O24,-2),Enthalpy,23)))</f>
        <v>9167.2000000000007</v>
      </c>
      <c r="O34" s="103">
        <f>(M34*N34)</f>
        <v>8114.5350260964078</v>
      </c>
      <c r="P34" s="32"/>
      <c r="Q34" s="32"/>
      <c r="R34" s="32"/>
      <c r="S34" s="32"/>
      <c r="T34" s="32"/>
      <c r="U34" s="32"/>
    </row>
    <row r="35" spans="1:21" x14ac:dyDescent="0.25">
      <c r="A35" s="47"/>
      <c r="B35" s="115">
        <f>SUM(B26:B34)</f>
        <v>1065.0342364082746</v>
      </c>
      <c r="C35" s="56"/>
      <c r="D35" s="136">
        <f>SUM(D26:D34)</f>
        <v>1975177.3048998399</v>
      </c>
      <c r="E35" s="47"/>
      <c r="F35" s="47"/>
      <c r="G35" s="47"/>
      <c r="H35" s="47"/>
      <c r="I35" s="47"/>
      <c r="J35" s="47"/>
      <c r="K35" s="60"/>
      <c r="L35" s="32"/>
      <c r="M35" s="71">
        <f>SUM(M26:M34)</f>
        <v>1065.0342364387254</v>
      </c>
      <c r="N35" s="41"/>
      <c r="O35" s="95">
        <f>SUM(O26:O34)</f>
        <v>1975177.3051041299</v>
      </c>
      <c r="P35" s="32"/>
      <c r="Q35" s="32"/>
      <c r="R35" s="32"/>
      <c r="S35" s="32"/>
      <c r="T35" s="32"/>
      <c r="U35" s="32"/>
    </row>
    <row r="36" spans="1:21" x14ac:dyDescent="0.25">
      <c r="A36" s="47"/>
      <c r="B36" s="56" t="s">
        <v>101</v>
      </c>
      <c r="C36" s="202">
        <f>'Step 11'!D52-D35</f>
        <v>1286710.5085071416</v>
      </c>
      <c r="D36" s="110" t="s">
        <v>83</v>
      </c>
      <c r="E36" s="47"/>
      <c r="F36" s="47"/>
      <c r="G36" s="47"/>
      <c r="H36" s="47"/>
      <c r="I36" s="47"/>
      <c r="J36" s="47"/>
      <c r="K36" s="60"/>
      <c r="L36" s="32"/>
      <c r="M36" s="41" t="s">
        <v>101</v>
      </c>
      <c r="N36" s="186">
        <f>'Step 11'!O52-O35</f>
        <v>1286710.5109124552</v>
      </c>
      <c r="O36" s="66" t="s">
        <v>83</v>
      </c>
      <c r="P36" s="32"/>
      <c r="Q36" s="32"/>
      <c r="R36" s="32"/>
      <c r="S36" s="32"/>
      <c r="T36" s="32"/>
      <c r="U36" s="32"/>
    </row>
    <row r="37" spans="1:21" x14ac:dyDescent="0.25">
      <c r="A37" s="47"/>
      <c r="B37" s="49"/>
      <c r="C37" s="49"/>
      <c r="D37" s="47"/>
      <c r="E37" s="47"/>
      <c r="F37" s="47"/>
      <c r="G37" s="47"/>
      <c r="H37" s="47"/>
      <c r="I37" s="47"/>
      <c r="J37" s="47"/>
      <c r="K37" s="60"/>
      <c r="L37" s="32"/>
      <c r="M37" s="34"/>
      <c r="N37" s="34"/>
      <c r="O37" s="32"/>
      <c r="P37" s="32"/>
      <c r="Q37" s="32"/>
      <c r="R37" s="32"/>
      <c r="S37" s="32"/>
      <c r="T37" s="32"/>
      <c r="U37" s="32"/>
    </row>
    <row r="38" spans="1:21" x14ac:dyDescent="0.25">
      <c r="A38" s="47" t="s">
        <v>234</v>
      </c>
      <c r="B38" s="49"/>
      <c r="C38" s="49"/>
      <c r="D38" s="47"/>
      <c r="E38" s="47"/>
      <c r="F38" s="47"/>
      <c r="G38" s="47"/>
      <c r="H38" s="47"/>
      <c r="I38" s="47"/>
      <c r="J38" s="47"/>
      <c r="K38" s="60"/>
      <c r="L38" s="32" t="s">
        <v>234</v>
      </c>
      <c r="M38" s="34"/>
      <c r="N38" s="34"/>
      <c r="O38" s="32"/>
      <c r="P38" s="32"/>
      <c r="Q38" s="32"/>
      <c r="R38" s="32"/>
      <c r="S38" s="32"/>
      <c r="T38" s="32"/>
      <c r="U38" s="32"/>
    </row>
    <row r="39" spans="1:21" ht="16.5" x14ac:dyDescent="0.3">
      <c r="A39" s="208" t="s">
        <v>128</v>
      </c>
      <c r="B39" s="174">
        <v>135</v>
      </c>
      <c r="C39" s="110" t="s">
        <v>127</v>
      </c>
      <c r="D39" s="145">
        <f>(B21*B39*8*32.065)</f>
        <v>27112.637583069147</v>
      </c>
      <c r="E39" s="47" t="s">
        <v>83</v>
      </c>
      <c r="F39" s="47"/>
      <c r="G39" s="47"/>
      <c r="H39" s="47"/>
      <c r="I39" s="47"/>
      <c r="J39" s="47"/>
      <c r="K39" s="60"/>
      <c r="L39" s="192" t="s">
        <v>128</v>
      </c>
      <c r="M39" s="158">
        <v>135</v>
      </c>
      <c r="N39" s="66" t="s">
        <v>127</v>
      </c>
      <c r="O39" s="105">
        <f>(M21*M39*8*32.065)</f>
        <v>27112.638258488809</v>
      </c>
      <c r="P39" s="32" t="s">
        <v>83</v>
      </c>
      <c r="Q39" s="32"/>
      <c r="R39" s="32"/>
      <c r="S39" s="32"/>
      <c r="T39" s="32"/>
      <c r="U39" s="32"/>
    </row>
    <row r="40" spans="1:21" ht="15.75" thickBot="1" x14ac:dyDescent="0.3">
      <c r="A40" s="47"/>
      <c r="B40" s="49"/>
      <c r="C40" s="49"/>
      <c r="D40" s="47"/>
      <c r="E40" s="47"/>
      <c r="F40" s="47"/>
      <c r="G40" s="47"/>
      <c r="H40" s="47"/>
      <c r="I40" s="47"/>
      <c r="J40" s="47"/>
      <c r="K40" s="60"/>
      <c r="L40" s="32"/>
      <c r="M40" s="34"/>
      <c r="N40" s="34"/>
      <c r="O40" s="32"/>
      <c r="P40" s="32"/>
      <c r="Q40" s="32"/>
      <c r="R40" s="32"/>
      <c r="S40" s="32"/>
      <c r="T40" s="32"/>
      <c r="U40" s="32"/>
    </row>
    <row r="41" spans="1:21" ht="15.75" thickBot="1" x14ac:dyDescent="0.3">
      <c r="A41" s="47" t="s">
        <v>132</v>
      </c>
      <c r="B41" s="209">
        <f>C36+D39</f>
        <v>1313823.1460902106</v>
      </c>
      <c r="C41" s="110" t="s">
        <v>83</v>
      </c>
      <c r="D41" s="47"/>
      <c r="E41" s="47"/>
      <c r="F41" s="47"/>
      <c r="G41" s="47"/>
      <c r="H41" s="47"/>
      <c r="I41" s="47"/>
      <c r="J41" s="47"/>
      <c r="K41" s="60"/>
      <c r="L41" s="32" t="s">
        <v>132</v>
      </c>
      <c r="M41" s="194">
        <f>N36+O39</f>
        <v>1313823.149170944</v>
      </c>
      <c r="N41" s="66" t="s">
        <v>83</v>
      </c>
      <c r="O41" s="32"/>
      <c r="P41" s="32"/>
      <c r="Q41" s="32"/>
      <c r="R41" s="32"/>
      <c r="S41" s="32"/>
      <c r="T41" s="32"/>
      <c r="U41" s="32"/>
    </row>
    <row r="42" spans="1:21" x14ac:dyDescent="0.25">
      <c r="A42" s="47"/>
      <c r="B42" s="49"/>
      <c r="C42" s="49"/>
      <c r="D42" s="47"/>
      <c r="E42" s="47"/>
      <c r="F42" s="47"/>
      <c r="G42" s="47"/>
      <c r="H42" s="47"/>
      <c r="I42" s="47"/>
      <c r="J42" s="47"/>
      <c r="L42" s="32"/>
      <c r="M42" s="34"/>
      <c r="N42" s="34"/>
      <c r="O42" s="32"/>
      <c r="P42" s="32"/>
      <c r="Q42" s="32"/>
      <c r="R42" s="32"/>
      <c r="S42" s="32"/>
      <c r="T42" s="32"/>
      <c r="U42" s="32"/>
    </row>
    <row r="44" spans="1:21" x14ac:dyDescent="0.25">
      <c r="A44" s="44" t="s">
        <v>307</v>
      </c>
    </row>
    <row r="45" spans="1:21" x14ac:dyDescent="0.25">
      <c r="A45" s="44" t="s">
        <v>303</v>
      </c>
    </row>
    <row r="46" spans="1:21" x14ac:dyDescent="0.25">
      <c r="A46" s="44" t="s">
        <v>304</v>
      </c>
    </row>
    <row r="47" spans="1:21" x14ac:dyDescent="0.25">
      <c r="A47" s="44" t="s">
        <v>305</v>
      </c>
    </row>
    <row r="48" spans="1:21" x14ac:dyDescent="0.25">
      <c r="A48" s="45" t="s">
        <v>306</v>
      </c>
    </row>
  </sheetData>
  <sheetProtection password="E156" sheet="1" objects="1" scenarios="1"/>
  <mergeCells count="2">
    <mergeCell ref="C23:D23"/>
    <mergeCell ref="N23:O23"/>
  </mergeCells>
  <pageMargins left="0.7" right="0.7" top="0.75" bottom="0.75" header="0.51180555555555551" footer="0.51180555555555551"/>
  <pageSetup firstPageNumber="0"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U111"/>
  <sheetViews>
    <sheetView zoomScaleNormal="100" workbookViewId="0">
      <selection activeCell="D2" sqref="D2"/>
    </sheetView>
  </sheetViews>
  <sheetFormatPr defaultRowHeight="15" x14ac:dyDescent="0.25"/>
  <cols>
    <col min="1" max="2" width="16.140625" style="230" customWidth="1"/>
    <col min="3" max="3" width="14" style="230" customWidth="1"/>
    <col min="4" max="4" width="14.85546875" style="230" customWidth="1"/>
    <col min="5" max="5" width="16.7109375" style="230" customWidth="1"/>
    <col min="6" max="6" width="12.5703125" style="230" customWidth="1"/>
    <col min="7" max="8" width="11.42578125" style="230" customWidth="1"/>
    <col min="9" max="10" width="8.7109375" style="230" customWidth="1"/>
    <col min="11" max="11" width="9.140625" style="230"/>
    <col min="12" max="13" width="16.140625" style="230" customWidth="1"/>
    <col min="14" max="14" width="14.140625" style="230" customWidth="1"/>
    <col min="15" max="15" width="14.85546875" style="230" customWidth="1"/>
    <col min="16" max="16" width="16.5703125" style="230" customWidth="1"/>
    <col min="17" max="17" width="12.7109375" style="230" customWidth="1"/>
    <col min="18" max="19" width="11.42578125" style="230" customWidth="1"/>
    <col min="20" max="21" width="8.7109375" style="230" customWidth="1"/>
    <col min="22" max="16384" width="9.140625" style="230"/>
  </cols>
  <sheetData>
    <row r="1" spans="1:21" x14ac:dyDescent="0.25">
      <c r="A1" s="27" t="s">
        <v>298</v>
      </c>
    </row>
    <row r="5" spans="1:21" ht="20.25" x14ac:dyDescent="0.3">
      <c r="A5" s="106" t="s">
        <v>167</v>
      </c>
      <c r="B5" s="49"/>
      <c r="C5" s="49"/>
      <c r="D5" s="47"/>
      <c r="E5" s="47"/>
      <c r="F5" s="47"/>
      <c r="G5" s="47"/>
      <c r="H5" s="47"/>
      <c r="I5" s="47"/>
      <c r="J5" s="47"/>
      <c r="K5" s="60"/>
      <c r="L5" s="270" t="s">
        <v>167</v>
      </c>
      <c r="M5" s="34"/>
      <c r="N5" s="34"/>
      <c r="O5" s="32"/>
      <c r="P5" s="32"/>
      <c r="Q5" s="32"/>
      <c r="R5" s="32"/>
      <c r="S5" s="32"/>
      <c r="T5" s="32"/>
      <c r="U5" s="32"/>
    </row>
    <row r="6" spans="1:21" x14ac:dyDescent="0.25">
      <c r="A6" s="47"/>
      <c r="B6" s="49"/>
      <c r="C6" s="49"/>
      <c r="D6" s="47"/>
      <c r="E6" s="47"/>
      <c r="F6" s="47"/>
      <c r="G6" s="47"/>
      <c r="H6" s="47"/>
      <c r="I6" s="47"/>
      <c r="J6" s="47"/>
      <c r="K6" s="60"/>
      <c r="L6" s="32"/>
      <c r="M6" s="34"/>
      <c r="N6" s="34"/>
      <c r="O6" s="32"/>
      <c r="P6" s="32"/>
      <c r="Q6" s="32"/>
      <c r="R6" s="32"/>
      <c r="S6" s="32"/>
      <c r="T6" s="32"/>
      <c r="U6" s="32"/>
    </row>
    <row r="7" spans="1:21" x14ac:dyDescent="0.25">
      <c r="A7" s="47" t="s">
        <v>168</v>
      </c>
      <c r="B7" s="49"/>
      <c r="C7" s="49"/>
      <c r="D7" s="278">
        <f>'Step 12'!H26</f>
        <v>0.97572248778152648</v>
      </c>
      <c r="E7" s="47"/>
      <c r="F7" s="47"/>
      <c r="G7" s="47"/>
      <c r="H7" s="47"/>
      <c r="I7" s="47"/>
      <c r="J7" s="47"/>
      <c r="K7" s="60"/>
      <c r="L7" s="32" t="s">
        <v>168</v>
      </c>
      <c r="M7" s="34"/>
      <c r="N7" s="34"/>
      <c r="O7" s="281">
        <f>'Step 12'!S26</f>
        <v>0.97572248766868308</v>
      </c>
      <c r="P7" s="32"/>
      <c r="Q7" s="32"/>
      <c r="R7" s="32"/>
      <c r="S7" s="32"/>
      <c r="T7" s="32"/>
      <c r="U7" s="32"/>
    </row>
    <row r="8" spans="1:21" x14ac:dyDescent="0.25">
      <c r="A8" s="47" t="s">
        <v>237</v>
      </c>
      <c r="B8" s="49"/>
      <c r="C8" s="49"/>
      <c r="D8" s="306">
        <v>0.02</v>
      </c>
      <c r="E8" s="47"/>
      <c r="F8" s="47"/>
      <c r="G8" s="47"/>
      <c r="H8" s="47"/>
      <c r="I8" s="47"/>
      <c r="J8" s="47"/>
      <c r="K8" s="60"/>
      <c r="L8" s="32" t="s">
        <v>237</v>
      </c>
      <c r="M8" s="34"/>
      <c r="N8" s="34"/>
      <c r="O8" s="294">
        <v>0.02</v>
      </c>
      <c r="P8" s="32"/>
      <c r="Q8" s="32"/>
      <c r="R8" s="32"/>
      <c r="S8" s="32"/>
      <c r="T8" s="32"/>
      <c r="U8" s="32"/>
    </row>
    <row r="9" spans="1:21" ht="12.75" customHeight="1" x14ac:dyDescent="0.25">
      <c r="A9" s="267" t="s">
        <v>238</v>
      </c>
      <c r="B9" s="268"/>
      <c r="C9" s="268"/>
      <c r="D9" s="47"/>
      <c r="E9" s="47"/>
      <c r="F9" s="47"/>
      <c r="G9" s="47"/>
      <c r="H9" s="47"/>
      <c r="I9" s="47"/>
      <c r="J9" s="47"/>
      <c r="K9" s="60"/>
      <c r="L9" s="249" t="s">
        <v>238</v>
      </c>
      <c r="M9" s="248"/>
      <c r="N9" s="248"/>
      <c r="O9" s="32"/>
      <c r="P9" s="32"/>
      <c r="Q9" s="32"/>
      <c r="R9" s="32"/>
      <c r="S9" s="32"/>
      <c r="T9" s="32"/>
      <c r="U9" s="32"/>
    </row>
    <row r="10" spans="1:21" ht="15" customHeight="1" x14ac:dyDescent="0.25">
      <c r="A10" s="268"/>
      <c r="B10" s="268"/>
      <c r="C10" s="268"/>
      <c r="D10" s="278">
        <f>1-(B15+B19+8*B22+B23)/'Example 22-1 Conditions'!C12</f>
        <v>0.97529212845481106</v>
      </c>
      <c r="E10" s="47"/>
      <c r="F10" s="47"/>
      <c r="G10" s="47"/>
      <c r="H10" s="47"/>
      <c r="I10" s="47"/>
      <c r="J10" s="47"/>
      <c r="K10" s="60"/>
      <c r="L10" s="248"/>
      <c r="M10" s="248"/>
      <c r="N10" s="248"/>
      <c r="O10" s="281">
        <f>1-(M15+M19+8*M22+M23)/'Example 22-1 Conditions'!N12</f>
        <v>0.97529212833124679</v>
      </c>
      <c r="P10" s="32"/>
      <c r="Q10" s="32"/>
      <c r="R10" s="32"/>
      <c r="S10" s="32"/>
      <c r="T10" s="32"/>
      <c r="U10" s="32"/>
    </row>
    <row r="11" spans="1:21" x14ac:dyDescent="0.25">
      <c r="A11" s="47"/>
      <c r="B11" s="49"/>
      <c r="C11" s="49"/>
      <c r="D11" s="47"/>
      <c r="E11" s="47"/>
      <c r="F11" s="47"/>
      <c r="G11" s="47"/>
      <c r="H11" s="47"/>
      <c r="I11" s="47"/>
      <c r="J11" s="47"/>
      <c r="K11" s="60"/>
      <c r="L11" s="32"/>
      <c r="M11" s="34"/>
      <c r="N11" s="34"/>
      <c r="O11" s="32"/>
      <c r="P11" s="32"/>
      <c r="Q11" s="32"/>
      <c r="R11" s="32"/>
      <c r="S11" s="32"/>
      <c r="T11" s="32"/>
      <c r="U11" s="32"/>
    </row>
    <row r="12" spans="1:21" x14ac:dyDescent="0.25">
      <c r="A12" s="47" t="s">
        <v>169</v>
      </c>
      <c r="B12" s="49"/>
      <c r="C12" s="49"/>
      <c r="D12" s="47"/>
      <c r="E12" s="47"/>
      <c r="F12" s="47"/>
      <c r="G12" s="47"/>
      <c r="H12" s="47"/>
      <c r="I12" s="47"/>
      <c r="J12" s="47"/>
      <c r="K12" s="60"/>
      <c r="L12" s="32" t="s">
        <v>169</v>
      </c>
      <c r="M12" s="34"/>
      <c r="N12" s="34"/>
      <c r="O12" s="32"/>
      <c r="P12" s="32"/>
      <c r="Q12" s="32"/>
      <c r="R12" s="32"/>
      <c r="S12" s="32"/>
      <c r="T12" s="32"/>
      <c r="U12" s="32"/>
    </row>
    <row r="13" spans="1:21" x14ac:dyDescent="0.25">
      <c r="A13" s="47"/>
      <c r="B13" s="49"/>
      <c r="C13" s="50" t="s">
        <v>85</v>
      </c>
      <c r="D13" s="169">
        <f>'Step 12'!D24</f>
        <v>270</v>
      </c>
      <c r="E13" s="47" t="s">
        <v>32</v>
      </c>
      <c r="F13" s="47"/>
      <c r="G13" s="47"/>
      <c r="H13" s="47"/>
      <c r="I13" s="47"/>
      <c r="J13" s="47"/>
      <c r="K13" s="60"/>
      <c r="L13" s="32"/>
      <c r="M13" s="34"/>
      <c r="N13" s="35" t="s">
        <v>85</v>
      </c>
      <c r="O13" s="152">
        <f>'Step 12'!O24</f>
        <v>270</v>
      </c>
      <c r="P13" s="32" t="s">
        <v>32</v>
      </c>
      <c r="Q13" s="32"/>
      <c r="R13" s="32"/>
      <c r="S13" s="32"/>
      <c r="T13" s="32"/>
      <c r="U13" s="32"/>
    </row>
    <row r="14" spans="1:21" x14ac:dyDescent="0.25">
      <c r="A14" s="47"/>
      <c r="B14" s="169" t="s">
        <v>86</v>
      </c>
      <c r="C14" s="169" t="s">
        <v>87</v>
      </c>
      <c r="D14" s="169" t="s">
        <v>83</v>
      </c>
      <c r="E14" s="47"/>
      <c r="F14" s="47"/>
      <c r="G14" s="47"/>
      <c r="H14" s="47"/>
      <c r="I14" s="47"/>
      <c r="J14" s="47"/>
      <c r="K14" s="60"/>
      <c r="L14" s="32"/>
      <c r="M14" s="152" t="s">
        <v>86</v>
      </c>
      <c r="N14" s="152" t="s">
        <v>87</v>
      </c>
      <c r="O14" s="152" t="s">
        <v>83</v>
      </c>
      <c r="P14" s="32"/>
      <c r="Q14" s="32"/>
      <c r="R14" s="32"/>
      <c r="S14" s="32"/>
      <c r="T14" s="32"/>
      <c r="U14" s="32"/>
    </row>
    <row r="15" spans="1:21" ht="16.5" x14ac:dyDescent="0.3">
      <c r="A15" s="47" t="s">
        <v>41</v>
      </c>
      <c r="B15" s="115">
        <f>'Step 12'!B26</f>
        <v>4.1657161875787834</v>
      </c>
      <c r="C15" s="202">
        <f>'Step 12'!C26</f>
        <v>1939.6</v>
      </c>
      <c r="D15" s="145">
        <f t="shared" ref="D15:D20" si="0">(B15*C15)</f>
        <v>8079.823117427808</v>
      </c>
      <c r="E15" s="47"/>
      <c r="F15" s="47"/>
      <c r="G15" s="47"/>
      <c r="H15" s="47"/>
      <c r="I15" s="47"/>
      <c r="J15" s="47"/>
      <c r="K15" s="60"/>
      <c r="L15" s="32" t="s">
        <v>41</v>
      </c>
      <c r="M15" s="71">
        <f>'Step 12'!M26</f>
        <v>4.1657162094704576</v>
      </c>
      <c r="N15" s="186">
        <f>'Step 12'!N26</f>
        <v>1939.6</v>
      </c>
      <c r="O15" s="105">
        <f t="shared" ref="O15:O20" si="1">(M15*N15)</f>
        <v>8079.8231598888988</v>
      </c>
      <c r="P15" s="32"/>
      <c r="Q15" s="32"/>
      <c r="R15" s="32"/>
      <c r="S15" s="32"/>
      <c r="T15" s="32"/>
      <c r="U15" s="32"/>
    </row>
    <row r="16" spans="1:21" ht="16.5" x14ac:dyDescent="0.3">
      <c r="A16" s="47" t="s">
        <v>44</v>
      </c>
      <c r="B16" s="115">
        <f>'Step 12'!B27</f>
        <v>159.09563336735241</v>
      </c>
      <c r="C16" s="202">
        <f>'Step 12'!C27</f>
        <v>2236.6999999999998</v>
      </c>
      <c r="D16" s="145">
        <f t="shared" si="0"/>
        <v>355849.20315275708</v>
      </c>
      <c r="E16" s="47"/>
      <c r="F16" s="47"/>
      <c r="G16" s="47"/>
      <c r="H16" s="47"/>
      <c r="I16" s="47"/>
      <c r="J16" s="47"/>
      <c r="K16" s="60"/>
      <c r="L16" s="32" t="s">
        <v>44</v>
      </c>
      <c r="M16" s="71">
        <f>'Step 12'!M27</f>
        <v>159.09563336735241</v>
      </c>
      <c r="N16" s="186">
        <f>'Step 12'!N27</f>
        <v>2236.6999999999998</v>
      </c>
      <c r="O16" s="105">
        <f t="shared" si="1"/>
        <v>355849.20315275708</v>
      </c>
      <c r="P16" s="32"/>
      <c r="Q16" s="32"/>
      <c r="R16" s="32"/>
      <c r="S16" s="32"/>
      <c r="T16" s="32"/>
      <c r="U16" s="32"/>
    </row>
    <row r="17" spans="1:21" ht="16.5" x14ac:dyDescent="0.3">
      <c r="A17" s="47" t="s">
        <v>212</v>
      </c>
      <c r="B17" s="115">
        <f>'Step 12'!B28</f>
        <v>16.300223504340146</v>
      </c>
      <c r="C17" s="202">
        <f>'Step 12'!C28</f>
        <v>1660.9</v>
      </c>
      <c r="D17" s="145">
        <f t="shared" si="0"/>
        <v>27073.04121835855</v>
      </c>
      <c r="E17" s="47"/>
      <c r="F17" s="47"/>
      <c r="G17" s="47"/>
      <c r="H17" s="47"/>
      <c r="I17" s="47"/>
      <c r="J17" s="47"/>
      <c r="K17" s="60"/>
      <c r="L17" s="32" t="s">
        <v>212</v>
      </c>
      <c r="M17" s="71">
        <f>'Step 12'!M28</f>
        <v>16.300223504340146</v>
      </c>
      <c r="N17" s="186">
        <f>'Step 12'!N28</f>
        <v>1660.9</v>
      </c>
      <c r="O17" s="105">
        <f t="shared" si="1"/>
        <v>27073.04121835855</v>
      </c>
      <c r="P17" s="32"/>
      <c r="Q17" s="32"/>
      <c r="R17" s="32"/>
      <c r="S17" s="32"/>
      <c r="T17" s="32"/>
      <c r="U17" s="32"/>
    </row>
    <row r="18" spans="1:21" ht="16.5" x14ac:dyDescent="0.3">
      <c r="A18" s="47" t="s">
        <v>47</v>
      </c>
      <c r="B18" s="115">
        <f>'Step 12'!B29</f>
        <v>330.52506187861115</v>
      </c>
      <c r="C18" s="202">
        <f>'Step 12'!C29</f>
        <v>1976</v>
      </c>
      <c r="D18" s="145">
        <f t="shared" si="0"/>
        <v>653117.5222721356</v>
      </c>
      <c r="E18" s="47"/>
      <c r="F18" s="47"/>
      <c r="G18" s="47"/>
      <c r="H18" s="47"/>
      <c r="I18" s="47"/>
      <c r="J18" s="47"/>
      <c r="K18" s="60"/>
      <c r="L18" s="32" t="s">
        <v>47</v>
      </c>
      <c r="M18" s="71">
        <f>'Step 12'!M29</f>
        <v>330.5250618567195</v>
      </c>
      <c r="N18" s="186">
        <f>'Step 12'!N29</f>
        <v>1976</v>
      </c>
      <c r="O18" s="105">
        <f t="shared" si="1"/>
        <v>653117.52222887776</v>
      </c>
      <c r="P18" s="32"/>
      <c r="Q18" s="32"/>
      <c r="R18" s="32"/>
      <c r="S18" s="32"/>
      <c r="T18" s="32"/>
      <c r="U18" s="32"/>
    </row>
    <row r="19" spans="1:21" ht="16.5" x14ac:dyDescent="0.3">
      <c r="A19" s="47" t="s">
        <v>67</v>
      </c>
      <c r="B19" s="115">
        <f>'Step 12'!B30</f>
        <v>2.0828580937893917</v>
      </c>
      <c r="C19" s="202">
        <f>'Step 12'!C30</f>
        <v>2401.1</v>
      </c>
      <c r="D19" s="145">
        <f t="shared" si="0"/>
        <v>5001.1505689977084</v>
      </c>
      <c r="E19" s="47"/>
      <c r="F19" s="47"/>
      <c r="G19" s="47"/>
      <c r="H19" s="47"/>
      <c r="I19" s="47"/>
      <c r="J19" s="47"/>
      <c r="K19" s="60"/>
      <c r="L19" s="32" t="s">
        <v>67</v>
      </c>
      <c r="M19" s="71">
        <f>'Step 12'!M30</f>
        <v>2.0828581047352288</v>
      </c>
      <c r="N19" s="186">
        <f>'Step 12'!N30</f>
        <v>2401.1</v>
      </c>
      <c r="O19" s="105">
        <f t="shared" si="1"/>
        <v>5001.1505952797579</v>
      </c>
      <c r="P19" s="32"/>
      <c r="Q19" s="32"/>
      <c r="R19" s="32"/>
      <c r="S19" s="32"/>
      <c r="T19" s="32"/>
      <c r="U19" s="32"/>
    </row>
    <row r="20" spans="1:21" ht="16.5" x14ac:dyDescent="0.3">
      <c r="A20" s="47" t="s">
        <v>68</v>
      </c>
      <c r="B20" s="115">
        <f>'Step 12'!B31</f>
        <v>551.97957289408987</v>
      </c>
      <c r="C20" s="202">
        <f>'Step 12'!C31</f>
        <v>1663</v>
      </c>
      <c r="D20" s="145">
        <f t="shared" si="0"/>
        <v>917942.02972287149</v>
      </c>
      <c r="E20" s="47"/>
      <c r="F20" s="47"/>
      <c r="G20" s="47"/>
      <c r="H20" s="47"/>
      <c r="I20" s="47"/>
      <c r="J20" s="47"/>
      <c r="K20" s="60"/>
      <c r="L20" s="32" t="s">
        <v>68</v>
      </c>
      <c r="M20" s="71">
        <f>'Step 12'!M31</f>
        <v>551.97957289408987</v>
      </c>
      <c r="N20" s="186">
        <f>'Step 12'!N31</f>
        <v>1663</v>
      </c>
      <c r="O20" s="105">
        <f t="shared" si="1"/>
        <v>917942.02972287149</v>
      </c>
      <c r="P20" s="32"/>
      <c r="Q20" s="32"/>
      <c r="R20" s="32"/>
      <c r="S20" s="32"/>
      <c r="T20" s="32"/>
      <c r="U20" s="32"/>
    </row>
    <row r="21" spans="1:21" ht="16.5" x14ac:dyDescent="0.3">
      <c r="A21" s="206" t="s">
        <v>123</v>
      </c>
      <c r="B21" s="115"/>
      <c r="C21" s="202"/>
      <c r="D21" s="145"/>
      <c r="E21" s="47"/>
      <c r="F21" s="47"/>
      <c r="G21" s="47"/>
      <c r="H21" s="47"/>
      <c r="I21" s="47"/>
      <c r="J21" s="47"/>
      <c r="K21" s="60"/>
      <c r="L21" s="190" t="s">
        <v>123</v>
      </c>
      <c r="M21" s="71"/>
      <c r="N21" s="186"/>
      <c r="O21" s="105"/>
      <c r="P21" s="32"/>
      <c r="Q21" s="32"/>
      <c r="R21" s="32"/>
      <c r="S21" s="32"/>
      <c r="T21" s="32"/>
      <c r="U21" s="32"/>
    </row>
    <row r="22" spans="1:21" ht="16.5" x14ac:dyDescent="0.3">
      <c r="A22" s="206" t="s">
        <v>125</v>
      </c>
      <c r="B22" s="115">
        <f>'Step 12'!B18</f>
        <v>0.10225159717377222</v>
      </c>
      <c r="C22" s="202">
        <f>'Step 12'!C34</f>
        <v>9167.2000000000007</v>
      </c>
      <c r="D22" s="145">
        <f>(B22*C22)</f>
        <v>937.36084161140479</v>
      </c>
      <c r="E22" s="47"/>
      <c r="F22" s="47"/>
      <c r="G22" s="47"/>
      <c r="H22" s="47"/>
      <c r="I22" s="47"/>
      <c r="J22" s="47"/>
      <c r="K22" s="60"/>
      <c r="L22" s="190" t="s">
        <v>125</v>
      </c>
      <c r="M22" s="71">
        <f>'Step 12'!M18</f>
        <v>0.102251597174824</v>
      </c>
      <c r="N22" s="186">
        <f>'Step 12'!N34</f>
        <v>9167.2000000000007</v>
      </c>
      <c r="O22" s="105">
        <f>(M22*N22)</f>
        <v>937.36084162104669</v>
      </c>
      <c r="P22" s="32"/>
      <c r="Q22" s="32"/>
      <c r="R22" s="32"/>
      <c r="S22" s="32"/>
      <c r="T22" s="32"/>
      <c r="U22" s="32"/>
    </row>
    <row r="23" spans="1:21" ht="16.5" x14ac:dyDescent="0.3">
      <c r="A23" s="47" t="s">
        <v>170</v>
      </c>
      <c r="B23" s="115">
        <f>'Step 12'!B21*D8*8</f>
        <v>0.1252670216542516</v>
      </c>
      <c r="C23" s="202">
        <f>(C22-'Step 12'!B39)/8</f>
        <v>1129.0250000000001</v>
      </c>
      <c r="D23" s="207">
        <f>(B23*C23)</f>
        <v>141.42959912319142</v>
      </c>
      <c r="E23" s="47"/>
      <c r="F23" s="47"/>
      <c r="G23" s="47"/>
      <c r="H23" s="47"/>
      <c r="I23" s="47"/>
      <c r="J23" s="47"/>
      <c r="K23" s="60"/>
      <c r="L23" s="32" t="s">
        <v>170</v>
      </c>
      <c r="M23" s="71">
        <f>'Step 12'!M21*O8*8</f>
        <v>0.12526702477485574</v>
      </c>
      <c r="N23" s="186">
        <f>(N22-'Step 12'!M39)/8</f>
        <v>1129.0250000000001</v>
      </c>
      <c r="O23" s="191">
        <f>(M23*N23)</f>
        <v>141.4296026464315</v>
      </c>
      <c r="P23" s="32"/>
      <c r="Q23" s="32"/>
      <c r="R23" s="32"/>
      <c r="S23" s="32"/>
      <c r="T23" s="32"/>
      <c r="U23" s="32"/>
    </row>
    <row r="24" spans="1:21" x14ac:dyDescent="0.25">
      <c r="A24" s="47"/>
      <c r="B24" s="307">
        <f>SUM(B16:B23)</f>
        <v>1060.2108683570111</v>
      </c>
      <c r="C24" s="49"/>
      <c r="D24" s="145">
        <f>SUM(D15:D23)</f>
        <v>1968141.5604932827</v>
      </c>
      <c r="E24" s="47"/>
      <c r="F24" s="47"/>
      <c r="G24" s="47"/>
      <c r="H24" s="47"/>
      <c r="I24" s="47"/>
      <c r="J24" s="47"/>
      <c r="K24" s="60"/>
      <c r="L24" s="32"/>
      <c r="M24" s="295">
        <f>SUM(M16:M23)</f>
        <v>1060.2108683491867</v>
      </c>
      <c r="N24" s="34"/>
      <c r="O24" s="105">
        <f>SUM(O15:O23)</f>
        <v>1968141.5605223009</v>
      </c>
      <c r="P24" s="32"/>
      <c r="Q24" s="32"/>
      <c r="R24" s="32"/>
      <c r="S24" s="32"/>
      <c r="T24" s="32"/>
      <c r="U24" s="32"/>
    </row>
    <row r="25" spans="1:21" x14ac:dyDescent="0.25">
      <c r="A25" s="47"/>
      <c r="B25" s="49"/>
      <c r="C25" s="49"/>
      <c r="D25" s="47"/>
      <c r="E25" s="47"/>
      <c r="F25" s="47"/>
      <c r="G25" s="47"/>
      <c r="H25" s="47"/>
      <c r="I25" s="47"/>
      <c r="J25" s="47"/>
      <c r="K25" s="60"/>
      <c r="L25" s="32"/>
      <c r="M25" s="34"/>
      <c r="N25" s="34"/>
      <c r="O25" s="32"/>
      <c r="P25" s="32"/>
      <c r="Q25" s="32"/>
      <c r="R25" s="32"/>
      <c r="S25" s="32"/>
      <c r="T25" s="32"/>
      <c r="U25" s="32"/>
    </row>
    <row r="26" spans="1:21" x14ac:dyDescent="0.25">
      <c r="A26" s="47" t="s">
        <v>171</v>
      </c>
      <c r="B26" s="49"/>
      <c r="C26" s="308">
        <v>0.5</v>
      </c>
      <c r="D26" s="47"/>
      <c r="E26" s="47" t="s">
        <v>240</v>
      </c>
      <c r="F26" s="48">
        <v>1000</v>
      </c>
      <c r="G26" s="47" t="s">
        <v>32</v>
      </c>
      <c r="H26" s="47"/>
      <c r="I26" s="47"/>
      <c r="J26" s="47"/>
      <c r="K26" s="60"/>
      <c r="L26" s="32" t="s">
        <v>171</v>
      </c>
      <c r="M26" s="34"/>
      <c r="N26" s="296">
        <v>0.5</v>
      </c>
      <c r="O26" s="32"/>
      <c r="P26" s="32" t="s">
        <v>240</v>
      </c>
      <c r="Q26" s="33">
        <v>1000</v>
      </c>
      <c r="R26" s="32" t="s">
        <v>32</v>
      </c>
      <c r="S26" s="32"/>
      <c r="T26" s="32"/>
      <c r="U26" s="32"/>
    </row>
    <row r="27" spans="1:21" x14ac:dyDescent="0.25">
      <c r="A27" s="47" t="s">
        <v>239</v>
      </c>
      <c r="B27" s="49"/>
      <c r="C27" s="49"/>
      <c r="D27" s="47"/>
      <c r="E27" s="47"/>
      <c r="F27" s="47"/>
      <c r="G27" s="47"/>
      <c r="H27" s="47"/>
      <c r="I27" s="47"/>
      <c r="J27" s="47"/>
      <c r="K27" s="60"/>
      <c r="L27" s="32" t="s">
        <v>239</v>
      </c>
      <c r="M27" s="34"/>
      <c r="N27" s="34"/>
      <c r="O27" s="32"/>
      <c r="P27" s="32"/>
      <c r="Q27" s="32"/>
      <c r="R27" s="32"/>
      <c r="S27" s="32"/>
      <c r="T27" s="32"/>
      <c r="U27" s="32"/>
    </row>
    <row r="28" spans="1:21" ht="16.5" x14ac:dyDescent="0.3">
      <c r="A28" s="47" t="s">
        <v>50</v>
      </c>
      <c r="B28" s="49"/>
      <c r="C28" s="47"/>
      <c r="D28" s="47"/>
      <c r="E28" s="47"/>
      <c r="F28" s="47"/>
      <c r="G28" s="107" t="s">
        <v>51</v>
      </c>
      <c r="H28" s="49"/>
      <c r="I28" s="49"/>
      <c r="J28" s="49"/>
      <c r="K28" s="60"/>
      <c r="L28" s="32" t="s">
        <v>50</v>
      </c>
      <c r="M28" s="34"/>
      <c r="N28" s="32"/>
      <c r="O28" s="32"/>
      <c r="P28" s="32"/>
      <c r="Q28" s="32"/>
      <c r="R28" s="63" t="s">
        <v>51</v>
      </c>
      <c r="S28" s="34"/>
      <c r="T28" s="34"/>
      <c r="U28" s="34"/>
    </row>
    <row r="29" spans="1:21" x14ac:dyDescent="0.25">
      <c r="A29" s="47"/>
      <c r="B29" s="47" t="s">
        <v>52</v>
      </c>
      <c r="C29" s="49" t="s">
        <v>3</v>
      </c>
      <c r="D29" s="309">
        <f>'Step 1'!B10</f>
        <v>-222700</v>
      </c>
      <c r="E29" s="47" t="s">
        <v>53</v>
      </c>
      <c r="F29" s="47"/>
      <c r="G29" s="49"/>
      <c r="H29" s="49"/>
      <c r="I29" s="49"/>
      <c r="J29" s="49"/>
      <c r="K29" s="60"/>
      <c r="L29" s="32"/>
      <c r="M29" s="32" t="s">
        <v>52</v>
      </c>
      <c r="N29" s="34" t="s">
        <v>3</v>
      </c>
      <c r="O29" s="297">
        <f>'Step 1'!M10</f>
        <v>-222700</v>
      </c>
      <c r="P29" s="32" t="s">
        <v>53</v>
      </c>
      <c r="Q29" s="32"/>
      <c r="R29" s="34"/>
      <c r="S29" s="34"/>
      <c r="T29" s="34"/>
      <c r="U29" s="34"/>
    </row>
    <row r="30" spans="1:21" ht="16.5" x14ac:dyDescent="0.3">
      <c r="A30" s="47" t="s">
        <v>214</v>
      </c>
      <c r="B30" s="49"/>
      <c r="C30" s="47"/>
      <c r="D30" s="47"/>
      <c r="E30" s="47"/>
      <c r="F30" s="47"/>
      <c r="G30" s="107" t="s">
        <v>287</v>
      </c>
      <c r="H30" s="49"/>
      <c r="I30" s="49"/>
      <c r="J30" s="49"/>
      <c r="K30" s="60"/>
      <c r="L30" s="32" t="s">
        <v>214</v>
      </c>
      <c r="M30" s="34"/>
      <c r="N30" s="32"/>
      <c r="O30" s="32"/>
      <c r="P30" s="32"/>
      <c r="Q30" s="32"/>
      <c r="R30" s="63" t="s">
        <v>287</v>
      </c>
      <c r="S30" s="34"/>
      <c r="T30" s="34"/>
      <c r="U30" s="34"/>
    </row>
    <row r="31" spans="1:21" x14ac:dyDescent="0.25">
      <c r="A31" s="47"/>
      <c r="B31" s="47" t="s">
        <v>52</v>
      </c>
      <c r="C31" s="49" t="s">
        <v>3</v>
      </c>
      <c r="D31" s="309">
        <v>-103900</v>
      </c>
      <c r="E31" s="47" t="s">
        <v>53</v>
      </c>
      <c r="F31" s="47"/>
      <c r="G31" s="49"/>
      <c r="H31" s="49"/>
      <c r="I31" s="49"/>
      <c r="J31" s="49"/>
      <c r="K31" s="60"/>
      <c r="L31" s="32"/>
      <c r="M31" s="32" t="s">
        <v>52</v>
      </c>
      <c r="N31" s="34" t="s">
        <v>3</v>
      </c>
      <c r="O31" s="297">
        <v>-103900</v>
      </c>
      <c r="P31" s="32" t="s">
        <v>53</v>
      </c>
      <c r="Q31" s="32"/>
      <c r="R31" s="34"/>
      <c r="S31" s="34"/>
      <c r="T31" s="34"/>
      <c r="U31" s="34"/>
    </row>
    <row r="32" spans="1:21" ht="16.5" x14ac:dyDescent="0.3">
      <c r="A32" s="47" t="s">
        <v>172</v>
      </c>
      <c r="B32" s="49"/>
      <c r="C32" s="49"/>
      <c r="D32" s="145"/>
      <c r="E32" s="47"/>
      <c r="F32" s="47"/>
      <c r="G32" s="107" t="s">
        <v>218</v>
      </c>
      <c r="H32" s="49"/>
      <c r="I32" s="49"/>
      <c r="J32" s="49"/>
      <c r="K32" s="60"/>
      <c r="L32" s="32" t="s">
        <v>172</v>
      </c>
      <c r="M32" s="34"/>
      <c r="N32" s="34"/>
      <c r="O32" s="105"/>
      <c r="P32" s="32"/>
      <c r="Q32" s="32"/>
      <c r="R32" s="63" t="s">
        <v>218</v>
      </c>
      <c r="S32" s="34"/>
      <c r="T32" s="34"/>
      <c r="U32" s="34"/>
    </row>
    <row r="33" spans="1:21" x14ac:dyDescent="0.25">
      <c r="A33" s="47"/>
      <c r="B33" s="47" t="s">
        <v>52</v>
      </c>
      <c r="C33" s="49" t="s">
        <v>3</v>
      </c>
      <c r="D33" s="309">
        <v>-136600</v>
      </c>
      <c r="E33" s="47" t="s">
        <v>53</v>
      </c>
      <c r="F33" s="47"/>
      <c r="G33" s="47"/>
      <c r="H33" s="47"/>
      <c r="I33" s="47"/>
      <c r="J33" s="47"/>
      <c r="K33" s="60"/>
      <c r="L33" s="32"/>
      <c r="M33" s="32" t="s">
        <v>52</v>
      </c>
      <c r="N33" s="34" t="s">
        <v>3</v>
      </c>
      <c r="O33" s="297">
        <v>-136600</v>
      </c>
      <c r="P33" s="32" t="s">
        <v>53</v>
      </c>
      <c r="Q33" s="32"/>
      <c r="R33" s="32"/>
      <c r="S33" s="32"/>
      <c r="T33" s="32"/>
      <c r="U33" s="32"/>
    </row>
    <row r="34" spans="1:21" ht="16.5" x14ac:dyDescent="0.3">
      <c r="A34" s="47" t="s">
        <v>174</v>
      </c>
      <c r="B34" s="49"/>
      <c r="C34" s="49"/>
      <c r="D34" s="145"/>
      <c r="E34" s="47"/>
      <c r="F34" s="47"/>
      <c r="G34" s="107" t="s">
        <v>288</v>
      </c>
      <c r="H34" s="49"/>
      <c r="I34" s="49"/>
      <c r="J34" s="49"/>
      <c r="K34" s="60"/>
      <c r="L34" s="32" t="s">
        <v>174</v>
      </c>
      <c r="M34" s="34"/>
      <c r="N34" s="34"/>
      <c r="O34" s="105"/>
      <c r="P34" s="32"/>
      <c r="Q34" s="32"/>
      <c r="R34" s="63" t="s">
        <v>288</v>
      </c>
      <c r="S34" s="34"/>
      <c r="T34" s="34"/>
      <c r="U34" s="34"/>
    </row>
    <row r="35" spans="1:21" x14ac:dyDescent="0.25">
      <c r="A35" s="47"/>
      <c r="B35" s="47" t="s">
        <v>52</v>
      </c>
      <c r="C35" s="49" t="s">
        <v>3</v>
      </c>
      <c r="D35" s="309">
        <v>-808600</v>
      </c>
      <c r="E35" s="47" t="s">
        <v>53</v>
      </c>
      <c r="F35" s="47"/>
      <c r="G35" s="47"/>
      <c r="H35" s="47"/>
      <c r="I35" s="47"/>
      <c r="J35" s="47"/>
      <c r="K35" s="60"/>
      <c r="L35" s="32"/>
      <c r="M35" s="32" t="s">
        <v>52</v>
      </c>
      <c r="N35" s="34" t="s">
        <v>3</v>
      </c>
      <c r="O35" s="297">
        <v>-808600</v>
      </c>
      <c r="P35" s="32" t="s">
        <v>53</v>
      </c>
      <c r="Q35" s="32"/>
      <c r="R35" s="32"/>
      <c r="S35" s="32"/>
      <c r="T35" s="32"/>
      <c r="U35" s="32"/>
    </row>
    <row r="36" spans="1:21" ht="16.5" x14ac:dyDescent="0.3">
      <c r="A36" s="47" t="s">
        <v>175</v>
      </c>
      <c r="B36" s="49"/>
      <c r="C36" s="49"/>
      <c r="D36" s="145"/>
      <c r="E36" s="47"/>
      <c r="F36" s="47"/>
      <c r="G36" s="107" t="s">
        <v>289</v>
      </c>
      <c r="H36" s="49"/>
      <c r="I36" s="49"/>
      <c r="J36" s="49"/>
      <c r="K36" s="60"/>
      <c r="L36" s="32" t="s">
        <v>175</v>
      </c>
      <c r="M36" s="34"/>
      <c r="N36" s="34"/>
      <c r="O36" s="105"/>
      <c r="P36" s="32"/>
      <c r="Q36" s="32"/>
      <c r="R36" s="63" t="s">
        <v>289</v>
      </c>
      <c r="S36" s="34"/>
      <c r="T36" s="34"/>
      <c r="U36" s="34"/>
    </row>
    <row r="37" spans="1:21" x14ac:dyDescent="0.25">
      <c r="A37" s="47"/>
      <c r="B37" s="47" t="s">
        <v>52</v>
      </c>
      <c r="C37" s="49" t="s">
        <v>3</v>
      </c>
      <c r="D37" s="309">
        <v>-1063600</v>
      </c>
      <c r="E37" s="47" t="s">
        <v>53</v>
      </c>
      <c r="F37" s="47"/>
      <c r="G37" s="47"/>
      <c r="H37" s="47"/>
      <c r="I37" s="47"/>
      <c r="J37" s="47"/>
      <c r="K37" s="60"/>
      <c r="L37" s="32"/>
      <c r="M37" s="32" t="s">
        <v>52</v>
      </c>
      <c r="N37" s="34" t="s">
        <v>3</v>
      </c>
      <c r="O37" s="297">
        <v>-1063600</v>
      </c>
      <c r="P37" s="32" t="s">
        <v>53</v>
      </c>
      <c r="Q37" s="32"/>
      <c r="R37" s="32"/>
      <c r="S37" s="32"/>
      <c r="T37" s="32"/>
      <c r="U37" s="32"/>
    </row>
    <row r="38" spans="1:21" x14ac:dyDescent="0.25">
      <c r="A38" s="47"/>
      <c r="B38" s="49"/>
      <c r="C38" s="56" t="s">
        <v>246</v>
      </c>
      <c r="D38" s="56" t="s">
        <v>81</v>
      </c>
      <c r="E38" s="47"/>
      <c r="F38" s="47"/>
      <c r="G38" s="47"/>
      <c r="H38" s="47"/>
      <c r="I38" s="47"/>
      <c r="J38" s="47"/>
      <c r="K38" s="60"/>
      <c r="L38" s="32"/>
      <c r="M38" s="34"/>
      <c r="N38" s="41" t="s">
        <v>246</v>
      </c>
      <c r="O38" s="41" t="s">
        <v>81</v>
      </c>
      <c r="P38" s="32"/>
      <c r="Q38" s="32"/>
      <c r="R38" s="32"/>
      <c r="S38" s="32"/>
      <c r="T38" s="32"/>
      <c r="U38" s="32"/>
    </row>
    <row r="39" spans="1:21" ht="16.5" x14ac:dyDescent="0.3">
      <c r="A39" s="56" t="s">
        <v>176</v>
      </c>
      <c r="B39" s="56"/>
      <c r="C39" s="56">
        <v>1.5</v>
      </c>
      <c r="D39" s="198">
        <f>B15</f>
        <v>4.1657161875787834</v>
      </c>
      <c r="E39" s="115">
        <f>C39*D39</f>
        <v>6.2485742813681746</v>
      </c>
      <c r="F39" s="47" t="s">
        <v>177</v>
      </c>
      <c r="G39" s="47"/>
      <c r="H39" s="47"/>
      <c r="I39" s="47"/>
      <c r="J39" s="47"/>
      <c r="K39" s="60"/>
      <c r="L39" s="41" t="s">
        <v>176</v>
      </c>
      <c r="M39" s="41"/>
      <c r="N39" s="41">
        <v>1.5</v>
      </c>
      <c r="O39" s="182">
        <f>M15</f>
        <v>4.1657162094704576</v>
      </c>
      <c r="P39" s="71">
        <f>N39*O39</f>
        <v>6.2485743142056869</v>
      </c>
      <c r="Q39" s="32" t="s">
        <v>177</v>
      </c>
      <c r="R39" s="32"/>
      <c r="S39" s="32"/>
      <c r="T39" s="32"/>
      <c r="U39" s="32"/>
    </row>
    <row r="40" spans="1:21" ht="16.5" x14ac:dyDescent="0.3">
      <c r="A40" s="56" t="s">
        <v>215</v>
      </c>
      <c r="B40" s="56"/>
      <c r="C40" s="56">
        <v>0.5</v>
      </c>
      <c r="D40" s="198">
        <f>B17</f>
        <v>16.300223504340146</v>
      </c>
      <c r="E40" s="115">
        <f>C40*D40</f>
        <v>8.1501117521700728</v>
      </c>
      <c r="F40" s="47" t="s">
        <v>177</v>
      </c>
      <c r="G40" s="47"/>
      <c r="H40" s="47"/>
      <c r="I40" s="47"/>
      <c r="J40" s="47"/>
      <c r="K40" s="60"/>
      <c r="L40" s="41" t="s">
        <v>215</v>
      </c>
      <c r="M40" s="41"/>
      <c r="N40" s="41">
        <v>0.5</v>
      </c>
      <c r="O40" s="182">
        <f>M17</f>
        <v>16.300223504340146</v>
      </c>
      <c r="P40" s="71">
        <f>N40*O40</f>
        <v>8.1501117521700728</v>
      </c>
      <c r="Q40" s="32" t="s">
        <v>177</v>
      </c>
      <c r="R40" s="32"/>
      <c r="S40" s="32"/>
      <c r="T40" s="32"/>
      <c r="U40" s="32"/>
    </row>
    <row r="41" spans="1:21" ht="16.5" x14ac:dyDescent="0.3">
      <c r="A41" s="208" t="s">
        <v>207</v>
      </c>
      <c r="B41" s="56"/>
      <c r="C41" s="56">
        <v>6</v>
      </c>
      <c r="D41" s="198">
        <f>B21</f>
        <v>0</v>
      </c>
      <c r="E41" s="115">
        <f>C41*D41</f>
        <v>0</v>
      </c>
      <c r="F41" s="47" t="s">
        <v>177</v>
      </c>
      <c r="G41" s="47"/>
      <c r="H41" s="47"/>
      <c r="I41" s="47"/>
      <c r="J41" s="47"/>
      <c r="K41" s="60"/>
      <c r="L41" s="192" t="s">
        <v>207</v>
      </c>
      <c r="M41" s="41"/>
      <c r="N41" s="41">
        <v>6</v>
      </c>
      <c r="O41" s="182">
        <f>M21</f>
        <v>0</v>
      </c>
      <c r="P41" s="71">
        <f>N41*O41</f>
        <v>0</v>
      </c>
      <c r="Q41" s="32" t="s">
        <v>177</v>
      </c>
      <c r="R41" s="32"/>
      <c r="S41" s="32"/>
      <c r="T41" s="32"/>
      <c r="U41" s="32"/>
    </row>
    <row r="42" spans="1:21" ht="16.5" x14ac:dyDescent="0.3">
      <c r="A42" s="208" t="s">
        <v>208</v>
      </c>
      <c r="B42" s="56"/>
      <c r="C42" s="56">
        <v>8</v>
      </c>
      <c r="D42" s="198">
        <f>B22</f>
        <v>0.10225159717377222</v>
      </c>
      <c r="E42" s="115">
        <f>C42*D42</f>
        <v>0.81801277739017775</v>
      </c>
      <c r="F42" s="47" t="s">
        <v>177</v>
      </c>
      <c r="G42" s="47"/>
      <c r="H42" s="47"/>
      <c r="I42" s="47"/>
      <c r="J42" s="47"/>
      <c r="K42" s="60"/>
      <c r="L42" s="192" t="s">
        <v>208</v>
      </c>
      <c r="M42" s="41"/>
      <c r="N42" s="41">
        <v>8</v>
      </c>
      <c r="O42" s="182">
        <f>M22</f>
        <v>0.102251597174824</v>
      </c>
      <c r="P42" s="71">
        <f>N42*O42</f>
        <v>0.81801277739859202</v>
      </c>
      <c r="Q42" s="32" t="s">
        <v>177</v>
      </c>
      <c r="R42" s="32"/>
      <c r="S42" s="32"/>
      <c r="T42" s="32"/>
      <c r="U42" s="32"/>
    </row>
    <row r="43" spans="1:21" ht="16.5" x14ac:dyDescent="0.3">
      <c r="A43" s="56" t="s">
        <v>216</v>
      </c>
      <c r="B43" s="56"/>
      <c r="C43" s="56">
        <v>1</v>
      </c>
      <c r="D43" s="198">
        <f>B23</f>
        <v>0.1252670216542516</v>
      </c>
      <c r="E43" s="115">
        <f>C43*D43</f>
        <v>0.1252670216542516</v>
      </c>
      <c r="F43" s="111" t="s">
        <v>177</v>
      </c>
      <c r="G43" s="47"/>
      <c r="H43" s="47"/>
      <c r="I43" s="47"/>
      <c r="J43" s="47"/>
      <c r="K43" s="60"/>
      <c r="L43" s="41" t="s">
        <v>216</v>
      </c>
      <c r="M43" s="41"/>
      <c r="N43" s="41">
        <v>1</v>
      </c>
      <c r="O43" s="182">
        <f>M23</f>
        <v>0.12526702477485574</v>
      </c>
      <c r="P43" s="71">
        <f>N43*O43</f>
        <v>0.12526702477485574</v>
      </c>
      <c r="Q43" s="67" t="s">
        <v>177</v>
      </c>
      <c r="R43" s="32"/>
      <c r="S43" s="32"/>
      <c r="T43" s="32"/>
      <c r="U43" s="32"/>
    </row>
    <row r="44" spans="1:21" ht="16.5" x14ac:dyDescent="0.3">
      <c r="A44" s="47"/>
      <c r="B44" s="56"/>
      <c r="C44" s="56"/>
      <c r="D44" s="47"/>
      <c r="E44" s="115">
        <f>SUM(E39:E43)</f>
        <v>15.341965832582677</v>
      </c>
      <c r="F44" s="47" t="s">
        <v>177</v>
      </c>
      <c r="G44" s="47"/>
      <c r="H44" s="47"/>
      <c r="I44" s="47"/>
      <c r="J44" s="47"/>
      <c r="K44" s="60"/>
      <c r="L44" s="32"/>
      <c r="M44" s="41"/>
      <c r="N44" s="41"/>
      <c r="O44" s="32"/>
      <c r="P44" s="71">
        <f>SUM(P39:P43)</f>
        <v>15.341965868549206</v>
      </c>
      <c r="Q44" s="32" t="s">
        <v>177</v>
      </c>
      <c r="R44" s="32"/>
      <c r="S44" s="32"/>
      <c r="T44" s="32"/>
      <c r="U44" s="32"/>
    </row>
    <row r="45" spans="1:21" ht="16.5" x14ac:dyDescent="0.3">
      <c r="A45" s="310" t="str">
        <f>CONCATENATE("+ ", C26*100,"%")</f>
        <v>+ 50%</v>
      </c>
      <c r="B45" s="56"/>
      <c r="C45" s="56"/>
      <c r="D45" s="47"/>
      <c r="E45" s="115">
        <f>(1+C26)*E44</f>
        <v>23.012948748874017</v>
      </c>
      <c r="F45" s="47" t="s">
        <v>177</v>
      </c>
      <c r="G45" s="47"/>
      <c r="H45" s="47"/>
      <c r="I45" s="47"/>
      <c r="J45" s="47"/>
      <c r="K45" s="60"/>
      <c r="L45" s="298" t="str">
        <f>CONCATENATE("+ ", N26*100,"%")</f>
        <v>+ 50%</v>
      </c>
      <c r="M45" s="41"/>
      <c r="N45" s="41"/>
      <c r="O45" s="32"/>
      <c r="P45" s="71">
        <f>(1+N26)*P44</f>
        <v>23.012948802823807</v>
      </c>
      <c r="Q45" s="32" t="s">
        <v>177</v>
      </c>
      <c r="R45" s="32"/>
      <c r="S45" s="32"/>
      <c r="T45" s="32"/>
      <c r="U45" s="32"/>
    </row>
    <row r="46" spans="1:21" ht="16.5" x14ac:dyDescent="0.3">
      <c r="A46" s="56" t="s">
        <v>178</v>
      </c>
      <c r="B46" s="56"/>
      <c r="C46" s="56">
        <v>2</v>
      </c>
      <c r="D46" s="198">
        <f>B61</f>
        <v>18.046246496495133</v>
      </c>
      <c r="E46" s="115">
        <f>C46*D46</f>
        <v>36.092492992990266</v>
      </c>
      <c r="F46" s="47" t="s">
        <v>177</v>
      </c>
      <c r="G46" s="47"/>
      <c r="H46" s="47"/>
      <c r="I46" s="47"/>
      <c r="J46" s="47"/>
      <c r="K46" s="60"/>
      <c r="L46" s="41" t="s">
        <v>178</v>
      </c>
      <c r="M46" s="41"/>
      <c r="N46" s="41">
        <v>2</v>
      </c>
      <c r="O46" s="182">
        <f>M61</f>
        <v>18.04624652068998</v>
      </c>
      <c r="P46" s="71">
        <f>N46*O46</f>
        <v>36.09249304137996</v>
      </c>
      <c r="Q46" s="32" t="s">
        <v>177</v>
      </c>
      <c r="R46" s="32"/>
      <c r="S46" s="32"/>
      <c r="T46" s="32"/>
      <c r="U46" s="32"/>
    </row>
    <row r="47" spans="1:21" ht="16.5" x14ac:dyDescent="0.3">
      <c r="A47" s="56" t="str">
        <f>CONCATENATE("+ ", C26*100,"%")</f>
        <v>+ 50%</v>
      </c>
      <c r="B47" s="56"/>
      <c r="C47" s="56"/>
      <c r="D47" s="47"/>
      <c r="E47" s="277">
        <f>(1+C26)*E46</f>
        <v>54.138739489485403</v>
      </c>
      <c r="F47" s="167" t="s">
        <v>177</v>
      </c>
      <c r="G47" s="47"/>
      <c r="H47" s="47"/>
      <c r="I47" s="47"/>
      <c r="J47" s="47"/>
      <c r="K47" s="60"/>
      <c r="L47" s="41" t="str">
        <f>CONCATENATE("+ ", N26*100,"%")</f>
        <v>+ 50%</v>
      </c>
      <c r="M47" s="41"/>
      <c r="N47" s="41"/>
      <c r="O47" s="32"/>
      <c r="P47" s="100">
        <f>(1+N26)*P46</f>
        <v>54.138739562069944</v>
      </c>
      <c r="Q47" s="150" t="s">
        <v>177</v>
      </c>
      <c r="R47" s="32"/>
      <c r="S47" s="32"/>
      <c r="T47" s="32"/>
      <c r="U47" s="32"/>
    </row>
    <row r="48" spans="1:21" ht="16.5" x14ac:dyDescent="0.3">
      <c r="A48" s="56"/>
      <c r="B48" s="56"/>
      <c r="C48" s="56"/>
      <c r="D48" s="47"/>
      <c r="E48" s="311">
        <f>E45+E47</f>
        <v>77.151688238359412</v>
      </c>
      <c r="F48" s="47" t="s">
        <v>177</v>
      </c>
      <c r="G48" s="47"/>
      <c r="H48" s="47"/>
      <c r="I48" s="47"/>
      <c r="J48" s="47"/>
      <c r="K48" s="60"/>
      <c r="L48" s="41"/>
      <c r="M48" s="41"/>
      <c r="N48" s="41"/>
      <c r="O48" s="32"/>
      <c r="P48" s="299">
        <f>P45+P47</f>
        <v>77.151688364893744</v>
      </c>
      <c r="Q48" s="32" t="s">
        <v>177</v>
      </c>
      <c r="R48" s="32"/>
      <c r="S48" s="32"/>
      <c r="T48" s="32"/>
      <c r="U48" s="32"/>
    </row>
    <row r="49" spans="1:21" x14ac:dyDescent="0.25">
      <c r="A49" s="56"/>
      <c r="B49" s="56"/>
      <c r="C49" s="47"/>
      <c r="D49" s="47"/>
      <c r="E49" s="47"/>
      <c r="F49" s="47"/>
      <c r="G49" s="47"/>
      <c r="H49" s="47"/>
      <c r="I49" s="47"/>
      <c r="J49" s="47"/>
      <c r="K49" s="60"/>
      <c r="L49" s="41"/>
      <c r="M49" s="41"/>
      <c r="N49" s="32"/>
      <c r="O49" s="32"/>
      <c r="P49" s="32"/>
      <c r="Q49" s="32"/>
      <c r="R49" s="32"/>
      <c r="S49" s="32"/>
      <c r="T49" s="32"/>
      <c r="U49" s="32"/>
    </row>
    <row r="50" spans="1:21" x14ac:dyDescent="0.25">
      <c r="A50" s="56"/>
      <c r="B50" s="56"/>
      <c r="C50" s="47"/>
      <c r="D50" s="47"/>
      <c r="E50" s="47"/>
      <c r="F50" s="47"/>
      <c r="G50" s="47"/>
      <c r="H50" s="47"/>
      <c r="I50" s="47"/>
      <c r="J50" s="47"/>
      <c r="K50" s="60"/>
      <c r="L50" s="41"/>
      <c r="M50" s="41"/>
      <c r="N50" s="32"/>
      <c r="O50" s="32"/>
      <c r="P50" s="32"/>
      <c r="Q50" s="32"/>
      <c r="R50" s="32"/>
      <c r="S50" s="32"/>
      <c r="T50" s="32"/>
      <c r="U50" s="32"/>
    </row>
    <row r="51" spans="1:21" x14ac:dyDescent="0.25">
      <c r="A51" s="47"/>
      <c r="B51" s="49"/>
      <c r="C51" s="49"/>
      <c r="D51" s="47"/>
      <c r="E51" s="47"/>
      <c r="F51" s="47"/>
      <c r="G51" s="47"/>
      <c r="H51" s="47"/>
      <c r="I51" s="47"/>
      <c r="J51" s="47"/>
      <c r="K51" s="60"/>
      <c r="L51" s="32"/>
      <c r="M51" s="34"/>
      <c r="N51" s="34"/>
      <c r="O51" s="32"/>
      <c r="P51" s="32"/>
      <c r="Q51" s="32"/>
      <c r="R51" s="32"/>
      <c r="S51" s="32"/>
      <c r="T51" s="32"/>
      <c r="U51" s="32"/>
    </row>
    <row r="52" spans="1:21" x14ac:dyDescent="0.25">
      <c r="A52" s="47" t="s">
        <v>259</v>
      </c>
      <c r="B52" s="49"/>
      <c r="C52" s="49"/>
      <c r="D52" s="47"/>
      <c r="E52" s="47"/>
      <c r="F52" s="198">
        <v>18.046246496495133</v>
      </c>
      <c r="G52" s="47" t="s">
        <v>260</v>
      </c>
      <c r="H52" s="47"/>
      <c r="I52" s="47"/>
      <c r="J52" s="47"/>
      <c r="K52" s="60"/>
      <c r="L52" s="32" t="s">
        <v>259</v>
      </c>
      <c r="M52" s="34"/>
      <c r="N52" s="34"/>
      <c r="O52" s="32"/>
      <c r="P52" s="32"/>
      <c r="Q52" s="182">
        <v>18.04624652068998</v>
      </c>
      <c r="R52" s="32" t="s">
        <v>260</v>
      </c>
      <c r="S52" s="32"/>
      <c r="T52" s="32"/>
      <c r="U52" s="32"/>
    </row>
    <row r="53" spans="1:21" x14ac:dyDescent="0.25">
      <c r="A53" s="260" t="s">
        <v>82</v>
      </c>
      <c r="B53" s="261">
        <f>ROUND(D89-F102,2)</f>
        <v>0</v>
      </c>
      <c r="C53" s="262" t="s">
        <v>83</v>
      </c>
      <c r="D53" s="263" t="s">
        <v>261</v>
      </c>
      <c r="E53" s="262"/>
      <c r="F53" s="130" t="s">
        <v>262</v>
      </c>
      <c r="G53" s="121"/>
      <c r="H53" s="121"/>
      <c r="I53" s="121"/>
      <c r="J53" s="47"/>
      <c r="K53" s="60"/>
      <c r="L53" s="242" t="s">
        <v>82</v>
      </c>
      <c r="M53" s="243">
        <f>ROUND(O89-Q102,2)</f>
        <v>0</v>
      </c>
      <c r="N53" s="244" t="s">
        <v>83</v>
      </c>
      <c r="O53" s="245" t="s">
        <v>261</v>
      </c>
      <c r="P53" s="244"/>
      <c r="Q53" s="241" t="s">
        <v>269</v>
      </c>
      <c r="R53" s="77"/>
      <c r="S53" s="77"/>
      <c r="T53" s="77"/>
      <c r="U53" s="32"/>
    </row>
    <row r="54" spans="1:21" x14ac:dyDescent="0.25">
      <c r="A54" s="47"/>
      <c r="B54" s="49"/>
      <c r="C54" s="49"/>
      <c r="D54" s="47"/>
      <c r="E54" s="47"/>
      <c r="F54" s="121"/>
      <c r="G54" s="121"/>
      <c r="H54" s="121"/>
      <c r="I54" s="121"/>
      <c r="J54" s="47"/>
      <c r="K54" s="60"/>
      <c r="L54" s="32"/>
      <c r="M54" s="34"/>
      <c r="N54" s="34"/>
      <c r="O54" s="32"/>
      <c r="P54" s="32"/>
      <c r="Q54" s="77"/>
      <c r="R54" s="77"/>
      <c r="S54" s="77"/>
      <c r="T54" s="77"/>
      <c r="U54" s="32"/>
    </row>
    <row r="55" spans="1:21" ht="16.5" x14ac:dyDescent="0.3">
      <c r="A55" s="47" t="s">
        <v>54</v>
      </c>
      <c r="B55" s="49"/>
      <c r="C55" s="47"/>
      <c r="D55" s="107" t="s">
        <v>290</v>
      </c>
      <c r="E55" s="47"/>
      <c r="F55" s="121"/>
      <c r="G55" s="121"/>
      <c r="H55" s="121"/>
      <c r="I55" s="121"/>
      <c r="J55" s="49"/>
      <c r="K55" s="60"/>
      <c r="L55" s="32" t="s">
        <v>54</v>
      </c>
      <c r="M55" s="34"/>
      <c r="N55" s="32"/>
      <c r="O55" s="63" t="s">
        <v>181</v>
      </c>
      <c r="P55" s="32"/>
      <c r="Q55" s="77"/>
      <c r="R55" s="77"/>
      <c r="S55" s="77"/>
      <c r="T55" s="77"/>
      <c r="U55" s="34"/>
    </row>
    <row r="56" spans="1:21" x14ac:dyDescent="0.25">
      <c r="A56" s="47"/>
      <c r="B56" s="47" t="s">
        <v>150</v>
      </c>
      <c r="C56" s="49" t="s">
        <v>3</v>
      </c>
      <c r="D56" s="312">
        <f>'Step 1'!B14</f>
        <v>-345100</v>
      </c>
      <c r="E56" s="47" t="s">
        <v>87</v>
      </c>
      <c r="F56" s="121"/>
      <c r="G56" s="121"/>
      <c r="H56" s="121"/>
      <c r="I56" s="121"/>
      <c r="J56" s="47"/>
      <c r="K56" s="60"/>
      <c r="L56" s="32"/>
      <c r="M56" s="32" t="s">
        <v>150</v>
      </c>
      <c r="N56" s="34" t="s">
        <v>3</v>
      </c>
      <c r="O56" s="300">
        <f>'Step 1'!M14</f>
        <v>-345100</v>
      </c>
      <c r="P56" s="32" t="s">
        <v>87</v>
      </c>
      <c r="Q56" s="77"/>
      <c r="R56" s="77"/>
      <c r="S56" s="77"/>
      <c r="T56" s="77"/>
      <c r="U56" s="32"/>
    </row>
    <row r="57" spans="1:21" x14ac:dyDescent="0.25">
      <c r="A57" s="47"/>
      <c r="B57" s="49"/>
      <c r="C57" s="49"/>
      <c r="D57" s="47"/>
      <c r="E57" s="47"/>
      <c r="F57" s="121"/>
      <c r="G57" s="121"/>
      <c r="H57" s="121"/>
      <c r="I57" s="121"/>
      <c r="J57" s="47"/>
      <c r="K57" s="60"/>
      <c r="L57" s="32"/>
      <c r="M57" s="34"/>
      <c r="N57" s="34"/>
      <c r="O57" s="32"/>
      <c r="P57" s="32"/>
      <c r="Q57" s="77"/>
      <c r="R57" s="77"/>
      <c r="S57" s="77"/>
      <c r="T57" s="77"/>
      <c r="U57" s="32"/>
    </row>
    <row r="58" spans="1:21" x14ac:dyDescent="0.25">
      <c r="A58" s="47"/>
      <c r="B58" s="252" t="s">
        <v>182</v>
      </c>
      <c r="C58" s="253"/>
      <c r="D58" s="253"/>
      <c r="E58" s="47"/>
      <c r="F58" s="121"/>
      <c r="G58" s="121"/>
      <c r="H58" s="121"/>
      <c r="I58" s="121"/>
      <c r="J58" s="47"/>
      <c r="K58" s="60"/>
      <c r="L58" s="32"/>
      <c r="M58" s="234" t="s">
        <v>182</v>
      </c>
      <c r="N58" s="233"/>
      <c r="O58" s="233"/>
      <c r="P58" s="32"/>
      <c r="Q58" s="77"/>
      <c r="R58" s="77"/>
      <c r="S58" s="77"/>
      <c r="T58" s="77"/>
      <c r="U58" s="32"/>
    </row>
    <row r="59" spans="1:21" x14ac:dyDescent="0.25">
      <c r="A59" s="47"/>
      <c r="B59" s="49"/>
      <c r="C59" s="50" t="s">
        <v>85</v>
      </c>
      <c r="D59" s="313">
        <v>100</v>
      </c>
      <c r="E59" s="47" t="s">
        <v>32</v>
      </c>
      <c r="F59" s="121"/>
      <c r="G59" s="121"/>
      <c r="H59" s="121"/>
      <c r="I59" s="121"/>
      <c r="J59" s="47"/>
      <c r="K59" s="60"/>
      <c r="L59" s="32"/>
      <c r="M59" s="34"/>
      <c r="N59" s="35" t="s">
        <v>85</v>
      </c>
      <c r="O59" s="301">
        <v>100</v>
      </c>
      <c r="P59" s="32" t="s">
        <v>32</v>
      </c>
      <c r="Q59" s="77"/>
      <c r="R59" s="77"/>
      <c r="S59" s="77"/>
      <c r="T59" s="77"/>
      <c r="U59" s="32"/>
    </row>
    <row r="60" spans="1:21" x14ac:dyDescent="0.25">
      <c r="A60" s="47"/>
      <c r="B60" s="169" t="s">
        <v>86</v>
      </c>
      <c r="C60" s="169" t="s">
        <v>87</v>
      </c>
      <c r="D60" s="169" t="s">
        <v>83</v>
      </c>
      <c r="E60" s="47"/>
      <c r="F60" s="47"/>
      <c r="G60" s="47"/>
      <c r="H60" s="47"/>
      <c r="I60" s="47"/>
      <c r="J60" s="47"/>
      <c r="K60" s="60"/>
      <c r="L60" s="32"/>
      <c r="M60" s="152" t="s">
        <v>86</v>
      </c>
      <c r="N60" s="152" t="s">
        <v>87</v>
      </c>
      <c r="O60" s="152" t="s">
        <v>83</v>
      </c>
      <c r="P60" s="32"/>
      <c r="Q60" s="32"/>
      <c r="R60" s="32"/>
      <c r="S60" s="32"/>
      <c r="T60" s="32"/>
      <c r="U60" s="32"/>
    </row>
    <row r="61" spans="1:21" ht="16.5" x14ac:dyDescent="0.3">
      <c r="A61" s="47" t="s">
        <v>183</v>
      </c>
      <c r="B61" s="115">
        <f>F52</f>
        <v>18.046246496495133</v>
      </c>
      <c r="C61" s="202">
        <f>IF(ROUNDDOWN(D59,-2)=ROUNDUP(D59,-2),VLOOKUP(D59,Enthalpy,2),VLOOKUP(ROUNDDOWN(D59,-2),Enthalpy,2)+(D59-ROUNDDOWN(D59,-2))/(ROUNDUP(D59,-2)-ROUNDDOWN(D59,-2))*(VLOOKUP(ROUNDUP(D59,-2),Enthalpy,2)-VLOOKUP(ROUNDDOWN(D59,-2),Enthalpy,2)))</f>
        <v>567.70000000000005</v>
      </c>
      <c r="D61" s="145">
        <f>(B61*C61)</f>
        <v>10244.854136060289</v>
      </c>
      <c r="E61" s="47"/>
      <c r="F61" s="47"/>
      <c r="G61" s="47"/>
      <c r="H61" s="47"/>
      <c r="I61" s="47"/>
      <c r="J61" s="47"/>
      <c r="K61" s="60"/>
      <c r="L61" s="32" t="s">
        <v>183</v>
      </c>
      <c r="M61" s="71">
        <f>Q52</f>
        <v>18.04624652068998</v>
      </c>
      <c r="N61" s="186">
        <f>IF(ROUNDDOWN(O59,-2)=ROUNDUP(O59,-2),VLOOKUP(O59,Enthalpy,2),VLOOKUP(ROUNDDOWN(O59,-2),Enthalpy,2)+(O59-ROUNDDOWN(O59,-2))/(ROUNDUP(O59,-2)-ROUNDDOWN(O59,-2))*(VLOOKUP(ROUNDUP(O59,-2),Enthalpy,2)-VLOOKUP(ROUNDDOWN(O59,-2),Enthalpy,2)))</f>
        <v>567.70000000000005</v>
      </c>
      <c r="O61" s="105">
        <f>(M61*N61)</f>
        <v>10244.854149795703</v>
      </c>
      <c r="P61" s="32"/>
      <c r="Q61" s="32"/>
      <c r="R61" s="32"/>
      <c r="S61" s="32"/>
      <c r="T61" s="32"/>
      <c r="U61" s="32"/>
    </row>
    <row r="62" spans="1:21" ht="16.5" x14ac:dyDescent="0.3">
      <c r="A62" s="47" t="s">
        <v>44</v>
      </c>
      <c r="B62" s="115"/>
      <c r="C62" s="49"/>
      <c r="D62" s="145"/>
      <c r="E62" s="47"/>
      <c r="F62" s="47"/>
      <c r="G62" s="47"/>
      <c r="H62" s="47"/>
      <c r="I62" s="47"/>
      <c r="J62" s="47"/>
      <c r="K62" s="60"/>
      <c r="L62" s="32" t="s">
        <v>44</v>
      </c>
      <c r="M62" s="71"/>
      <c r="N62" s="34"/>
      <c r="O62" s="105"/>
      <c r="P62" s="32"/>
      <c r="Q62" s="32"/>
      <c r="R62" s="32"/>
      <c r="S62" s="32"/>
      <c r="T62" s="32"/>
      <c r="U62" s="32"/>
    </row>
    <row r="63" spans="1:21" ht="16.5" x14ac:dyDescent="0.3">
      <c r="A63" s="47" t="s">
        <v>69</v>
      </c>
      <c r="B63" s="115"/>
      <c r="C63" s="49"/>
      <c r="D63" s="145"/>
      <c r="E63" s="47"/>
      <c r="F63" s="47"/>
      <c r="G63" s="47"/>
      <c r="H63" s="47"/>
      <c r="I63" s="47"/>
      <c r="J63" s="47"/>
      <c r="K63" s="60"/>
      <c r="L63" s="32" t="s">
        <v>69</v>
      </c>
      <c r="M63" s="71"/>
      <c r="N63" s="34"/>
      <c r="O63" s="105"/>
      <c r="P63" s="32"/>
      <c r="Q63" s="32"/>
      <c r="R63" s="32"/>
      <c r="S63" s="32"/>
      <c r="T63" s="32"/>
      <c r="U63" s="32"/>
    </row>
    <row r="64" spans="1:21" ht="16.5" x14ac:dyDescent="0.3">
      <c r="A64" s="47" t="s">
        <v>68</v>
      </c>
      <c r="B64" s="115"/>
      <c r="C64" s="49"/>
      <c r="D64" s="145"/>
      <c r="E64" s="47"/>
      <c r="F64" s="47"/>
      <c r="G64" s="47"/>
      <c r="H64" s="47"/>
      <c r="I64" s="47"/>
      <c r="J64" s="47"/>
      <c r="K64" s="60"/>
      <c r="L64" s="32" t="s">
        <v>68</v>
      </c>
      <c r="M64" s="71"/>
      <c r="N64" s="34"/>
      <c r="O64" s="105"/>
      <c r="P64" s="32"/>
      <c r="Q64" s="32"/>
      <c r="R64" s="32"/>
      <c r="S64" s="32"/>
      <c r="T64" s="32"/>
      <c r="U64" s="32"/>
    </row>
    <row r="65" spans="1:21" ht="16.5" x14ac:dyDescent="0.3">
      <c r="A65" s="47" t="s">
        <v>47</v>
      </c>
      <c r="B65" s="116"/>
      <c r="C65" s="49"/>
      <c r="D65" s="207"/>
      <c r="E65" s="47"/>
      <c r="F65" s="47"/>
      <c r="G65" s="47"/>
      <c r="H65" s="47"/>
      <c r="I65" s="47"/>
      <c r="J65" s="47"/>
      <c r="K65" s="60"/>
      <c r="L65" s="32" t="s">
        <v>47</v>
      </c>
      <c r="M65" s="72"/>
      <c r="N65" s="34"/>
      <c r="O65" s="191"/>
      <c r="P65" s="32"/>
      <c r="Q65" s="32"/>
      <c r="R65" s="32"/>
      <c r="S65" s="32"/>
      <c r="T65" s="32"/>
      <c r="U65" s="32"/>
    </row>
    <row r="66" spans="1:21" x14ac:dyDescent="0.25">
      <c r="A66" s="47"/>
      <c r="B66" s="115">
        <f>B61</f>
        <v>18.046246496495133</v>
      </c>
      <c r="C66" s="49"/>
      <c r="D66" s="145">
        <f>D61</f>
        <v>10244.854136060289</v>
      </c>
      <c r="E66" s="47"/>
      <c r="F66" s="47"/>
      <c r="G66" s="47"/>
      <c r="H66" s="47"/>
      <c r="I66" s="47"/>
      <c r="J66" s="47"/>
      <c r="K66" s="60"/>
      <c r="L66" s="32"/>
      <c r="M66" s="71">
        <f>M61</f>
        <v>18.04624652068998</v>
      </c>
      <c r="N66" s="34"/>
      <c r="O66" s="105">
        <f>O61</f>
        <v>10244.854149795703</v>
      </c>
      <c r="P66" s="32"/>
      <c r="Q66" s="32"/>
      <c r="R66" s="32"/>
      <c r="S66" s="32"/>
      <c r="T66" s="32"/>
      <c r="U66" s="32"/>
    </row>
    <row r="67" spans="1:21" x14ac:dyDescent="0.25">
      <c r="A67" s="47"/>
      <c r="B67" s="49"/>
      <c r="C67" s="49"/>
      <c r="D67" s="47"/>
      <c r="E67" s="47"/>
      <c r="F67" s="47"/>
      <c r="G67" s="47"/>
      <c r="H67" s="47"/>
      <c r="I67" s="47"/>
      <c r="J67" s="47"/>
      <c r="K67" s="60"/>
      <c r="L67" s="32"/>
      <c r="M67" s="34"/>
      <c r="N67" s="34"/>
      <c r="O67" s="32"/>
      <c r="P67" s="32"/>
      <c r="Q67" s="32"/>
      <c r="R67" s="32"/>
      <c r="S67" s="32"/>
      <c r="T67" s="32"/>
      <c r="U67" s="32"/>
    </row>
    <row r="68" spans="1:21" x14ac:dyDescent="0.25">
      <c r="A68" s="47"/>
      <c r="B68" s="252" t="s">
        <v>179</v>
      </c>
      <c r="C68" s="253"/>
      <c r="D68" s="253"/>
      <c r="E68" s="47"/>
      <c r="F68" s="47"/>
      <c r="G68" s="47"/>
      <c r="H68" s="47"/>
      <c r="I68" s="47"/>
      <c r="J68" s="47"/>
      <c r="K68" s="60"/>
      <c r="L68" s="32"/>
      <c r="M68" s="234" t="s">
        <v>179</v>
      </c>
      <c r="N68" s="233"/>
      <c r="O68" s="233"/>
      <c r="P68" s="32"/>
      <c r="Q68" s="32"/>
      <c r="R68" s="32"/>
      <c r="S68" s="32"/>
      <c r="T68" s="32"/>
      <c r="U68" s="32"/>
    </row>
    <row r="69" spans="1:21" x14ac:dyDescent="0.25">
      <c r="A69" s="47"/>
      <c r="B69" s="49"/>
      <c r="C69" s="50" t="s">
        <v>85</v>
      </c>
      <c r="D69" s="313">
        <v>100</v>
      </c>
      <c r="E69" s="47" t="s">
        <v>32</v>
      </c>
      <c r="F69" s="47"/>
      <c r="G69" s="47"/>
      <c r="H69" s="47"/>
      <c r="I69" s="47"/>
      <c r="J69" s="47"/>
      <c r="K69" s="60"/>
      <c r="L69" s="32"/>
      <c r="M69" s="34"/>
      <c r="N69" s="35" t="s">
        <v>85</v>
      </c>
      <c r="O69" s="301">
        <v>100</v>
      </c>
      <c r="P69" s="32" t="s">
        <v>32</v>
      </c>
      <c r="Q69" s="32"/>
      <c r="R69" s="32"/>
      <c r="S69" s="32"/>
      <c r="T69" s="32"/>
      <c r="U69" s="32"/>
    </row>
    <row r="70" spans="1:21" x14ac:dyDescent="0.25">
      <c r="A70" s="47"/>
      <c r="B70" s="169" t="s">
        <v>86</v>
      </c>
      <c r="C70" s="169" t="s">
        <v>87</v>
      </c>
      <c r="D70" s="169" t="s">
        <v>83</v>
      </c>
      <c r="E70" s="47"/>
      <c r="F70" s="47"/>
      <c r="G70" s="47"/>
      <c r="H70" s="47"/>
      <c r="I70" s="47"/>
      <c r="J70" s="47"/>
      <c r="K70" s="60"/>
      <c r="L70" s="32"/>
      <c r="M70" s="152" t="s">
        <v>86</v>
      </c>
      <c r="N70" s="152" t="s">
        <v>87</v>
      </c>
      <c r="O70" s="152" t="s">
        <v>83</v>
      </c>
      <c r="P70" s="32"/>
      <c r="Q70" s="32"/>
      <c r="R70" s="32"/>
      <c r="S70" s="32"/>
      <c r="T70" s="32"/>
      <c r="U70" s="32"/>
    </row>
    <row r="71" spans="1:21" ht="16.5" x14ac:dyDescent="0.3">
      <c r="A71" s="47" t="s">
        <v>183</v>
      </c>
      <c r="B71" s="115"/>
      <c r="C71" s="49"/>
      <c r="D71" s="47"/>
      <c r="E71" s="47"/>
      <c r="F71" s="47"/>
      <c r="G71" s="47"/>
      <c r="H71" s="47"/>
      <c r="I71" s="47"/>
      <c r="J71" s="47"/>
      <c r="K71" s="60"/>
      <c r="L71" s="32" t="s">
        <v>183</v>
      </c>
      <c r="M71" s="71"/>
      <c r="N71" s="34"/>
      <c r="O71" s="32"/>
      <c r="P71" s="32"/>
      <c r="Q71" s="32"/>
      <c r="R71" s="32"/>
      <c r="S71" s="32"/>
      <c r="T71" s="32"/>
      <c r="U71" s="32"/>
    </row>
    <row r="72" spans="1:21" ht="16.5" x14ac:dyDescent="0.3">
      <c r="A72" s="47" t="s">
        <v>44</v>
      </c>
      <c r="B72" s="115"/>
      <c r="C72" s="49"/>
      <c r="D72" s="47"/>
      <c r="E72" s="47"/>
      <c r="F72" s="47"/>
      <c r="G72" s="47"/>
      <c r="H72" s="47"/>
      <c r="I72" s="47"/>
      <c r="J72" s="47"/>
      <c r="K72" s="60"/>
      <c r="L72" s="32" t="s">
        <v>44</v>
      </c>
      <c r="M72" s="71"/>
      <c r="N72" s="34"/>
      <c r="O72" s="32"/>
      <c r="P72" s="32"/>
      <c r="Q72" s="32"/>
      <c r="R72" s="32"/>
      <c r="S72" s="32"/>
      <c r="T72" s="32"/>
      <c r="U72" s="32"/>
    </row>
    <row r="73" spans="1:21" ht="16.5" x14ac:dyDescent="0.3">
      <c r="A73" s="47" t="s">
        <v>69</v>
      </c>
      <c r="B73" s="115">
        <f>E48</f>
        <v>77.151688238359412</v>
      </c>
      <c r="C73" s="202">
        <f>IF(ROUNDDOWN(D69,-2)=ROUNDUP(D69,-2),VLOOKUP(D69,Enthalpy,10),VLOOKUP(ROUNDDOWN(D69,-2),Enthalpy,10)+(D69-ROUNDDOWN(D69,-2))/(ROUNDUP(D69,-2)-ROUNDDOWN(D69,-2))*(VLOOKUP(ROUNDUP(D69,-2),Enthalpy,10)-VLOOKUP(ROUNDDOWN(D69,-2),Enthalpy,10)))</f>
        <v>492.8</v>
      </c>
      <c r="D73" s="145">
        <f>(B73*C73)</f>
        <v>38020.351963863519</v>
      </c>
      <c r="E73" s="47"/>
      <c r="F73" s="47"/>
      <c r="G73" s="47"/>
      <c r="H73" s="47"/>
      <c r="I73" s="47"/>
      <c r="J73" s="47"/>
      <c r="K73" s="60"/>
      <c r="L73" s="32" t="s">
        <v>69</v>
      </c>
      <c r="M73" s="71">
        <f>P48</f>
        <v>77.151688364893744</v>
      </c>
      <c r="N73" s="186">
        <f>IF(ROUNDDOWN(O69,-2)=ROUNDUP(O69,-2),VLOOKUP(O69,Enthalpy,10),VLOOKUP(ROUNDDOWN(O69,-2),Enthalpy,10)+(O69-ROUNDDOWN(O69,-2))/(ROUNDUP(O69,-2)-ROUNDDOWN(O69,-2))*(VLOOKUP(ROUNDUP(O69,-2),Enthalpy,10)-VLOOKUP(ROUNDDOWN(O69,-2),Enthalpy,10)))</f>
        <v>492.8</v>
      </c>
      <c r="O73" s="105">
        <f>(M73*N73)</f>
        <v>38020.35202621964</v>
      </c>
      <c r="P73" s="32"/>
      <c r="Q73" s="32"/>
      <c r="R73" s="32"/>
      <c r="S73" s="32"/>
      <c r="T73" s="32"/>
      <c r="U73" s="32"/>
    </row>
    <row r="74" spans="1:21" ht="16.5" x14ac:dyDescent="0.3">
      <c r="A74" s="47" t="s">
        <v>68</v>
      </c>
      <c r="B74" s="115">
        <f>((78.993/21.0075)*B73)</f>
        <v>290.10797615198021</v>
      </c>
      <c r="C74" s="202">
        <f>IF(ROUNDDOWN(D69,-2)=ROUNDUP(D69,-2),VLOOKUP(D69,Enthalpy,9),VLOOKUP(ROUNDDOWN(D69,-2),Enthalpy,9)+(D69-ROUNDDOWN(D69,-2))/(ROUNDUP(D69,-2)-ROUNDDOWN(D69,-2))*(VLOOKUP(ROUNDUP(D69,-2),Enthalpy,9)-VLOOKUP(ROUNDDOWN(D69,-2),Enthalpy,9)))</f>
        <v>474.1</v>
      </c>
      <c r="D74" s="145">
        <f>(B74*C74)</f>
        <v>137540.19149365384</v>
      </c>
      <c r="E74" s="47"/>
      <c r="F74" s="47"/>
      <c r="G74" s="47"/>
      <c r="H74" s="47"/>
      <c r="I74" s="47"/>
      <c r="J74" s="47"/>
      <c r="K74" s="60"/>
      <c r="L74" s="32" t="s">
        <v>68</v>
      </c>
      <c r="M74" s="71">
        <f>((78.993/21.0075)*M73)</f>
        <v>290.10797662777821</v>
      </c>
      <c r="N74" s="186">
        <f>IF(ROUNDDOWN(O69,-2)=ROUNDUP(O69,-2),VLOOKUP(O69,Enthalpy,9),VLOOKUP(ROUNDDOWN(O69,-2),Enthalpy,9)+(O69-ROUNDDOWN(O69,-2))/(ROUNDUP(O69,-2)-ROUNDDOWN(O69,-2))*(VLOOKUP(ROUNDUP(O69,-2),Enthalpy,9)-VLOOKUP(ROUNDDOWN(O69,-2),Enthalpy,9)))</f>
        <v>474.1</v>
      </c>
      <c r="O74" s="105">
        <f>(M74*N74)</f>
        <v>137540.19171922965</v>
      </c>
      <c r="P74" s="32"/>
      <c r="Q74" s="32"/>
      <c r="R74" s="32"/>
      <c r="S74" s="32"/>
      <c r="T74" s="32"/>
      <c r="U74" s="32"/>
    </row>
    <row r="75" spans="1:21" ht="16.5" x14ac:dyDescent="0.3">
      <c r="A75" s="47" t="s">
        <v>47</v>
      </c>
      <c r="B75" s="116">
        <f>'Example 22-1 Conditions'!G12*(B73 + B74)</f>
        <v>10.907612032393086</v>
      </c>
      <c r="C75" s="202">
        <f>IF(ROUNDDOWN(D69,-2)=ROUNDUP(D69,-2),VLOOKUP(D69,Enthalpy,15),VLOOKUP(ROUNDDOWN(D69,-2),Enthalpy,15)+(D69-ROUNDDOWN(D69,-2))/(ROUNDUP(D69,-2)-ROUNDDOWN(D69,-2))*(VLOOKUP(ROUNDUP(D69,-2),Enthalpy,15)-VLOOKUP(ROUNDDOWN(D69,-2),Enthalpy,15)))</f>
        <v>557.1</v>
      </c>
      <c r="D75" s="207">
        <f>(B75*C75)</f>
        <v>6076.6306632461883</v>
      </c>
      <c r="E75" s="47"/>
      <c r="F75" s="47"/>
      <c r="G75" s="47"/>
      <c r="H75" s="47"/>
      <c r="I75" s="47"/>
      <c r="J75" s="47"/>
      <c r="K75" s="60"/>
      <c r="L75" s="32" t="s">
        <v>47</v>
      </c>
      <c r="M75" s="72">
        <f>'Example 22-1 Conditions'!R12*(M73 + M74)</f>
        <v>10.907612050282358</v>
      </c>
      <c r="N75" s="186">
        <f>IF(ROUNDDOWN(O69,-2)=ROUNDUP(O69,-2),VLOOKUP(O69,Enthalpy,15),VLOOKUP(ROUNDDOWN(O69,-2),Enthalpy,15)+(O69-ROUNDDOWN(O69,-2))/(ROUNDUP(O69,-2)-ROUNDDOWN(O69,-2))*(VLOOKUP(ROUNDUP(O69,-2),Enthalpy,15)-VLOOKUP(ROUNDDOWN(O69,-2),Enthalpy,15)))</f>
        <v>557.1</v>
      </c>
      <c r="O75" s="191">
        <f>(M75*N75)</f>
        <v>6076.6306732123021</v>
      </c>
      <c r="P75" s="32"/>
      <c r="Q75" s="32"/>
      <c r="R75" s="32"/>
      <c r="S75" s="32"/>
      <c r="T75" s="32"/>
      <c r="U75" s="32"/>
    </row>
    <row r="76" spans="1:21" x14ac:dyDescent="0.25">
      <c r="A76" s="47"/>
      <c r="B76" s="115">
        <f>SUM(B73:B75)</f>
        <v>378.1672764227327</v>
      </c>
      <c r="C76" s="49"/>
      <c r="D76" s="145">
        <f>SUM(D73:D75)</f>
        <v>181637.17412076352</v>
      </c>
      <c r="E76" s="47"/>
      <c r="F76" s="47"/>
      <c r="G76" s="47"/>
      <c r="H76" s="47"/>
      <c r="I76" s="47"/>
      <c r="J76" s="47"/>
      <c r="K76" s="60"/>
      <c r="L76" s="32"/>
      <c r="M76" s="71">
        <f>SUM(M73:M75)</f>
        <v>378.16727704295431</v>
      </c>
      <c r="N76" s="34"/>
      <c r="O76" s="105">
        <f>SUM(O73:O75)</f>
        <v>181637.17441866157</v>
      </c>
      <c r="P76" s="32"/>
      <c r="Q76" s="32"/>
      <c r="R76" s="32"/>
      <c r="S76" s="32"/>
      <c r="T76" s="32"/>
      <c r="U76" s="32"/>
    </row>
    <row r="77" spans="1:21" x14ac:dyDescent="0.25">
      <c r="A77" s="47"/>
      <c r="B77" s="49"/>
      <c r="C77" s="49"/>
      <c r="D77" s="47"/>
      <c r="E77" s="47"/>
      <c r="F77" s="47"/>
      <c r="G77" s="47"/>
      <c r="H77" s="47"/>
      <c r="I77" s="47"/>
      <c r="J77" s="47"/>
      <c r="K77" s="60"/>
      <c r="L77" s="32"/>
      <c r="M77" s="34"/>
      <c r="N77" s="34"/>
      <c r="O77" s="32"/>
      <c r="P77" s="32"/>
      <c r="Q77" s="32"/>
      <c r="R77" s="32"/>
      <c r="S77" s="32"/>
      <c r="T77" s="32"/>
      <c r="U77" s="32"/>
    </row>
    <row r="78" spans="1:21" x14ac:dyDescent="0.25">
      <c r="A78" s="47"/>
      <c r="B78" s="252" t="s">
        <v>184</v>
      </c>
      <c r="C78" s="253"/>
      <c r="D78" s="253"/>
      <c r="E78" s="47"/>
      <c r="F78" s="47"/>
      <c r="G78" s="47"/>
      <c r="H78" s="47"/>
      <c r="I78" s="47"/>
      <c r="J78" s="47"/>
      <c r="K78" s="60"/>
      <c r="L78" s="32"/>
      <c r="M78" s="234" t="s">
        <v>184</v>
      </c>
      <c r="N78" s="233"/>
      <c r="O78" s="233"/>
      <c r="P78" s="32"/>
      <c r="Q78" s="32"/>
      <c r="R78" s="32"/>
      <c r="S78" s="32"/>
      <c r="T78" s="32"/>
      <c r="U78" s="32"/>
    </row>
    <row r="79" spans="1:21" x14ac:dyDescent="0.25">
      <c r="A79" s="47"/>
      <c r="B79" s="49"/>
      <c r="C79" s="314" t="s">
        <v>85</v>
      </c>
      <c r="D79" s="315">
        <f>F26</f>
        <v>1000</v>
      </c>
      <c r="E79" s="47" t="s">
        <v>32</v>
      </c>
      <c r="F79" s="47"/>
      <c r="G79" s="47"/>
      <c r="H79" s="47"/>
      <c r="I79" s="47"/>
      <c r="J79" s="47"/>
      <c r="K79" s="60"/>
      <c r="L79" s="32"/>
      <c r="M79" s="34"/>
      <c r="N79" s="302" t="s">
        <v>85</v>
      </c>
      <c r="O79" s="303">
        <f>Q26</f>
        <v>1000</v>
      </c>
      <c r="P79" s="32" t="s">
        <v>32</v>
      </c>
      <c r="Q79" s="32"/>
      <c r="R79" s="32"/>
      <c r="S79" s="32"/>
      <c r="T79" s="32"/>
      <c r="U79" s="32"/>
    </row>
    <row r="80" spans="1:21" x14ac:dyDescent="0.25">
      <c r="A80" s="47"/>
      <c r="B80" s="169" t="s">
        <v>86</v>
      </c>
      <c r="C80" s="169" t="s">
        <v>87</v>
      </c>
      <c r="D80" s="169" t="s">
        <v>83</v>
      </c>
      <c r="E80" s="47"/>
      <c r="F80" s="47"/>
      <c r="G80" s="47"/>
      <c r="H80" s="47"/>
      <c r="I80" s="47"/>
      <c r="J80" s="47"/>
      <c r="K80" s="60"/>
      <c r="L80" s="32"/>
      <c r="M80" s="152" t="s">
        <v>86</v>
      </c>
      <c r="N80" s="152" t="s">
        <v>87</v>
      </c>
      <c r="O80" s="152" t="s">
        <v>83</v>
      </c>
      <c r="P80" s="32"/>
      <c r="Q80" s="32"/>
      <c r="R80" s="32"/>
      <c r="S80" s="32"/>
      <c r="T80" s="32"/>
      <c r="U80" s="32"/>
    </row>
    <row r="81" spans="1:21" ht="16.5" x14ac:dyDescent="0.3">
      <c r="A81" s="47" t="s">
        <v>41</v>
      </c>
      <c r="B81" s="115"/>
      <c r="C81" s="49"/>
      <c r="D81" s="145"/>
      <c r="E81" s="47"/>
      <c r="F81" s="47"/>
      <c r="G81" s="47"/>
      <c r="H81" s="47"/>
      <c r="I81" s="47"/>
      <c r="J81" s="47"/>
      <c r="K81" s="60"/>
      <c r="L81" s="32" t="s">
        <v>41</v>
      </c>
      <c r="M81" s="71"/>
      <c r="N81" s="34"/>
      <c r="O81" s="105"/>
      <c r="P81" s="32"/>
      <c r="Q81" s="32"/>
      <c r="R81" s="32"/>
      <c r="S81" s="32"/>
      <c r="T81" s="32"/>
      <c r="U81" s="32"/>
    </row>
    <row r="82" spans="1:21" ht="16.5" x14ac:dyDescent="0.3">
      <c r="A82" s="47" t="s">
        <v>44</v>
      </c>
      <c r="B82" s="115">
        <f>B16+B61</f>
        <v>177.14187986384755</v>
      </c>
      <c r="C82" s="202">
        <f>IF(ROUNDDOWN(D79,-2)=ROUNDUP(D79,-2),VLOOKUP(D79,Enthalpy,14),VLOOKUP(ROUNDDOWN(D79,-2),Enthalpy,14)+(D79-ROUNDDOWN(D79,-2))/(ROUNDUP(D79,-2)-ROUNDDOWN(D79,-2))*(VLOOKUP(ROUNDUP(D79,-2),Enthalpy,14)-VLOOKUP(ROUNDDOWN(D79,-2),Enthalpy,14)))</f>
        <v>10430</v>
      </c>
      <c r="D82" s="145">
        <f>(B82*C82)</f>
        <v>1847589.80697993</v>
      </c>
      <c r="E82" s="47"/>
      <c r="F82" s="47"/>
      <c r="G82" s="47"/>
      <c r="H82" s="47"/>
      <c r="I82" s="47"/>
      <c r="J82" s="47"/>
      <c r="K82" s="60"/>
      <c r="L82" s="32" t="s">
        <v>44</v>
      </c>
      <c r="M82" s="71">
        <f>M16+M61</f>
        <v>177.14187988804238</v>
      </c>
      <c r="N82" s="186">
        <f>IF(ROUNDDOWN(O79,-2)=ROUNDUP(O79,-2),VLOOKUP(O79,Enthalpy,14),VLOOKUP(ROUNDDOWN(O79,-2),Enthalpy,14)+(O79-ROUNDDOWN(O79,-2))/(ROUNDUP(O79,-2)-ROUNDDOWN(O79,-2))*(VLOOKUP(ROUNDUP(O79,-2),Enthalpy,14)-VLOOKUP(ROUNDDOWN(O79,-2),Enthalpy,14)))</f>
        <v>10430</v>
      </c>
      <c r="O82" s="105">
        <f>(M82*N82)</f>
        <v>1847589.8072322821</v>
      </c>
      <c r="P82" s="32"/>
      <c r="Q82" s="32"/>
      <c r="R82" s="32"/>
      <c r="S82" s="32"/>
      <c r="T82" s="32"/>
      <c r="U82" s="32"/>
    </row>
    <row r="83" spans="1:21" ht="16.5" x14ac:dyDescent="0.3">
      <c r="A83" s="47" t="s">
        <v>212</v>
      </c>
      <c r="B83" s="115"/>
      <c r="C83" s="202"/>
      <c r="D83" s="145"/>
      <c r="E83" s="47"/>
      <c r="F83" s="47"/>
      <c r="G83" s="47"/>
      <c r="H83" s="47"/>
      <c r="I83" s="47"/>
      <c r="J83" s="47"/>
      <c r="K83" s="60"/>
      <c r="L83" s="32" t="s">
        <v>212</v>
      </c>
      <c r="M83" s="71"/>
      <c r="N83" s="186"/>
      <c r="O83" s="105"/>
      <c r="P83" s="32"/>
      <c r="Q83" s="32"/>
      <c r="R83" s="32"/>
      <c r="S83" s="32"/>
      <c r="T83" s="32"/>
      <c r="U83" s="32"/>
    </row>
    <row r="84" spans="1:21" ht="16.5" x14ac:dyDescent="0.3">
      <c r="A84" s="47" t="s">
        <v>47</v>
      </c>
      <c r="B84" s="115">
        <f>B18+B15+2*B61+B75</f>
        <v>381.69088309157331</v>
      </c>
      <c r="C84" s="202">
        <f>IF(ROUNDDOWN(D79,-2)=ROUNDUP(D79,-2),VLOOKUP(D79,Enthalpy,15),VLOOKUP(ROUNDDOWN(D79,-2),Enthalpy,15)+(D79-ROUNDDOWN(D79,-2))/(ROUNDUP(D79,-2)-ROUNDDOWN(D79,-2))*(VLOOKUP(ROUNDUP(D79,-2),Enthalpy,15)-VLOOKUP(ROUNDDOWN(D79,-2),Enthalpy,15)))</f>
        <v>8333</v>
      </c>
      <c r="D84" s="145">
        <f>(B84*C84)</f>
        <v>3180630.1288020806</v>
      </c>
      <c r="E84" s="47"/>
      <c r="F84" s="47"/>
      <c r="G84" s="47"/>
      <c r="H84" s="47"/>
      <c r="I84" s="47"/>
      <c r="J84" s="47"/>
      <c r="K84" s="60"/>
      <c r="L84" s="32" t="s">
        <v>47</v>
      </c>
      <c r="M84" s="71">
        <f>M18+M15+2*M61+M75</f>
        <v>381.69088315785228</v>
      </c>
      <c r="N84" s="186">
        <f>IF(ROUNDDOWN(O79,-2)=ROUNDUP(O79,-2),VLOOKUP(O79,Enthalpy,15),VLOOKUP(ROUNDDOWN(O79,-2),Enthalpy,15)+(O79-ROUNDDOWN(O79,-2))/(ROUNDUP(O79,-2)-ROUNDDOWN(O79,-2))*(VLOOKUP(ROUNDUP(O79,-2),Enthalpy,15)-VLOOKUP(ROUNDDOWN(O79,-2),Enthalpy,15)))</f>
        <v>8333</v>
      </c>
      <c r="O84" s="105">
        <f>(M84*N84)</f>
        <v>3180630.1293543829</v>
      </c>
      <c r="P84" s="32"/>
      <c r="Q84" s="32"/>
      <c r="R84" s="32"/>
      <c r="S84" s="32"/>
      <c r="T84" s="32"/>
      <c r="U84" s="32"/>
    </row>
    <row r="85" spans="1:21" ht="16.5" x14ac:dyDescent="0.3">
      <c r="A85" s="47" t="s">
        <v>67</v>
      </c>
      <c r="B85" s="115">
        <f>B15+B19+6*B21+8*B22+B23</f>
        <v>7.1918540804126039</v>
      </c>
      <c r="C85" s="202">
        <f>IF(ROUNDDOWN(D79,-2)=ROUNDUP(D79,-2),VLOOKUP(D79,Enthalpy,17),VLOOKUP(ROUNDDOWN(D79,-2),Enthalpy,17)+(D79-ROUNDDOWN(D79,-2))/(ROUNDUP(D79,-2)-ROUNDDOWN(D79,-2))*(VLOOKUP(ROUNDUP(D79,-2),Enthalpy,17)-VLOOKUP(ROUNDDOWN(D79,-2),Enthalpy,17)))</f>
        <v>10980</v>
      </c>
      <c r="D85" s="145">
        <f>(B85*C85)</f>
        <v>78966.557802930387</v>
      </c>
      <c r="E85" s="47"/>
      <c r="F85" s="47"/>
      <c r="G85" s="47"/>
      <c r="H85" s="47"/>
      <c r="I85" s="47"/>
      <c r="J85" s="47"/>
      <c r="K85" s="60"/>
      <c r="L85" s="32" t="s">
        <v>67</v>
      </c>
      <c r="M85" s="71">
        <f>M15+M19+6*M21+8*M22+M23</f>
        <v>7.191854116379135</v>
      </c>
      <c r="N85" s="186">
        <f>IF(ROUNDDOWN(O79,-2)=ROUNDUP(O79,-2),VLOOKUP(O79,Enthalpy,17),VLOOKUP(ROUNDDOWN(O79,-2),Enthalpy,17)+(O79-ROUNDDOWN(O79,-2))/(ROUNDUP(O79,-2)-ROUNDDOWN(O79,-2))*(VLOOKUP(ROUNDUP(O79,-2),Enthalpy,17)-VLOOKUP(ROUNDDOWN(O79,-2),Enthalpy,17)))</f>
        <v>10980</v>
      </c>
      <c r="O85" s="105">
        <f>(M85*N85)</f>
        <v>78966.558197842896</v>
      </c>
      <c r="P85" s="32"/>
      <c r="Q85" s="32"/>
      <c r="R85" s="32"/>
      <c r="S85" s="32"/>
      <c r="T85" s="32"/>
      <c r="U85" s="32"/>
    </row>
    <row r="86" spans="1:21" ht="16.5" x14ac:dyDescent="0.3">
      <c r="A86" s="47" t="s">
        <v>68</v>
      </c>
      <c r="B86" s="115">
        <f>B20+B74</f>
        <v>842.08754904607008</v>
      </c>
      <c r="C86" s="202">
        <f>IF(ROUNDDOWN(D79,-2)=ROUNDUP(D79,-2),VLOOKUP(D79,Enthalpy,9),VLOOKUP(ROUNDDOWN(D79,-2),Enthalpy,9)+(D79-ROUNDDOWN(D79,-2))/(ROUNDUP(D79,-2)-ROUNDDOWN(D79,-2))*(VLOOKUP(ROUNDUP(D79,-2),Enthalpy,9)-VLOOKUP(ROUNDDOWN(D79,-2),Enthalpy,9)))</f>
        <v>6932</v>
      </c>
      <c r="D86" s="145">
        <f>(B86*C86)</f>
        <v>5837350.8899873579</v>
      </c>
      <c r="E86" s="47"/>
      <c r="F86" s="47"/>
      <c r="G86" s="47"/>
      <c r="H86" s="47"/>
      <c r="I86" s="47"/>
      <c r="J86" s="47"/>
      <c r="K86" s="60"/>
      <c r="L86" s="32" t="s">
        <v>68</v>
      </c>
      <c r="M86" s="71">
        <f>M20+M74</f>
        <v>842.08754952186814</v>
      </c>
      <c r="N86" s="186">
        <f>IF(ROUNDDOWN(O79,-2)=ROUNDUP(O79,-2),VLOOKUP(O79,Enthalpy,9),VLOOKUP(ROUNDDOWN(O79,-2),Enthalpy,9)+(O79-ROUNDDOWN(O79,-2))/(ROUNDUP(O79,-2)-ROUNDDOWN(O79,-2))*(VLOOKUP(ROUNDUP(O79,-2),Enthalpy,9)-VLOOKUP(ROUNDDOWN(O79,-2),Enthalpy,9)))</f>
        <v>6932</v>
      </c>
      <c r="O86" s="105">
        <f>(M86*N86)</f>
        <v>5837350.8932855902</v>
      </c>
      <c r="P86" s="32"/>
      <c r="Q86" s="32"/>
      <c r="R86" s="32"/>
      <c r="S86" s="32"/>
      <c r="T86" s="32"/>
      <c r="U86" s="32"/>
    </row>
    <row r="87" spans="1:21" ht="16.5" x14ac:dyDescent="0.3">
      <c r="A87" s="47" t="s">
        <v>180</v>
      </c>
      <c r="B87" s="115"/>
      <c r="C87" s="49"/>
      <c r="D87" s="145"/>
      <c r="E87" s="47"/>
      <c r="F87" s="47"/>
      <c r="G87" s="47"/>
      <c r="H87" s="47"/>
      <c r="I87" s="47"/>
      <c r="J87" s="47"/>
      <c r="K87" s="60"/>
      <c r="L87" s="32" t="s">
        <v>180</v>
      </c>
      <c r="M87" s="71"/>
      <c r="N87" s="34"/>
      <c r="O87" s="105"/>
      <c r="P87" s="32"/>
      <c r="Q87" s="32"/>
      <c r="R87" s="32"/>
      <c r="S87" s="32"/>
      <c r="T87" s="32"/>
      <c r="U87" s="32"/>
    </row>
    <row r="88" spans="1:21" ht="16.5" x14ac:dyDescent="0.3">
      <c r="A88" s="47" t="s">
        <v>69</v>
      </c>
      <c r="B88" s="116">
        <f>B73-E44-E46</f>
        <v>25.717229412786473</v>
      </c>
      <c r="C88" s="202">
        <f>IF(ROUNDDOWN(D79,-2)=ROUNDUP(D79,-2),VLOOKUP(D79,Enthalpy,10),VLOOKUP(ROUNDDOWN(D79,-2),Enthalpy,10)+(D79-ROUNDDOWN(D79,-2))/(ROUNDUP(D79,-2)-ROUNDDOWN(D79,-2))*(VLOOKUP(ROUNDUP(D79,-2),Enthalpy,10)-VLOOKUP(ROUNDDOWN(D79,-2),Enthalpy,10)))</f>
        <v>7404</v>
      </c>
      <c r="D88" s="207">
        <f>(B88*C88)</f>
        <v>190410.36657227104</v>
      </c>
      <c r="E88" s="47"/>
      <c r="F88" s="47"/>
      <c r="G88" s="47"/>
      <c r="H88" s="47"/>
      <c r="I88" s="47"/>
      <c r="J88" s="47"/>
      <c r="K88" s="60"/>
      <c r="L88" s="32" t="s">
        <v>69</v>
      </c>
      <c r="M88" s="72">
        <f>M73-P44-P46</f>
        <v>25.717229454964574</v>
      </c>
      <c r="N88" s="186">
        <f>IF(ROUNDDOWN(O79,-2)=ROUNDUP(O79,-2),VLOOKUP(O79,Enthalpy,10),VLOOKUP(ROUNDDOWN(O79,-2),Enthalpy,10)+(O79-ROUNDDOWN(O79,-2))/(ROUNDUP(O79,-2)-ROUNDDOWN(O79,-2))*(VLOOKUP(ROUNDUP(O79,-2),Enthalpy,10)-VLOOKUP(ROUNDDOWN(O79,-2),Enthalpy,10)))</f>
        <v>7404</v>
      </c>
      <c r="O88" s="191">
        <f>(M88*N88)</f>
        <v>190410.3668845577</v>
      </c>
      <c r="P88" s="32"/>
      <c r="Q88" s="32"/>
      <c r="R88" s="32"/>
      <c r="S88" s="32"/>
      <c r="T88" s="32"/>
      <c r="U88" s="32"/>
    </row>
    <row r="89" spans="1:21" x14ac:dyDescent="0.25">
      <c r="A89" s="47"/>
      <c r="B89" s="115">
        <f>SUM(B82:B88)</f>
        <v>1433.8293954946901</v>
      </c>
      <c r="C89" s="49"/>
      <c r="D89" s="145">
        <f>SUM(D82:D88)</f>
        <v>11134947.750144569</v>
      </c>
      <c r="E89" s="47"/>
      <c r="F89" s="47"/>
      <c r="G89" s="47"/>
      <c r="H89" s="47"/>
      <c r="I89" s="47"/>
      <c r="J89" s="47"/>
      <c r="K89" s="60"/>
      <c r="L89" s="32"/>
      <c r="M89" s="71">
        <f>SUM(M82:M88)</f>
        <v>1433.8293961391064</v>
      </c>
      <c r="N89" s="34"/>
      <c r="O89" s="105">
        <f>SUM(O82:O88)</f>
        <v>11134947.754954657</v>
      </c>
      <c r="P89" s="32"/>
      <c r="Q89" s="32"/>
      <c r="R89" s="32"/>
      <c r="S89" s="32"/>
      <c r="T89" s="32"/>
      <c r="U89" s="32"/>
    </row>
    <row r="90" spans="1:21" x14ac:dyDescent="0.25">
      <c r="A90" s="47"/>
      <c r="B90" s="49"/>
      <c r="C90" s="49"/>
      <c r="D90" s="47"/>
      <c r="E90" s="47"/>
      <c r="F90" s="47"/>
      <c r="G90" s="47"/>
      <c r="H90" s="47"/>
      <c r="I90" s="47"/>
      <c r="J90" s="47"/>
      <c r="K90" s="60"/>
      <c r="L90" s="32"/>
      <c r="M90" s="34"/>
      <c r="N90" s="34"/>
      <c r="O90" s="32"/>
      <c r="P90" s="32"/>
      <c r="Q90" s="32"/>
      <c r="R90" s="32"/>
      <c r="S90" s="32"/>
      <c r="T90" s="32"/>
      <c r="U90" s="32"/>
    </row>
    <row r="91" spans="1:21" x14ac:dyDescent="0.25">
      <c r="A91" s="164" t="s">
        <v>164</v>
      </c>
      <c r="B91" s="49"/>
      <c r="C91" s="49"/>
      <c r="D91" s="47"/>
      <c r="E91" s="47"/>
      <c r="F91" s="47"/>
      <c r="G91" s="47"/>
      <c r="H91" s="47"/>
      <c r="I91" s="47"/>
      <c r="J91" s="47"/>
      <c r="K91" s="60"/>
      <c r="L91" s="147" t="s">
        <v>164</v>
      </c>
      <c r="M91" s="34"/>
      <c r="N91" s="34"/>
      <c r="O91" s="32"/>
      <c r="P91" s="32"/>
      <c r="Q91" s="32"/>
      <c r="R91" s="32"/>
      <c r="S91" s="32"/>
      <c r="T91" s="32"/>
      <c r="U91" s="32"/>
    </row>
    <row r="92" spans="1:21" x14ac:dyDescent="0.25">
      <c r="A92" s="316" t="s">
        <v>166</v>
      </c>
      <c r="B92" s="49"/>
      <c r="C92" s="49"/>
      <c r="D92" s="56" t="s">
        <v>242</v>
      </c>
      <c r="E92" s="56" t="s">
        <v>241</v>
      </c>
      <c r="F92" s="56" t="s">
        <v>83</v>
      </c>
      <c r="G92" s="47"/>
      <c r="H92" s="47"/>
      <c r="I92" s="47"/>
      <c r="J92" s="47"/>
      <c r="K92" s="60"/>
      <c r="L92" s="304" t="s">
        <v>166</v>
      </c>
      <c r="M92" s="34"/>
      <c r="N92" s="34"/>
      <c r="O92" s="41" t="s">
        <v>242</v>
      </c>
      <c r="P92" s="41" t="s">
        <v>241</v>
      </c>
      <c r="Q92" s="41" t="s">
        <v>83</v>
      </c>
      <c r="R92" s="32"/>
      <c r="S92" s="32"/>
      <c r="T92" s="32"/>
      <c r="U92" s="32"/>
    </row>
    <row r="93" spans="1:21" x14ac:dyDescent="0.25">
      <c r="A93" s="47"/>
      <c r="B93" s="110" t="str">
        <f>CONCATENATE("Feed @ ",D13,"°F")</f>
        <v>Feed @ 270°F</v>
      </c>
      <c r="C93" s="47"/>
      <c r="D93" s="47"/>
      <c r="E93" s="47"/>
      <c r="F93" s="136">
        <f>D24</f>
        <v>1968141.5604932827</v>
      </c>
      <c r="G93" s="47"/>
      <c r="H93" s="47"/>
      <c r="I93" s="47"/>
      <c r="J93" s="47"/>
      <c r="K93" s="60"/>
      <c r="L93" s="32"/>
      <c r="M93" s="66" t="str">
        <f>CONCATENATE("Feed @ ",O13,"°F")</f>
        <v>Feed @ 270°F</v>
      </c>
      <c r="N93" s="32"/>
      <c r="O93" s="32"/>
      <c r="P93" s="32"/>
      <c r="Q93" s="95">
        <f>O24</f>
        <v>1968141.5605223009</v>
      </c>
      <c r="R93" s="32"/>
      <c r="S93" s="32"/>
      <c r="T93" s="32"/>
      <c r="U93" s="32"/>
    </row>
    <row r="94" spans="1:21" x14ac:dyDescent="0.25">
      <c r="A94" s="47"/>
      <c r="B94" s="110" t="str">
        <f>CONCATENATE("Air @ ",D69,"°F")</f>
        <v>Air @ 100°F</v>
      </c>
      <c r="C94" s="47"/>
      <c r="D94" s="47"/>
      <c r="E94" s="47"/>
      <c r="F94" s="136">
        <f>D76</f>
        <v>181637.17412076352</v>
      </c>
      <c r="G94" s="47"/>
      <c r="H94" s="47"/>
      <c r="I94" s="47"/>
      <c r="J94" s="47"/>
      <c r="K94" s="60"/>
      <c r="L94" s="32"/>
      <c r="M94" s="66" t="str">
        <f>CONCATENATE("Air @ ",O69,"°F")</f>
        <v>Air @ 100°F</v>
      </c>
      <c r="N94" s="32"/>
      <c r="O94" s="32"/>
      <c r="P94" s="32"/>
      <c r="Q94" s="95">
        <f>O76</f>
        <v>181637.17441866157</v>
      </c>
      <c r="R94" s="32"/>
      <c r="S94" s="32"/>
      <c r="T94" s="32"/>
      <c r="U94" s="32"/>
    </row>
    <row r="95" spans="1:21" x14ac:dyDescent="0.25">
      <c r="A95" s="47"/>
      <c r="B95" s="110" t="str">
        <f>CONCATENATE("Fuel @ ",D59,"°F")</f>
        <v>Fuel @ 100°F</v>
      </c>
      <c r="C95" s="47"/>
      <c r="D95" s="47"/>
      <c r="E95" s="47"/>
      <c r="F95" s="136">
        <f>D66</f>
        <v>10244.854136060289</v>
      </c>
      <c r="G95" s="47"/>
      <c r="H95" s="47"/>
      <c r="I95" s="47"/>
      <c r="J95" s="47"/>
      <c r="K95" s="60"/>
      <c r="L95" s="32"/>
      <c r="M95" s="66" t="str">
        <f>CONCATENATE("Fuel @ ",O59,"°F")</f>
        <v>Fuel @ 100°F</v>
      </c>
      <c r="N95" s="32"/>
      <c r="O95" s="32"/>
      <c r="P95" s="32"/>
      <c r="Q95" s="95">
        <f>O66</f>
        <v>10244.854149795703</v>
      </c>
      <c r="R95" s="32"/>
      <c r="S95" s="32"/>
      <c r="T95" s="32"/>
      <c r="U95" s="32"/>
    </row>
    <row r="96" spans="1:21" ht="16.5" x14ac:dyDescent="0.3">
      <c r="A96" s="47"/>
      <c r="B96" s="110" t="s">
        <v>94</v>
      </c>
      <c r="C96" s="49"/>
      <c r="D96" s="52">
        <f>B15</f>
        <v>4.1657161875787834</v>
      </c>
      <c r="E96" s="145">
        <f>-D29</f>
        <v>222700</v>
      </c>
      <c r="F96" s="145">
        <f t="shared" ref="F96:F101" si="2">D96*E96</f>
        <v>927704.99497379502</v>
      </c>
      <c r="G96" s="47"/>
      <c r="H96" s="47"/>
      <c r="I96" s="47"/>
      <c r="J96" s="47"/>
      <c r="K96" s="60"/>
      <c r="L96" s="32"/>
      <c r="M96" s="66" t="s">
        <v>94</v>
      </c>
      <c r="N96" s="34"/>
      <c r="O96" s="39">
        <f>M15</f>
        <v>4.1657162094704576</v>
      </c>
      <c r="P96" s="105">
        <f>-O29</f>
        <v>222700</v>
      </c>
      <c r="Q96" s="105">
        <f t="shared" ref="Q96:Q101" si="3">O96*P96</f>
        <v>927704.99984907091</v>
      </c>
      <c r="R96" s="32"/>
      <c r="S96" s="32"/>
      <c r="T96" s="32"/>
      <c r="U96" s="32"/>
    </row>
    <row r="97" spans="1:21" ht="16.5" x14ac:dyDescent="0.3">
      <c r="A97" s="47"/>
      <c r="B97" s="110" t="s">
        <v>243</v>
      </c>
      <c r="C97" s="49"/>
      <c r="D97" s="52">
        <f>B17</f>
        <v>16.300223504340146</v>
      </c>
      <c r="E97" s="145">
        <f>-D31</f>
        <v>103900</v>
      </c>
      <c r="F97" s="145">
        <f t="shared" si="2"/>
        <v>1693593.2221009412</v>
      </c>
      <c r="G97" s="47"/>
      <c r="H97" s="47"/>
      <c r="I97" s="47"/>
      <c r="J97" s="47"/>
      <c r="K97" s="60"/>
      <c r="L97" s="32"/>
      <c r="M97" s="66" t="s">
        <v>243</v>
      </c>
      <c r="N97" s="34"/>
      <c r="O97" s="39">
        <f>M17</f>
        <v>16.300223504340146</v>
      </c>
      <c r="P97" s="105">
        <f>-O31</f>
        <v>103900</v>
      </c>
      <c r="Q97" s="105">
        <f t="shared" si="3"/>
        <v>1693593.2221009412</v>
      </c>
      <c r="R97" s="32"/>
      <c r="S97" s="32"/>
      <c r="T97" s="32"/>
      <c r="U97" s="32"/>
    </row>
    <row r="98" spans="1:21" ht="16.5" x14ac:dyDescent="0.3">
      <c r="A98" s="47"/>
      <c r="B98" s="110" t="s">
        <v>185</v>
      </c>
      <c r="C98" s="49"/>
      <c r="D98" s="52">
        <f>B23</f>
        <v>0.1252670216542516</v>
      </c>
      <c r="E98" s="145">
        <f>-D33</f>
        <v>136600</v>
      </c>
      <c r="F98" s="145">
        <f t="shared" si="2"/>
        <v>17111.47515797077</v>
      </c>
      <c r="G98" s="47"/>
      <c r="H98" s="47"/>
      <c r="I98" s="47"/>
      <c r="J98" s="47"/>
      <c r="K98" s="60"/>
      <c r="L98" s="32"/>
      <c r="M98" s="66" t="s">
        <v>185</v>
      </c>
      <c r="N98" s="34"/>
      <c r="O98" s="39">
        <f>M23</f>
        <v>0.12526702477485574</v>
      </c>
      <c r="P98" s="105">
        <f>-O33</f>
        <v>136600</v>
      </c>
      <c r="Q98" s="105">
        <f t="shared" si="3"/>
        <v>17111.475584245294</v>
      </c>
      <c r="R98" s="32"/>
      <c r="S98" s="32"/>
      <c r="T98" s="32"/>
      <c r="U98" s="32"/>
    </row>
    <row r="99" spans="1:21" ht="16.5" x14ac:dyDescent="0.3">
      <c r="A99" s="47"/>
      <c r="B99" s="110" t="s">
        <v>244</v>
      </c>
      <c r="C99" s="49"/>
      <c r="D99" s="52">
        <f>B21</f>
        <v>0</v>
      </c>
      <c r="E99" s="145">
        <f>-D35</f>
        <v>808600</v>
      </c>
      <c r="F99" s="145">
        <f t="shared" si="2"/>
        <v>0</v>
      </c>
      <c r="G99" s="47"/>
      <c r="H99" s="47"/>
      <c r="I99" s="47"/>
      <c r="J99" s="47"/>
      <c r="K99" s="60"/>
      <c r="L99" s="32"/>
      <c r="M99" s="66" t="s">
        <v>244</v>
      </c>
      <c r="N99" s="34"/>
      <c r="O99" s="39">
        <f>M21</f>
        <v>0</v>
      </c>
      <c r="P99" s="105">
        <f>-O35</f>
        <v>808600</v>
      </c>
      <c r="Q99" s="105">
        <f t="shared" si="3"/>
        <v>0</v>
      </c>
      <c r="R99" s="32"/>
      <c r="S99" s="32"/>
      <c r="T99" s="32"/>
      <c r="U99" s="32"/>
    </row>
    <row r="100" spans="1:21" ht="16.5" x14ac:dyDescent="0.3">
      <c r="A100" s="47"/>
      <c r="B100" s="110" t="s">
        <v>186</v>
      </c>
      <c r="C100" s="49"/>
      <c r="D100" s="52">
        <f>B22</f>
        <v>0.10225159717377222</v>
      </c>
      <c r="E100" s="145">
        <f>-D37</f>
        <v>1063600</v>
      </c>
      <c r="F100" s="145">
        <f t="shared" si="2"/>
        <v>108754.79875402413</v>
      </c>
      <c r="G100" s="47"/>
      <c r="H100" s="47"/>
      <c r="I100" s="47"/>
      <c r="J100" s="47"/>
      <c r="K100" s="60"/>
      <c r="L100" s="32"/>
      <c r="M100" s="66" t="s">
        <v>186</v>
      </c>
      <c r="N100" s="34"/>
      <c r="O100" s="39">
        <f>M22</f>
        <v>0.102251597174824</v>
      </c>
      <c r="P100" s="105">
        <f>-O37</f>
        <v>1063600</v>
      </c>
      <c r="Q100" s="105">
        <f t="shared" si="3"/>
        <v>108754.79875514281</v>
      </c>
      <c r="R100" s="32"/>
      <c r="S100" s="32"/>
      <c r="T100" s="32"/>
      <c r="U100" s="32"/>
    </row>
    <row r="101" spans="1:21" ht="16.5" x14ac:dyDescent="0.3">
      <c r="A101" s="47"/>
      <c r="B101" s="110" t="s">
        <v>245</v>
      </c>
      <c r="C101" s="49"/>
      <c r="D101" s="52">
        <f>B61</f>
        <v>18.046246496495133</v>
      </c>
      <c r="E101" s="145">
        <f>-D56</f>
        <v>345100</v>
      </c>
      <c r="F101" s="317">
        <f t="shared" si="2"/>
        <v>6227759.6659404701</v>
      </c>
      <c r="G101" s="47"/>
      <c r="H101" s="47"/>
      <c r="I101" s="47"/>
      <c r="J101" s="47"/>
      <c r="K101" s="60"/>
      <c r="L101" s="32"/>
      <c r="M101" s="66" t="s">
        <v>245</v>
      </c>
      <c r="N101" s="34"/>
      <c r="O101" s="39">
        <f>M61</f>
        <v>18.04624652068998</v>
      </c>
      <c r="P101" s="105">
        <f>-O56</f>
        <v>345100</v>
      </c>
      <c r="Q101" s="305">
        <f t="shared" si="3"/>
        <v>6227759.6742901122</v>
      </c>
      <c r="R101" s="32"/>
      <c r="S101" s="32"/>
      <c r="T101" s="32"/>
      <c r="U101" s="32"/>
    </row>
    <row r="102" spans="1:21" x14ac:dyDescent="0.25">
      <c r="A102" s="47"/>
      <c r="B102" s="47"/>
      <c r="C102" s="47"/>
      <c r="D102" s="47"/>
      <c r="E102" s="47"/>
      <c r="F102" s="145">
        <f>SUM(F93:F101)</f>
        <v>11134947.745677307</v>
      </c>
      <c r="G102" s="47"/>
      <c r="H102" s="145"/>
      <c r="I102" s="47"/>
      <c r="J102" s="47"/>
      <c r="K102" s="60"/>
      <c r="L102" s="32"/>
      <c r="M102" s="32"/>
      <c r="N102" s="32"/>
      <c r="O102" s="32"/>
      <c r="P102" s="32"/>
      <c r="Q102" s="105">
        <f>SUM(Q93:Q101)</f>
        <v>11134947.759670271</v>
      </c>
      <c r="R102" s="32"/>
      <c r="S102" s="105"/>
      <c r="T102" s="32"/>
      <c r="U102" s="32"/>
    </row>
    <row r="103" spans="1:21" x14ac:dyDescent="0.25">
      <c r="A103" s="47"/>
      <c r="B103" s="47"/>
      <c r="C103" s="47"/>
      <c r="D103" s="47"/>
      <c r="E103" s="47"/>
      <c r="F103" s="47"/>
      <c r="G103" s="47"/>
      <c r="H103" s="47"/>
      <c r="I103" s="47"/>
      <c r="J103" s="47"/>
      <c r="K103" s="60"/>
      <c r="L103" s="32"/>
      <c r="M103" s="32"/>
      <c r="N103" s="32"/>
      <c r="O103" s="32"/>
      <c r="P103" s="32"/>
      <c r="Q103" s="32"/>
      <c r="R103" s="32"/>
      <c r="S103" s="32"/>
      <c r="T103" s="32"/>
      <c r="U103" s="32"/>
    </row>
    <row r="104" spans="1:21" x14ac:dyDescent="0.25">
      <c r="A104" s="47"/>
      <c r="B104" s="49"/>
      <c r="C104" s="49"/>
      <c r="D104" s="47"/>
      <c r="E104" s="47"/>
      <c r="F104" s="47"/>
      <c r="G104" s="47"/>
      <c r="H104" s="47"/>
      <c r="I104" s="47"/>
      <c r="J104" s="47"/>
      <c r="K104" s="60"/>
      <c r="L104" s="32"/>
      <c r="M104" s="34"/>
      <c r="N104" s="34"/>
      <c r="O104" s="32"/>
      <c r="P104" s="32"/>
      <c r="Q104" s="32"/>
      <c r="R104" s="32"/>
      <c r="S104" s="32"/>
      <c r="T104" s="32"/>
      <c r="U104" s="32"/>
    </row>
    <row r="105" spans="1:21" x14ac:dyDescent="0.25">
      <c r="A105" s="47"/>
      <c r="B105" s="127"/>
      <c r="C105" s="127"/>
      <c r="D105" s="47"/>
      <c r="E105" s="47"/>
      <c r="F105" s="47"/>
      <c r="G105" s="47"/>
      <c r="H105" s="47"/>
      <c r="I105" s="47"/>
      <c r="J105" s="47"/>
      <c r="K105" s="60"/>
      <c r="L105" s="32"/>
      <c r="M105" s="87"/>
      <c r="N105" s="87"/>
      <c r="O105" s="32"/>
      <c r="P105" s="32"/>
      <c r="Q105" s="32"/>
      <c r="R105" s="32"/>
      <c r="S105" s="32"/>
      <c r="T105" s="32"/>
      <c r="U105" s="32"/>
    </row>
    <row r="107" spans="1:21" x14ac:dyDescent="0.25">
      <c r="A107" s="44" t="s">
        <v>307</v>
      </c>
    </row>
    <row r="108" spans="1:21" x14ac:dyDescent="0.25">
      <c r="A108" s="44" t="s">
        <v>303</v>
      </c>
    </row>
    <row r="109" spans="1:21" x14ac:dyDescent="0.25">
      <c r="A109" s="44" t="s">
        <v>304</v>
      </c>
    </row>
    <row r="110" spans="1:21" x14ac:dyDescent="0.25">
      <c r="A110" s="44" t="s">
        <v>305</v>
      </c>
    </row>
    <row r="111" spans="1:21" x14ac:dyDescent="0.25">
      <c r="A111" s="45" t="s">
        <v>306</v>
      </c>
    </row>
  </sheetData>
  <sheetProtection password="E156" sheet="1" objects="1" scenarios="1"/>
  <mergeCells count="10">
    <mergeCell ref="B68:D68"/>
    <mergeCell ref="B78:D78"/>
    <mergeCell ref="M68:O68"/>
    <mergeCell ref="M78:O78"/>
    <mergeCell ref="A9:C10"/>
    <mergeCell ref="L9:N10"/>
    <mergeCell ref="B58:D58"/>
    <mergeCell ref="F53:I59"/>
    <mergeCell ref="Q53:T59"/>
    <mergeCell ref="M58:O58"/>
  </mergeCells>
  <pageMargins left="0.7" right="0.7" top="0.75" bottom="0.75" header="0.51180555555555551" footer="0.51180555555555551"/>
  <pageSetup firstPageNumber="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W46"/>
  <sheetViews>
    <sheetView workbookViewId="0">
      <selection activeCell="H2" sqref="H2"/>
    </sheetView>
  </sheetViews>
  <sheetFormatPr defaultColWidth="8.7109375" defaultRowHeight="15" x14ac:dyDescent="0.25"/>
  <cols>
    <col min="1" max="1" width="8.7109375" style="11"/>
    <col min="2" max="2" width="10.28515625" style="11" customWidth="1"/>
    <col min="3" max="16384" width="8.7109375" style="11"/>
  </cols>
  <sheetData>
    <row r="1" spans="1:23" x14ac:dyDescent="0.25">
      <c r="A1" s="3" t="s">
        <v>298</v>
      </c>
    </row>
    <row r="5" spans="1:23" s="318" customFormat="1" x14ac:dyDescent="0.25">
      <c r="A5" s="17" t="s">
        <v>187</v>
      </c>
      <c r="B5" s="17"/>
      <c r="C5" s="17"/>
      <c r="D5" s="17"/>
      <c r="E5" s="17"/>
      <c r="F5" s="17"/>
      <c r="G5" s="17"/>
      <c r="H5" s="17"/>
      <c r="I5" s="17"/>
      <c r="J5" s="17"/>
      <c r="K5" s="17"/>
      <c r="L5" s="17"/>
      <c r="M5" s="17"/>
      <c r="N5" s="17"/>
      <c r="O5" s="17"/>
    </row>
    <row r="6" spans="1:23" x14ac:dyDescent="0.25">
      <c r="A6" s="17"/>
      <c r="B6" s="319">
        <v>2</v>
      </c>
      <c r="C6" s="319">
        <v>3</v>
      </c>
      <c r="D6" s="319">
        <v>4</v>
      </c>
      <c r="E6" s="319">
        <v>5</v>
      </c>
      <c r="F6" s="319">
        <v>6</v>
      </c>
      <c r="G6" s="319">
        <v>7</v>
      </c>
      <c r="H6" s="319">
        <v>8</v>
      </c>
      <c r="I6" s="319">
        <v>9</v>
      </c>
      <c r="J6" s="319">
        <v>10</v>
      </c>
      <c r="K6" s="319">
        <v>11</v>
      </c>
      <c r="L6" s="319">
        <v>12</v>
      </c>
      <c r="M6" s="319">
        <v>13</v>
      </c>
      <c r="N6" s="319">
        <v>14</v>
      </c>
      <c r="O6" s="319">
        <v>15</v>
      </c>
      <c r="P6" s="319">
        <v>16</v>
      </c>
      <c r="Q6" s="319">
        <v>17</v>
      </c>
      <c r="R6" s="319">
        <v>18</v>
      </c>
      <c r="S6" s="319">
        <v>19</v>
      </c>
      <c r="T6" s="319">
        <v>20</v>
      </c>
      <c r="U6" s="319">
        <v>21</v>
      </c>
      <c r="V6" s="319">
        <v>22</v>
      </c>
      <c r="W6" s="319">
        <v>23</v>
      </c>
    </row>
    <row r="7" spans="1:23" s="323" customFormat="1" ht="17.25" x14ac:dyDescent="0.3">
      <c r="A7" s="320" t="s">
        <v>32</v>
      </c>
      <c r="B7" s="321" t="s">
        <v>190</v>
      </c>
      <c r="C7" s="322" t="s">
        <v>191</v>
      </c>
      <c r="D7" s="322" t="s">
        <v>192</v>
      </c>
      <c r="E7" s="322" t="s">
        <v>193</v>
      </c>
      <c r="F7" s="322" t="s">
        <v>194</v>
      </c>
      <c r="G7" s="322" t="s">
        <v>195</v>
      </c>
      <c r="H7" s="322" t="s">
        <v>196</v>
      </c>
      <c r="I7" s="322" t="s">
        <v>197</v>
      </c>
      <c r="J7" s="322" t="s">
        <v>198</v>
      </c>
      <c r="K7" s="322" t="s">
        <v>179</v>
      </c>
      <c r="L7" s="322" t="s">
        <v>199</v>
      </c>
      <c r="M7" s="322" t="s">
        <v>188</v>
      </c>
      <c r="N7" s="322" t="s">
        <v>200</v>
      </c>
      <c r="O7" s="322" t="s">
        <v>201</v>
      </c>
      <c r="P7" s="321" t="s">
        <v>202</v>
      </c>
      <c r="Q7" s="322" t="s">
        <v>203</v>
      </c>
      <c r="R7" s="322" t="s">
        <v>204</v>
      </c>
      <c r="S7" s="322" t="s">
        <v>205</v>
      </c>
      <c r="T7" s="322" t="s">
        <v>206</v>
      </c>
      <c r="U7" s="322" t="s">
        <v>189</v>
      </c>
      <c r="V7" s="322" t="s">
        <v>207</v>
      </c>
      <c r="W7" s="322" t="s">
        <v>208</v>
      </c>
    </row>
    <row r="8" spans="1:23" x14ac:dyDescent="0.25">
      <c r="A8" s="324">
        <v>32</v>
      </c>
      <c r="B8" s="325">
        <v>0</v>
      </c>
      <c r="C8" s="325">
        <v>0</v>
      </c>
      <c r="D8" s="325">
        <v>0</v>
      </c>
      <c r="E8" s="325">
        <v>0</v>
      </c>
      <c r="F8" s="325">
        <v>0</v>
      </c>
      <c r="G8" s="325">
        <v>0</v>
      </c>
      <c r="H8" s="325">
        <v>0</v>
      </c>
      <c r="I8" s="1">
        <v>0</v>
      </c>
      <c r="J8" s="1">
        <v>0</v>
      </c>
      <c r="K8" s="1">
        <v>0</v>
      </c>
      <c r="L8" s="1">
        <v>0</v>
      </c>
      <c r="M8" s="1">
        <v>0</v>
      </c>
      <c r="N8" s="1">
        <v>0</v>
      </c>
      <c r="O8" s="1">
        <v>0</v>
      </c>
      <c r="P8" s="325">
        <v>0</v>
      </c>
      <c r="Q8" s="325">
        <v>0</v>
      </c>
      <c r="R8" s="326">
        <v>0</v>
      </c>
      <c r="S8" s="326">
        <v>0</v>
      </c>
      <c r="T8" s="326">
        <v>0</v>
      </c>
      <c r="U8" s="326">
        <v>0</v>
      </c>
      <c r="V8" s="326">
        <v>0</v>
      </c>
      <c r="W8" s="326">
        <v>0</v>
      </c>
    </row>
    <row r="9" spans="1:23" x14ac:dyDescent="0.25">
      <c r="A9" s="324">
        <v>60</v>
      </c>
      <c r="B9" s="325">
        <v>231.5</v>
      </c>
      <c r="C9" s="326">
        <v>337.4</v>
      </c>
      <c r="D9" s="326">
        <v>469.6</v>
      </c>
      <c r="E9" s="326">
        <v>630.79999999999995</v>
      </c>
      <c r="F9" s="326">
        <v>615.1</v>
      </c>
      <c r="G9" s="326">
        <v>767.5</v>
      </c>
      <c r="H9" s="326">
        <v>911.3</v>
      </c>
      <c r="I9" s="1">
        <v>195.1</v>
      </c>
      <c r="J9" s="1">
        <v>201.7</v>
      </c>
      <c r="K9" s="1">
        <v>194.5</v>
      </c>
      <c r="L9" s="1">
        <v>196</v>
      </c>
      <c r="M9" s="1">
        <v>195.2</v>
      </c>
      <c r="N9" s="1">
        <v>244.7</v>
      </c>
      <c r="O9" s="1">
        <v>228.5</v>
      </c>
      <c r="P9" s="325">
        <v>215.1</v>
      </c>
      <c r="Q9" s="326">
        <v>263.2</v>
      </c>
      <c r="R9" s="326">
        <v>337.6</v>
      </c>
      <c r="S9" s="326">
        <v>225</v>
      </c>
      <c r="T9" s="326">
        <v>298.5</v>
      </c>
      <c r="U9" s="326">
        <v>271.8</v>
      </c>
      <c r="V9" s="326">
        <v>743.2</v>
      </c>
      <c r="W9" s="326">
        <v>1029</v>
      </c>
    </row>
    <row r="10" spans="1:23" x14ac:dyDescent="0.25">
      <c r="A10" s="324">
        <v>77</v>
      </c>
      <c r="B10" s="325">
        <v>373.5</v>
      </c>
      <c r="C10" s="326">
        <v>548.29999999999995</v>
      </c>
      <c r="D10" s="326">
        <v>764.6</v>
      </c>
      <c r="E10" s="326">
        <v>1027</v>
      </c>
      <c r="F10" s="326">
        <v>1002</v>
      </c>
      <c r="G10" s="326">
        <v>1249</v>
      </c>
      <c r="H10" s="326">
        <v>1483</v>
      </c>
      <c r="I10" s="1">
        <v>313.60000000000002</v>
      </c>
      <c r="J10" s="1">
        <v>325</v>
      </c>
      <c r="K10" s="1">
        <v>312.60000000000002</v>
      </c>
      <c r="L10" s="1">
        <v>314.8</v>
      </c>
      <c r="M10" s="1">
        <v>313.89999999999998</v>
      </c>
      <c r="N10" s="1">
        <v>396</v>
      </c>
      <c r="O10" s="1">
        <v>367.9</v>
      </c>
      <c r="P10" s="325">
        <v>346.7</v>
      </c>
      <c r="Q10" s="326">
        <v>425.7</v>
      </c>
      <c r="R10" s="326">
        <v>547</v>
      </c>
      <c r="S10" s="326">
        <v>361.8</v>
      </c>
      <c r="T10" s="326">
        <v>482.2</v>
      </c>
      <c r="U10" s="326">
        <v>439.5</v>
      </c>
      <c r="V10" s="326">
        <v>1200</v>
      </c>
      <c r="W10" s="326">
        <v>1661</v>
      </c>
    </row>
    <row r="11" spans="1:23" x14ac:dyDescent="0.25">
      <c r="A11" s="324">
        <v>100</v>
      </c>
      <c r="B11" s="325">
        <v>567.70000000000005</v>
      </c>
      <c r="C11" s="326">
        <v>841</v>
      </c>
      <c r="D11" s="326">
        <v>1176</v>
      </c>
      <c r="E11" s="326">
        <v>1577</v>
      </c>
      <c r="F11" s="326">
        <v>1543</v>
      </c>
      <c r="G11" s="326">
        <v>1919</v>
      </c>
      <c r="H11" s="326">
        <v>2280</v>
      </c>
      <c r="I11" s="1">
        <v>474.1</v>
      </c>
      <c r="J11" s="1">
        <v>492.8</v>
      </c>
      <c r="K11" s="1">
        <v>472.6</v>
      </c>
      <c r="L11" s="1">
        <v>475.6</v>
      </c>
      <c r="M11" s="1">
        <v>474.5</v>
      </c>
      <c r="N11" s="1">
        <v>603.6</v>
      </c>
      <c r="O11" s="1">
        <v>557.1</v>
      </c>
      <c r="P11" s="325">
        <v>526</v>
      </c>
      <c r="Q11" s="326">
        <v>648.70000000000005</v>
      </c>
      <c r="R11" s="326">
        <v>835.3</v>
      </c>
      <c r="S11" s="326">
        <v>547.20000000000005</v>
      </c>
      <c r="T11" s="326">
        <v>733.7</v>
      </c>
      <c r="U11" s="326">
        <v>669.5</v>
      </c>
      <c r="V11" s="326">
        <v>1826</v>
      </c>
      <c r="W11" s="326">
        <v>2526</v>
      </c>
    </row>
    <row r="12" spans="1:23" x14ac:dyDescent="0.25">
      <c r="A12" s="324">
        <v>200</v>
      </c>
      <c r="B12" s="325">
        <v>1445</v>
      </c>
      <c r="C12" s="326">
        <v>2216</v>
      </c>
      <c r="D12" s="326">
        <v>3128</v>
      </c>
      <c r="E12" s="326">
        <v>4184</v>
      </c>
      <c r="F12" s="326">
        <v>4117</v>
      </c>
      <c r="G12" s="326">
        <v>5094</v>
      </c>
      <c r="H12" s="326">
        <v>6054</v>
      </c>
      <c r="I12" s="1">
        <v>1173</v>
      </c>
      <c r="J12" s="1">
        <v>1232</v>
      </c>
      <c r="K12" s="1">
        <v>1169</v>
      </c>
      <c r="L12" s="1">
        <v>1173</v>
      </c>
      <c r="M12" s="1">
        <v>1174</v>
      </c>
      <c r="N12" s="1">
        <v>1543</v>
      </c>
      <c r="O12" s="1">
        <v>1388</v>
      </c>
      <c r="P12" s="325">
        <v>1319</v>
      </c>
      <c r="Q12" s="326">
        <v>1657</v>
      </c>
      <c r="R12" s="326">
        <v>2148</v>
      </c>
      <c r="S12" s="326">
        <v>1360</v>
      </c>
      <c r="T12" s="326">
        <v>1862</v>
      </c>
      <c r="U12" s="326">
        <v>1707</v>
      </c>
      <c r="V12" s="326">
        <v>4618</v>
      </c>
      <c r="W12" s="326">
        <v>6384</v>
      </c>
    </row>
    <row r="13" spans="1:23" x14ac:dyDescent="0.25">
      <c r="A13" s="324">
        <v>300</v>
      </c>
      <c r="B13" s="325">
        <v>2394</v>
      </c>
      <c r="C13" s="326">
        <v>3762</v>
      </c>
      <c r="D13" s="326">
        <v>5345</v>
      </c>
      <c r="E13" s="326">
        <v>7132</v>
      </c>
      <c r="F13" s="326">
        <v>7052</v>
      </c>
      <c r="G13" s="326">
        <v>8693</v>
      </c>
      <c r="H13" s="326">
        <v>10340</v>
      </c>
      <c r="I13" s="1">
        <v>1873</v>
      </c>
      <c r="J13" s="1">
        <v>1983</v>
      </c>
      <c r="K13" s="1">
        <v>1870</v>
      </c>
      <c r="L13" s="1">
        <v>1870</v>
      </c>
      <c r="M13" s="1">
        <v>1877</v>
      </c>
      <c r="N13" s="1">
        <v>2534</v>
      </c>
      <c r="O13" s="1">
        <v>2228</v>
      </c>
      <c r="P13" s="325">
        <v>2132</v>
      </c>
      <c r="Q13" s="326">
        <v>2720</v>
      </c>
      <c r="R13" s="326">
        <v>3541</v>
      </c>
      <c r="S13" s="326">
        <v>2188</v>
      </c>
      <c r="T13" s="326">
        <v>3038</v>
      </c>
      <c r="U13" s="326">
        <v>2797</v>
      </c>
      <c r="V13" s="326">
        <v>7501</v>
      </c>
      <c r="W13" s="326">
        <v>10360</v>
      </c>
    </row>
    <row r="14" spans="1:23" x14ac:dyDescent="0.25">
      <c r="A14" s="324">
        <v>400</v>
      </c>
      <c r="B14" s="325">
        <v>3426</v>
      </c>
      <c r="C14" s="326">
        <v>5476</v>
      </c>
      <c r="D14" s="326">
        <v>7817</v>
      </c>
      <c r="E14" s="326">
        <v>10410</v>
      </c>
      <c r="F14" s="326">
        <v>10330</v>
      </c>
      <c r="G14" s="326">
        <v>12700</v>
      </c>
      <c r="H14" s="326">
        <v>15110</v>
      </c>
      <c r="I14" s="1">
        <v>2577</v>
      </c>
      <c r="J14" s="1">
        <v>2742</v>
      </c>
      <c r="K14" s="1">
        <v>2576</v>
      </c>
      <c r="L14" s="1">
        <v>2565</v>
      </c>
      <c r="M14" s="1">
        <v>2584</v>
      </c>
      <c r="N14" s="1">
        <v>3566</v>
      </c>
      <c r="O14" s="1">
        <v>3075</v>
      </c>
      <c r="P14" s="325">
        <v>2960</v>
      </c>
      <c r="Q14" s="326">
        <v>3824</v>
      </c>
      <c r="R14" s="326">
        <v>5000</v>
      </c>
      <c r="S14" s="326">
        <v>3040</v>
      </c>
      <c r="T14" s="326">
        <v>4255</v>
      </c>
      <c r="U14" s="326">
        <v>3930</v>
      </c>
      <c r="V14" s="326">
        <v>10450</v>
      </c>
      <c r="W14" s="326">
        <v>14430</v>
      </c>
    </row>
    <row r="15" spans="1:23" x14ac:dyDescent="0.25">
      <c r="A15" s="324">
        <v>500</v>
      </c>
      <c r="B15" s="325">
        <v>4548</v>
      </c>
      <c r="C15" s="326">
        <v>7352</v>
      </c>
      <c r="D15" s="326">
        <v>10530</v>
      </c>
      <c r="E15" s="326">
        <v>13990</v>
      </c>
      <c r="F15" s="326">
        <v>13920</v>
      </c>
      <c r="G15" s="326">
        <v>17100</v>
      </c>
      <c r="H15" s="326">
        <v>20340</v>
      </c>
      <c r="I15" s="1">
        <v>3285</v>
      </c>
      <c r="J15" s="1">
        <v>3508</v>
      </c>
      <c r="K15" s="1">
        <v>3289</v>
      </c>
      <c r="L15" s="1">
        <v>3261</v>
      </c>
      <c r="M15" s="1">
        <v>3297</v>
      </c>
      <c r="N15" s="1">
        <v>4635</v>
      </c>
      <c r="O15" s="1">
        <v>3928</v>
      </c>
      <c r="P15" s="325">
        <v>3800</v>
      </c>
      <c r="Q15" s="326">
        <v>4961</v>
      </c>
      <c r="R15" s="326">
        <v>6516</v>
      </c>
      <c r="S15" s="326">
        <v>3920</v>
      </c>
      <c r="T15" s="326">
        <v>5506</v>
      </c>
      <c r="U15" s="326">
        <v>5100</v>
      </c>
      <c r="V15" s="326">
        <v>13440</v>
      </c>
      <c r="W15" s="326">
        <v>18580</v>
      </c>
    </row>
    <row r="16" spans="1:23" x14ac:dyDescent="0.25">
      <c r="A16" s="324">
        <v>600</v>
      </c>
      <c r="B16" s="325">
        <v>5759</v>
      </c>
      <c r="C16" s="326">
        <v>9380</v>
      </c>
      <c r="D16" s="326">
        <v>13460</v>
      </c>
      <c r="E16" s="326">
        <v>17850</v>
      </c>
      <c r="F16" s="326">
        <v>17800</v>
      </c>
      <c r="G16" s="326">
        <v>21850</v>
      </c>
      <c r="H16" s="326">
        <v>25990</v>
      </c>
      <c r="I16" s="1">
        <v>3999</v>
      </c>
      <c r="J16" s="1">
        <v>4279</v>
      </c>
      <c r="K16" s="1">
        <v>4010</v>
      </c>
      <c r="L16" s="1">
        <v>3956</v>
      </c>
      <c r="M16" s="1">
        <v>4017</v>
      </c>
      <c r="N16" s="1">
        <v>5736</v>
      </c>
      <c r="O16" s="1">
        <v>4789</v>
      </c>
      <c r="P16" s="325">
        <v>4650</v>
      </c>
      <c r="Q16" s="326">
        <v>6124</v>
      </c>
      <c r="R16" s="326">
        <v>8084</v>
      </c>
      <c r="S16" s="326">
        <v>4831</v>
      </c>
      <c r="T16" s="326">
        <v>6786</v>
      </c>
      <c r="U16" s="326">
        <v>6302</v>
      </c>
      <c r="V16" s="326">
        <v>16460</v>
      </c>
      <c r="W16" s="326">
        <v>22780</v>
      </c>
    </row>
    <row r="17" spans="1:23" x14ac:dyDescent="0.25">
      <c r="A17" s="324">
        <v>700</v>
      </c>
      <c r="B17" s="325">
        <v>7053</v>
      </c>
      <c r="C17" s="326">
        <v>11550</v>
      </c>
      <c r="D17" s="326">
        <v>16590</v>
      </c>
      <c r="E17" s="326">
        <v>21970</v>
      </c>
      <c r="F17" s="326">
        <v>21950</v>
      </c>
      <c r="G17" s="326">
        <v>26940</v>
      </c>
      <c r="H17" s="326">
        <v>32030</v>
      </c>
      <c r="I17" s="1">
        <v>4720</v>
      </c>
      <c r="J17" s="1">
        <v>5053</v>
      </c>
      <c r="K17" s="1">
        <v>4740</v>
      </c>
      <c r="L17" s="1">
        <v>4651</v>
      </c>
      <c r="M17" s="1">
        <v>4746</v>
      </c>
      <c r="N17" s="1">
        <v>6868</v>
      </c>
      <c r="O17" s="1">
        <v>5658</v>
      </c>
      <c r="P17" s="325">
        <v>5507</v>
      </c>
      <c r="Q17" s="326">
        <v>7309</v>
      </c>
      <c r="R17" s="326">
        <v>9699</v>
      </c>
      <c r="S17" s="326">
        <v>5774</v>
      </c>
      <c r="T17" s="326">
        <v>8091</v>
      </c>
      <c r="U17" s="326">
        <v>7531</v>
      </c>
      <c r="V17" s="326">
        <v>19510</v>
      </c>
      <c r="W17" s="326">
        <v>27050</v>
      </c>
    </row>
    <row r="18" spans="1:23" x14ac:dyDescent="0.25">
      <c r="A18" s="324">
        <v>800</v>
      </c>
      <c r="B18" s="325">
        <v>8424</v>
      </c>
      <c r="C18" s="326">
        <v>13850</v>
      </c>
      <c r="D18" s="326">
        <v>19910</v>
      </c>
      <c r="E18" s="326">
        <v>26330</v>
      </c>
      <c r="F18" s="326">
        <v>26330</v>
      </c>
      <c r="G18" s="326">
        <v>32320</v>
      </c>
      <c r="H18" s="326">
        <v>38410</v>
      </c>
      <c r="I18" s="1">
        <v>5449</v>
      </c>
      <c r="J18" s="1">
        <v>5833</v>
      </c>
      <c r="K18" s="1">
        <v>5479</v>
      </c>
      <c r="L18" s="1">
        <v>5346</v>
      </c>
      <c r="M18" s="1">
        <v>5484</v>
      </c>
      <c r="N18" s="1">
        <v>8028</v>
      </c>
      <c r="O18" s="1">
        <v>6537</v>
      </c>
      <c r="P18" s="325">
        <v>6372</v>
      </c>
      <c r="Q18" s="326">
        <v>8515</v>
      </c>
      <c r="R18" s="326">
        <v>11360</v>
      </c>
      <c r="S18" s="326">
        <v>6749</v>
      </c>
      <c r="T18" s="326">
        <v>9417</v>
      </c>
      <c r="U18" s="326">
        <v>8786</v>
      </c>
      <c r="V18" s="326">
        <v>22580</v>
      </c>
      <c r="W18" s="326">
        <v>31380</v>
      </c>
    </row>
    <row r="19" spans="1:23" x14ac:dyDescent="0.25">
      <c r="A19" s="324">
        <v>900</v>
      </c>
      <c r="B19" s="325">
        <v>9867</v>
      </c>
      <c r="C19" s="326">
        <v>16280</v>
      </c>
      <c r="D19" s="326">
        <v>23400</v>
      </c>
      <c r="E19" s="326">
        <v>30900</v>
      </c>
      <c r="F19" s="326">
        <v>30930</v>
      </c>
      <c r="G19" s="326">
        <v>37980</v>
      </c>
      <c r="H19" s="326">
        <v>45110</v>
      </c>
      <c r="I19" s="1">
        <v>6186</v>
      </c>
      <c r="J19" s="1">
        <v>6616</v>
      </c>
      <c r="K19" s="1">
        <v>6227</v>
      </c>
      <c r="L19" s="1">
        <v>6043</v>
      </c>
      <c r="M19" s="1">
        <v>6231</v>
      </c>
      <c r="N19" s="1">
        <v>9215</v>
      </c>
      <c r="O19" s="1">
        <v>7428</v>
      </c>
      <c r="P19" s="325">
        <v>7241</v>
      </c>
      <c r="Q19" s="326">
        <v>9740</v>
      </c>
      <c r="R19" s="326">
        <v>13050</v>
      </c>
      <c r="S19" s="326">
        <v>7753</v>
      </c>
      <c r="T19" s="326">
        <v>10760</v>
      </c>
      <c r="U19" s="326">
        <v>10060</v>
      </c>
      <c r="V19" s="326">
        <v>25670</v>
      </c>
      <c r="W19" s="326">
        <v>35770</v>
      </c>
    </row>
    <row r="20" spans="1:23" x14ac:dyDescent="0.25">
      <c r="A20" s="324">
        <v>1000</v>
      </c>
      <c r="B20" s="325">
        <v>11380</v>
      </c>
      <c r="C20" s="326">
        <v>18830</v>
      </c>
      <c r="D20" s="326">
        <v>27050</v>
      </c>
      <c r="E20" s="326">
        <v>35680</v>
      </c>
      <c r="F20" s="326">
        <v>35740</v>
      </c>
      <c r="G20" s="326">
        <v>43890</v>
      </c>
      <c r="H20" s="326">
        <v>52100</v>
      </c>
      <c r="I20" s="1">
        <v>6932</v>
      </c>
      <c r="J20" s="1">
        <v>7404</v>
      </c>
      <c r="K20" s="1">
        <v>6985</v>
      </c>
      <c r="L20" s="1">
        <v>6741</v>
      </c>
      <c r="M20" s="1">
        <v>6988</v>
      </c>
      <c r="N20" s="1">
        <v>10430</v>
      </c>
      <c r="O20" s="1">
        <v>8333</v>
      </c>
      <c r="P20" s="325">
        <v>8116</v>
      </c>
      <c r="Q20" s="326">
        <v>10980</v>
      </c>
      <c r="R20" s="326">
        <v>14780</v>
      </c>
      <c r="S20" s="326">
        <v>8784</v>
      </c>
      <c r="T20" s="326">
        <v>12120</v>
      </c>
      <c r="U20" s="326">
        <v>11360</v>
      </c>
      <c r="V20" s="326">
        <v>28770</v>
      </c>
      <c r="W20" s="326">
        <v>40210</v>
      </c>
    </row>
    <row r="21" spans="1:23" x14ac:dyDescent="0.25">
      <c r="A21" s="324">
        <v>1100</v>
      </c>
      <c r="B21" s="325">
        <v>12950</v>
      </c>
      <c r="C21" s="326">
        <v>21480</v>
      </c>
      <c r="D21" s="326">
        <v>30850</v>
      </c>
      <c r="E21" s="326">
        <v>40640</v>
      </c>
      <c r="F21" s="326">
        <v>40730</v>
      </c>
      <c r="G21" s="326">
        <v>50030</v>
      </c>
      <c r="H21" s="326">
        <v>59360</v>
      </c>
      <c r="I21" s="1">
        <v>7687</v>
      </c>
      <c r="J21" s="1">
        <v>8197</v>
      </c>
      <c r="K21" s="1">
        <v>7751</v>
      </c>
      <c r="L21" s="1">
        <v>7441</v>
      </c>
      <c r="M21" s="1">
        <v>7754</v>
      </c>
      <c r="N21" s="1">
        <v>11660</v>
      </c>
      <c r="O21" s="1">
        <v>9253</v>
      </c>
      <c r="P21" s="325">
        <v>8996</v>
      </c>
      <c r="Q21" s="326">
        <v>12240</v>
      </c>
      <c r="R21" s="326">
        <v>16550</v>
      </c>
      <c r="S21" s="326">
        <v>9842</v>
      </c>
      <c r="T21" s="326">
        <v>13500</v>
      </c>
      <c r="U21" s="326">
        <v>12670</v>
      </c>
      <c r="V21" s="326">
        <v>31880</v>
      </c>
      <c r="W21" s="326">
        <v>44710</v>
      </c>
    </row>
    <row r="22" spans="1:23" x14ac:dyDescent="0.25">
      <c r="A22" s="324">
        <v>1200</v>
      </c>
      <c r="B22" s="325">
        <v>14570</v>
      </c>
      <c r="C22" s="326">
        <v>24230</v>
      </c>
      <c r="D22" s="326">
        <v>34780</v>
      </c>
      <c r="E22" s="326">
        <v>45780</v>
      </c>
      <c r="F22" s="326">
        <v>45890</v>
      </c>
      <c r="G22" s="326">
        <v>56390</v>
      </c>
      <c r="H22" s="326">
        <v>66860</v>
      </c>
      <c r="I22" s="1">
        <v>8450</v>
      </c>
      <c r="J22" s="1">
        <v>8996</v>
      </c>
      <c r="K22" s="1">
        <v>8526</v>
      </c>
      <c r="L22" s="1">
        <v>8144</v>
      </c>
      <c r="M22" s="1">
        <v>8528</v>
      </c>
      <c r="N22" s="1">
        <v>12920</v>
      </c>
      <c r="O22" s="1">
        <v>10190</v>
      </c>
      <c r="P22" s="325">
        <v>9881</v>
      </c>
      <c r="Q22" s="326">
        <v>13520</v>
      </c>
      <c r="R22" s="326">
        <v>18340</v>
      </c>
      <c r="S22" s="326">
        <v>10920</v>
      </c>
      <c r="T22" s="326">
        <v>14890</v>
      </c>
      <c r="U22" s="326">
        <v>14000</v>
      </c>
      <c r="V22" s="326">
        <v>35010</v>
      </c>
      <c r="W22" s="326">
        <v>49250</v>
      </c>
    </row>
    <row r="23" spans="1:23" x14ac:dyDescent="0.25">
      <c r="A23" s="324">
        <v>1300</v>
      </c>
      <c r="B23" s="325">
        <v>16260</v>
      </c>
      <c r="C23" s="326">
        <v>27080</v>
      </c>
      <c r="D23" s="326">
        <v>38850</v>
      </c>
      <c r="E23" s="326">
        <v>51080</v>
      </c>
      <c r="F23" s="326">
        <v>51220</v>
      </c>
      <c r="G23" s="326">
        <v>62940</v>
      </c>
      <c r="H23" s="326">
        <v>74580</v>
      </c>
      <c r="I23" s="1">
        <v>9221</v>
      </c>
      <c r="J23" s="1">
        <v>9800</v>
      </c>
      <c r="K23" s="1">
        <v>9308</v>
      </c>
      <c r="L23" s="1">
        <v>8850</v>
      </c>
      <c r="M23" s="1">
        <v>9312</v>
      </c>
      <c r="N23" s="1">
        <v>14200</v>
      </c>
      <c r="O23" s="1">
        <v>11150</v>
      </c>
      <c r="P23" s="325">
        <v>10770</v>
      </c>
      <c r="Q23" s="326">
        <v>14810</v>
      </c>
      <c r="R23" s="326">
        <v>20160</v>
      </c>
      <c r="S23" s="326">
        <v>12020</v>
      </c>
      <c r="T23" s="326">
        <v>16280</v>
      </c>
      <c r="U23" s="326">
        <v>15350</v>
      </c>
      <c r="V23" s="326">
        <v>38150</v>
      </c>
      <c r="W23" s="326">
        <v>53850</v>
      </c>
    </row>
    <row r="24" spans="1:23" x14ac:dyDescent="0.25">
      <c r="A24" s="324">
        <v>1400</v>
      </c>
      <c r="B24" s="325">
        <v>17990</v>
      </c>
      <c r="C24" s="326">
        <v>30010</v>
      </c>
      <c r="D24" s="326">
        <v>43030</v>
      </c>
      <c r="E24" s="326">
        <v>56520</v>
      </c>
      <c r="F24" s="326">
        <v>56690</v>
      </c>
      <c r="G24" s="326">
        <v>69690</v>
      </c>
      <c r="H24" s="326">
        <v>82520</v>
      </c>
      <c r="I24" s="1">
        <v>10000</v>
      </c>
      <c r="J24" s="1">
        <v>10610</v>
      </c>
      <c r="K24" s="1">
        <v>10100</v>
      </c>
      <c r="L24" s="1">
        <v>9561</v>
      </c>
      <c r="M24" s="1">
        <v>10100</v>
      </c>
      <c r="N24" s="1">
        <v>15490</v>
      </c>
      <c r="O24" s="1">
        <v>12120</v>
      </c>
      <c r="P24" s="325">
        <v>11660</v>
      </c>
      <c r="Q24" s="326">
        <v>16120</v>
      </c>
      <c r="R24" s="326">
        <v>21990</v>
      </c>
      <c r="S24" s="326">
        <v>13150</v>
      </c>
      <c r="T24" s="326">
        <v>17690</v>
      </c>
      <c r="U24" s="326">
        <v>16700</v>
      </c>
      <c r="V24" s="326">
        <v>41300</v>
      </c>
      <c r="W24" s="326">
        <v>58470</v>
      </c>
    </row>
    <row r="25" spans="1:23" x14ac:dyDescent="0.25">
      <c r="A25" s="324">
        <v>1500</v>
      </c>
      <c r="B25" s="325">
        <v>19770</v>
      </c>
      <c r="C25" s="326">
        <v>33030</v>
      </c>
      <c r="D25" s="326">
        <v>47320</v>
      </c>
      <c r="E25" s="326">
        <v>62110</v>
      </c>
      <c r="F25" s="326">
        <v>62290</v>
      </c>
      <c r="G25" s="326">
        <v>76600</v>
      </c>
      <c r="H25" s="326">
        <v>90640</v>
      </c>
      <c r="I25" s="1">
        <v>10790</v>
      </c>
      <c r="J25" s="1">
        <v>11430</v>
      </c>
      <c r="K25" s="1">
        <v>10900</v>
      </c>
      <c r="L25" s="1">
        <v>10280</v>
      </c>
      <c r="M25" s="1">
        <v>10900</v>
      </c>
      <c r="N25" s="1">
        <v>16800</v>
      </c>
      <c r="O25" s="1">
        <v>13110</v>
      </c>
      <c r="P25" s="325">
        <v>12560</v>
      </c>
      <c r="Q25" s="326">
        <v>17440</v>
      </c>
      <c r="R25" s="326">
        <v>23850</v>
      </c>
      <c r="S25" s="326">
        <v>14290</v>
      </c>
      <c r="T25" s="326">
        <v>19110</v>
      </c>
      <c r="U25" s="326">
        <v>18070</v>
      </c>
      <c r="V25" s="326">
        <v>44460</v>
      </c>
      <c r="W25" s="326">
        <v>63140</v>
      </c>
    </row>
    <row r="26" spans="1:23" x14ac:dyDescent="0.25">
      <c r="A26" s="324">
        <v>1600</v>
      </c>
      <c r="B26" s="325">
        <v>21600</v>
      </c>
      <c r="C26" s="326">
        <v>36120</v>
      </c>
      <c r="D26" s="326">
        <v>51710</v>
      </c>
      <c r="E26" s="326">
        <v>67820</v>
      </c>
      <c r="F26" s="326">
        <v>68030</v>
      </c>
      <c r="G26" s="326">
        <v>83660</v>
      </c>
      <c r="H26" s="326">
        <v>98940</v>
      </c>
      <c r="I26" s="1">
        <v>11580</v>
      </c>
      <c r="J26" s="1">
        <v>12250</v>
      </c>
      <c r="K26" s="1">
        <v>11700</v>
      </c>
      <c r="L26" s="1">
        <v>11000</v>
      </c>
      <c r="M26" s="1">
        <v>11710</v>
      </c>
      <c r="N26" s="1">
        <v>18130</v>
      </c>
      <c r="O26" s="1">
        <v>14120</v>
      </c>
      <c r="P26" s="325">
        <v>13460</v>
      </c>
      <c r="Q26" s="326">
        <v>18770</v>
      </c>
      <c r="R26" s="326">
        <v>25730</v>
      </c>
      <c r="S26" s="326">
        <v>15440</v>
      </c>
      <c r="T26" s="326">
        <v>20530</v>
      </c>
      <c r="U26" s="326">
        <v>19450</v>
      </c>
      <c r="V26" s="326">
        <v>47640</v>
      </c>
      <c r="W26" s="326">
        <v>67820</v>
      </c>
    </row>
    <row r="27" spans="1:23" x14ac:dyDescent="0.25">
      <c r="A27" s="324">
        <v>1700</v>
      </c>
      <c r="B27" s="325">
        <v>23480</v>
      </c>
      <c r="C27" s="326">
        <v>39280</v>
      </c>
      <c r="D27" s="326">
        <v>56200</v>
      </c>
      <c r="E27" s="326">
        <v>73640</v>
      </c>
      <c r="F27" s="326">
        <v>73870</v>
      </c>
      <c r="G27" s="326">
        <v>90870</v>
      </c>
      <c r="H27" s="326">
        <v>107400</v>
      </c>
      <c r="I27" s="1">
        <v>12380</v>
      </c>
      <c r="J27" s="1">
        <v>13080</v>
      </c>
      <c r="K27" s="1">
        <v>12510</v>
      </c>
      <c r="L27" s="1">
        <v>11720</v>
      </c>
      <c r="M27" s="1">
        <v>12520</v>
      </c>
      <c r="N27" s="1">
        <v>19470</v>
      </c>
      <c r="O27" s="1">
        <v>15150</v>
      </c>
      <c r="P27" s="325">
        <v>14370</v>
      </c>
      <c r="Q27" s="326">
        <v>20120</v>
      </c>
      <c r="R27" s="326">
        <v>27630</v>
      </c>
      <c r="S27" s="326">
        <v>16620</v>
      </c>
      <c r="T27" s="326">
        <v>21960</v>
      </c>
      <c r="U27" s="326">
        <v>20840</v>
      </c>
      <c r="V27" s="326">
        <v>50820</v>
      </c>
      <c r="W27" s="326">
        <v>72520</v>
      </c>
    </row>
    <row r="28" spans="1:23" x14ac:dyDescent="0.25">
      <c r="A28" s="324">
        <v>1800</v>
      </c>
      <c r="B28" s="325">
        <v>25400</v>
      </c>
      <c r="C28" s="326">
        <v>42510</v>
      </c>
      <c r="D28" s="326">
        <v>60770</v>
      </c>
      <c r="E28" s="326">
        <v>79580</v>
      </c>
      <c r="F28" s="326">
        <v>79830</v>
      </c>
      <c r="G28" s="326">
        <v>98210</v>
      </c>
      <c r="H28" s="326">
        <v>116000</v>
      </c>
      <c r="I28" s="1">
        <v>13190</v>
      </c>
      <c r="J28" s="1">
        <v>13920</v>
      </c>
      <c r="K28" s="1">
        <v>13320</v>
      </c>
      <c r="L28" s="1">
        <v>12450</v>
      </c>
      <c r="M28" s="1">
        <v>13340</v>
      </c>
      <c r="N28" s="1">
        <v>20820</v>
      </c>
      <c r="O28" s="1">
        <v>16200</v>
      </c>
      <c r="P28" s="325">
        <v>15280</v>
      </c>
      <c r="Q28" s="326">
        <v>21470</v>
      </c>
      <c r="R28" s="326">
        <v>29540</v>
      </c>
      <c r="S28" s="326">
        <v>17810</v>
      </c>
      <c r="T28" s="326">
        <v>23400</v>
      </c>
      <c r="U28" s="326">
        <v>22240</v>
      </c>
      <c r="V28" s="326">
        <v>54020</v>
      </c>
      <c r="W28" s="326">
        <v>77230</v>
      </c>
    </row>
    <row r="29" spans="1:23" x14ac:dyDescent="0.25">
      <c r="A29" s="324">
        <v>1900</v>
      </c>
      <c r="B29" s="325">
        <v>27360</v>
      </c>
      <c r="C29" s="326">
        <v>45800</v>
      </c>
      <c r="D29" s="326">
        <v>65430</v>
      </c>
      <c r="E29" s="326">
        <v>85620</v>
      </c>
      <c r="F29" s="326">
        <v>85880</v>
      </c>
      <c r="G29" s="326">
        <v>105700</v>
      </c>
      <c r="H29" s="326">
        <v>124800</v>
      </c>
      <c r="I29" s="1">
        <v>14000</v>
      </c>
      <c r="J29" s="1">
        <v>14760</v>
      </c>
      <c r="K29" s="1">
        <v>14140</v>
      </c>
      <c r="L29" s="1">
        <v>13190</v>
      </c>
      <c r="M29" s="1">
        <v>14160</v>
      </c>
      <c r="N29" s="1">
        <v>22180</v>
      </c>
      <c r="O29" s="1">
        <v>17270</v>
      </c>
      <c r="P29" s="325">
        <v>16190</v>
      </c>
      <c r="Q29" s="326">
        <v>22840</v>
      </c>
      <c r="R29" s="326">
        <v>31460</v>
      </c>
      <c r="S29" s="326">
        <v>19020</v>
      </c>
      <c r="T29" s="326">
        <v>24840</v>
      </c>
      <c r="U29" s="326">
        <v>23640</v>
      </c>
      <c r="V29" s="326">
        <v>57240</v>
      </c>
      <c r="W29" s="326">
        <v>81940</v>
      </c>
    </row>
    <row r="30" spans="1:23" x14ac:dyDescent="0.25">
      <c r="A30" s="324">
        <v>2000</v>
      </c>
      <c r="B30" s="325">
        <v>29360</v>
      </c>
      <c r="C30" s="326">
        <v>49140</v>
      </c>
      <c r="D30" s="326">
        <v>70160</v>
      </c>
      <c r="E30" s="326">
        <v>91750</v>
      </c>
      <c r="F30" s="326">
        <v>92030</v>
      </c>
      <c r="G30" s="326">
        <v>113200</v>
      </c>
      <c r="H30" s="326">
        <v>133700</v>
      </c>
      <c r="I30" s="1">
        <v>14820</v>
      </c>
      <c r="J30" s="1">
        <v>15610</v>
      </c>
      <c r="K30" s="1">
        <v>14970</v>
      </c>
      <c r="L30" s="1">
        <v>13940</v>
      </c>
      <c r="M30" s="1">
        <v>14990</v>
      </c>
      <c r="N30" s="1">
        <v>23560</v>
      </c>
      <c r="O30" s="1">
        <v>18350</v>
      </c>
      <c r="P30" s="325">
        <v>17110</v>
      </c>
      <c r="Q30" s="326">
        <v>24220</v>
      </c>
      <c r="R30" s="326">
        <v>33390</v>
      </c>
      <c r="S30" s="326">
        <v>20240</v>
      </c>
      <c r="T30" s="326">
        <v>26280</v>
      </c>
      <c r="U30" s="326">
        <v>25050</v>
      </c>
      <c r="V30" s="326">
        <v>60460</v>
      </c>
      <c r="W30" s="326">
        <v>86640</v>
      </c>
    </row>
    <row r="31" spans="1:23" x14ac:dyDescent="0.25">
      <c r="A31" s="324">
        <f>AVERAGE(A30,A32)</f>
        <v>2100</v>
      </c>
      <c r="B31" s="325">
        <f t="shared" ref="B31:W31" si="0">AVERAGE(B30,B32)</f>
        <v>31415</v>
      </c>
      <c r="C31" s="326">
        <f t="shared" si="0"/>
        <v>52560</v>
      </c>
      <c r="D31" s="326">
        <f t="shared" si="0"/>
        <v>74990</v>
      </c>
      <c r="E31" s="326">
        <f t="shared" si="0"/>
        <v>98025</v>
      </c>
      <c r="F31" s="326">
        <f t="shared" si="0"/>
        <v>98315</v>
      </c>
      <c r="G31" s="326">
        <f t="shared" si="0"/>
        <v>120950</v>
      </c>
      <c r="H31" s="326">
        <f t="shared" si="0"/>
        <v>142750</v>
      </c>
      <c r="I31" s="1">
        <f t="shared" si="0"/>
        <v>15650</v>
      </c>
      <c r="J31" s="1">
        <f t="shared" si="0"/>
        <v>16470</v>
      </c>
      <c r="K31" s="1">
        <f t="shared" si="0"/>
        <v>15800</v>
      </c>
      <c r="L31" s="1">
        <f t="shared" si="0"/>
        <v>14690</v>
      </c>
      <c r="M31" s="1">
        <f t="shared" si="0"/>
        <v>15825</v>
      </c>
      <c r="N31" s="1">
        <f t="shared" si="0"/>
        <v>24945</v>
      </c>
      <c r="O31" s="1">
        <f t="shared" si="0"/>
        <v>19460</v>
      </c>
      <c r="P31" s="325">
        <f t="shared" si="0"/>
        <v>18035</v>
      </c>
      <c r="Q31" s="326">
        <f t="shared" si="0"/>
        <v>25610</v>
      </c>
      <c r="R31" s="326">
        <f t="shared" si="0"/>
        <v>35345</v>
      </c>
      <c r="S31" s="326">
        <f t="shared" si="0"/>
        <v>21480</v>
      </c>
      <c r="T31" s="326">
        <f t="shared" si="0"/>
        <v>27735</v>
      </c>
      <c r="U31" s="326">
        <f t="shared" si="0"/>
        <v>26470</v>
      </c>
      <c r="V31" s="326">
        <f t="shared" si="0"/>
        <v>63710</v>
      </c>
      <c r="W31" s="326">
        <f t="shared" si="0"/>
        <v>91340</v>
      </c>
    </row>
    <row r="32" spans="1:23" x14ac:dyDescent="0.25">
      <c r="A32" s="327">
        <v>2200</v>
      </c>
      <c r="B32" s="325">
        <v>33470</v>
      </c>
      <c r="C32" s="326">
        <v>55980</v>
      </c>
      <c r="D32" s="326">
        <v>79820</v>
      </c>
      <c r="E32" s="326">
        <v>104300</v>
      </c>
      <c r="F32" s="326">
        <v>104600</v>
      </c>
      <c r="G32" s="326">
        <v>128700</v>
      </c>
      <c r="H32" s="326">
        <v>151800</v>
      </c>
      <c r="I32" s="1">
        <v>16480</v>
      </c>
      <c r="J32" s="1">
        <v>17330</v>
      </c>
      <c r="K32" s="1">
        <v>16630</v>
      </c>
      <c r="L32" s="1">
        <v>15440</v>
      </c>
      <c r="M32" s="1">
        <v>16660</v>
      </c>
      <c r="N32" s="1">
        <v>26330</v>
      </c>
      <c r="O32" s="1">
        <v>20570</v>
      </c>
      <c r="P32" s="325">
        <v>18960</v>
      </c>
      <c r="Q32" s="326">
        <v>27000</v>
      </c>
      <c r="R32" s="326">
        <v>37300</v>
      </c>
      <c r="S32" s="326">
        <v>22720</v>
      </c>
      <c r="T32" s="326">
        <v>29190</v>
      </c>
      <c r="U32" s="326">
        <v>27890</v>
      </c>
      <c r="V32" s="326">
        <v>66960</v>
      </c>
      <c r="W32" s="326">
        <v>96040</v>
      </c>
    </row>
    <row r="33" spans="1:23" x14ac:dyDescent="0.25">
      <c r="A33" s="324">
        <f t="shared" ref="A33:W33" si="1">AVERAGE(A32,A34)</f>
        <v>2300</v>
      </c>
      <c r="B33" s="325">
        <f t="shared" si="1"/>
        <v>35600</v>
      </c>
      <c r="C33" s="326">
        <f t="shared" si="1"/>
        <v>59490</v>
      </c>
      <c r="D33" s="326">
        <f t="shared" si="1"/>
        <v>84770</v>
      </c>
      <c r="E33" s="326">
        <f t="shared" si="1"/>
        <v>110700</v>
      </c>
      <c r="F33" s="326">
        <f t="shared" si="1"/>
        <v>111000</v>
      </c>
      <c r="G33" s="326">
        <f t="shared" si="1"/>
        <v>136650</v>
      </c>
      <c r="H33" s="326">
        <f t="shared" si="1"/>
        <v>161100</v>
      </c>
      <c r="I33" s="1">
        <f t="shared" si="1"/>
        <v>17315</v>
      </c>
      <c r="J33" s="1">
        <f t="shared" si="1"/>
        <v>18200</v>
      </c>
      <c r="K33" s="1">
        <f t="shared" si="1"/>
        <v>17470</v>
      </c>
      <c r="L33" s="1">
        <f t="shared" si="1"/>
        <v>16210</v>
      </c>
      <c r="M33" s="1">
        <f t="shared" si="1"/>
        <v>17505</v>
      </c>
      <c r="N33" s="1">
        <f t="shared" si="1"/>
        <v>27735</v>
      </c>
      <c r="O33" s="1">
        <f t="shared" si="1"/>
        <v>21715</v>
      </c>
      <c r="P33" s="325">
        <f t="shared" si="1"/>
        <v>19895</v>
      </c>
      <c r="Q33" s="326">
        <f t="shared" si="1"/>
        <v>28410</v>
      </c>
      <c r="R33" s="326">
        <f t="shared" si="1"/>
        <v>39270</v>
      </c>
      <c r="S33" s="326">
        <f t="shared" si="1"/>
        <v>23990</v>
      </c>
      <c r="T33" s="326">
        <f t="shared" si="1"/>
        <v>30650</v>
      </c>
      <c r="U33" s="326">
        <f t="shared" si="1"/>
        <v>29325</v>
      </c>
      <c r="V33" s="326">
        <f t="shared" si="1"/>
        <v>70230</v>
      </c>
      <c r="W33" s="326">
        <f t="shared" si="1"/>
        <v>100720</v>
      </c>
    </row>
    <row r="34" spans="1:23" x14ac:dyDescent="0.25">
      <c r="A34" s="327">
        <v>2400</v>
      </c>
      <c r="B34" s="325">
        <v>37730</v>
      </c>
      <c r="C34" s="326">
        <v>63000</v>
      </c>
      <c r="D34" s="326">
        <v>89720</v>
      </c>
      <c r="E34" s="326">
        <v>117100</v>
      </c>
      <c r="F34" s="326">
        <v>117400</v>
      </c>
      <c r="G34" s="326">
        <v>144600</v>
      </c>
      <c r="H34" s="326">
        <v>170400</v>
      </c>
      <c r="I34" s="1">
        <v>18150</v>
      </c>
      <c r="J34" s="1">
        <v>19070</v>
      </c>
      <c r="K34" s="1">
        <v>18310</v>
      </c>
      <c r="L34" s="1">
        <v>16980</v>
      </c>
      <c r="M34" s="1">
        <v>18350</v>
      </c>
      <c r="N34" s="1">
        <v>29140</v>
      </c>
      <c r="O34" s="1">
        <v>22860</v>
      </c>
      <c r="P34" s="325">
        <v>20830</v>
      </c>
      <c r="Q34" s="326">
        <v>29820</v>
      </c>
      <c r="R34" s="326">
        <v>41240</v>
      </c>
      <c r="S34" s="326">
        <v>25260</v>
      </c>
      <c r="T34" s="326">
        <v>32110</v>
      </c>
      <c r="U34" s="326">
        <v>30760</v>
      </c>
      <c r="V34" s="326">
        <v>73500</v>
      </c>
      <c r="W34" s="326">
        <v>105400</v>
      </c>
    </row>
    <row r="35" spans="1:23" x14ac:dyDescent="0.25">
      <c r="A35" s="324">
        <f t="shared" ref="A35:W35" si="2">AVERAGE(A34,A36)</f>
        <v>2500</v>
      </c>
      <c r="B35" s="325">
        <f t="shared" si="2"/>
        <v>39920</v>
      </c>
      <c r="C35" s="326">
        <f t="shared" si="2"/>
        <v>66590</v>
      </c>
      <c r="D35" s="326">
        <f t="shared" si="2"/>
        <v>94775</v>
      </c>
      <c r="E35" s="326">
        <f t="shared" si="2"/>
        <v>123600</v>
      </c>
      <c r="F35" s="326">
        <f t="shared" si="2"/>
        <v>123950</v>
      </c>
      <c r="G35" s="326">
        <f t="shared" si="2"/>
        <v>152750</v>
      </c>
      <c r="H35" s="326">
        <f t="shared" si="2"/>
        <v>179950</v>
      </c>
      <c r="I35" s="1">
        <f t="shared" si="2"/>
        <v>18990</v>
      </c>
      <c r="J35" s="1">
        <f t="shared" si="2"/>
        <v>19950</v>
      </c>
      <c r="K35" s="1">
        <f t="shared" si="2"/>
        <v>19160</v>
      </c>
      <c r="L35" s="1">
        <f t="shared" si="2"/>
        <v>17760</v>
      </c>
      <c r="M35" s="1">
        <f t="shared" si="2"/>
        <v>19200</v>
      </c>
      <c r="N35" s="1">
        <f t="shared" si="2"/>
        <v>30555</v>
      </c>
      <c r="O35" s="1">
        <f t="shared" si="2"/>
        <v>24030</v>
      </c>
      <c r="P35" s="325">
        <f t="shared" si="2"/>
        <v>21770</v>
      </c>
      <c r="Q35" s="326">
        <f t="shared" si="2"/>
        <v>31240</v>
      </c>
      <c r="R35" s="326">
        <f t="shared" si="2"/>
        <v>43220</v>
      </c>
      <c r="S35" s="326">
        <f t="shared" si="2"/>
        <v>26555</v>
      </c>
      <c r="T35" s="326">
        <f t="shared" si="2"/>
        <v>33575</v>
      </c>
      <c r="U35" s="326">
        <f t="shared" si="2"/>
        <v>32200</v>
      </c>
      <c r="V35" s="326">
        <f t="shared" si="2"/>
        <v>76795</v>
      </c>
      <c r="W35" s="326">
        <f t="shared" si="2"/>
        <v>110050</v>
      </c>
    </row>
    <row r="36" spans="1:23" x14ac:dyDescent="0.25">
      <c r="A36" s="327">
        <v>2600</v>
      </c>
      <c r="B36" s="325">
        <v>42110</v>
      </c>
      <c r="C36" s="326">
        <v>70180</v>
      </c>
      <c r="D36" s="326">
        <v>99830</v>
      </c>
      <c r="E36" s="326">
        <v>130100</v>
      </c>
      <c r="F36" s="326">
        <v>130500</v>
      </c>
      <c r="G36" s="326">
        <v>160900</v>
      </c>
      <c r="H36" s="326">
        <v>189500</v>
      </c>
      <c r="I36" s="1">
        <v>19830</v>
      </c>
      <c r="J36" s="1">
        <v>20830</v>
      </c>
      <c r="K36" s="1">
        <v>20010</v>
      </c>
      <c r="L36" s="1">
        <v>18540</v>
      </c>
      <c r="M36" s="1">
        <v>20050</v>
      </c>
      <c r="N36" s="1">
        <v>31970</v>
      </c>
      <c r="O36" s="1">
        <v>25200</v>
      </c>
      <c r="P36" s="325">
        <v>22710</v>
      </c>
      <c r="Q36" s="326">
        <v>32660</v>
      </c>
      <c r="R36" s="326">
        <v>45200</v>
      </c>
      <c r="S36" s="326">
        <v>27850</v>
      </c>
      <c r="T36" s="326">
        <v>35040</v>
      </c>
      <c r="U36" s="326">
        <v>33640</v>
      </c>
      <c r="V36" s="326">
        <v>80090</v>
      </c>
      <c r="W36" s="326">
        <v>114700</v>
      </c>
    </row>
    <row r="37" spans="1:23" x14ac:dyDescent="0.25">
      <c r="A37" s="324">
        <f t="shared" ref="A37:W37" si="3">AVERAGE(A36,A38)</f>
        <v>2700</v>
      </c>
      <c r="B37" s="325">
        <f t="shared" si="3"/>
        <v>44355</v>
      </c>
      <c r="C37" s="326">
        <f t="shared" si="3"/>
        <v>73830</v>
      </c>
      <c r="D37" s="326">
        <f t="shared" si="3"/>
        <v>104965</v>
      </c>
      <c r="E37" s="326">
        <f t="shared" si="3"/>
        <v>136750</v>
      </c>
      <c r="F37" s="326">
        <f t="shared" si="3"/>
        <v>137150</v>
      </c>
      <c r="G37" s="326">
        <f t="shared" si="3"/>
        <v>169200</v>
      </c>
      <c r="H37" s="326">
        <f t="shared" si="3"/>
        <v>199250</v>
      </c>
      <c r="I37" s="1">
        <f t="shared" si="3"/>
        <v>20680</v>
      </c>
      <c r="J37" s="1">
        <f t="shared" si="3"/>
        <v>21725</v>
      </c>
      <c r="K37" s="1">
        <f t="shared" si="3"/>
        <v>20865</v>
      </c>
      <c r="L37" s="1">
        <f t="shared" si="3"/>
        <v>19335</v>
      </c>
      <c r="M37" s="1">
        <f t="shared" si="3"/>
        <v>20905</v>
      </c>
      <c r="N37" s="1">
        <f t="shared" si="3"/>
        <v>33400</v>
      </c>
      <c r="O37" s="1">
        <f t="shared" si="3"/>
        <v>26400</v>
      </c>
      <c r="P37" s="325">
        <f t="shared" si="3"/>
        <v>23660</v>
      </c>
      <c r="Q37" s="326">
        <f t="shared" si="3"/>
        <v>34090</v>
      </c>
      <c r="R37" s="326">
        <f t="shared" si="3"/>
        <v>47200</v>
      </c>
      <c r="S37" s="326">
        <f t="shared" si="3"/>
        <v>29165</v>
      </c>
      <c r="T37" s="326">
        <f t="shared" si="3"/>
        <v>36510</v>
      </c>
      <c r="U37" s="326">
        <f t="shared" si="3"/>
        <v>35090</v>
      </c>
      <c r="V37" s="326">
        <f t="shared" si="3"/>
        <v>83405</v>
      </c>
      <c r="W37" s="326">
        <f t="shared" si="3"/>
        <v>119350</v>
      </c>
    </row>
    <row r="38" spans="1:23" x14ac:dyDescent="0.25">
      <c r="A38" s="327">
        <v>2800</v>
      </c>
      <c r="B38" s="325">
        <v>46600</v>
      </c>
      <c r="C38" s="326">
        <v>77480</v>
      </c>
      <c r="D38" s="326">
        <v>110100</v>
      </c>
      <c r="E38" s="326">
        <v>143400</v>
      </c>
      <c r="F38" s="326">
        <v>143800</v>
      </c>
      <c r="G38" s="326">
        <v>177500</v>
      </c>
      <c r="H38" s="326">
        <v>209000</v>
      </c>
      <c r="I38" s="1">
        <v>21530</v>
      </c>
      <c r="J38" s="1">
        <v>22620</v>
      </c>
      <c r="K38" s="1">
        <v>21720</v>
      </c>
      <c r="L38" s="1">
        <v>20130</v>
      </c>
      <c r="M38" s="1">
        <v>21760</v>
      </c>
      <c r="N38" s="1">
        <v>34830</v>
      </c>
      <c r="O38" s="1">
        <v>27600</v>
      </c>
      <c r="P38" s="325">
        <v>24610</v>
      </c>
      <c r="Q38" s="326">
        <v>35520</v>
      </c>
      <c r="R38" s="326">
        <v>49200</v>
      </c>
      <c r="S38" s="326">
        <v>30480</v>
      </c>
      <c r="T38" s="326">
        <v>37980</v>
      </c>
      <c r="U38" s="326">
        <v>36540</v>
      </c>
      <c r="V38" s="326">
        <v>86720</v>
      </c>
      <c r="W38" s="326">
        <v>124000</v>
      </c>
    </row>
    <row r="39" spans="1:23" x14ac:dyDescent="0.25">
      <c r="A39" s="324">
        <f t="shared" ref="A39:W39" si="4">AVERAGE(A38,A40)</f>
        <v>2900</v>
      </c>
      <c r="B39" s="325">
        <f t="shared" si="4"/>
        <v>48900</v>
      </c>
      <c r="C39" s="326">
        <f t="shared" si="4"/>
        <v>81195</v>
      </c>
      <c r="D39" s="326">
        <f t="shared" si="4"/>
        <v>115350</v>
      </c>
      <c r="E39" s="326">
        <f t="shared" si="4"/>
        <v>150150</v>
      </c>
      <c r="F39" s="326">
        <f t="shared" si="4"/>
        <v>150550</v>
      </c>
      <c r="G39" s="326">
        <f t="shared" si="4"/>
        <v>186000</v>
      </c>
      <c r="H39" s="326">
        <f t="shared" si="4"/>
        <v>218950</v>
      </c>
      <c r="I39" s="1">
        <f t="shared" si="4"/>
        <v>22385</v>
      </c>
      <c r="J39" s="1">
        <f t="shared" si="4"/>
        <v>23520</v>
      </c>
      <c r="K39" s="1">
        <f t="shared" si="4"/>
        <v>22575</v>
      </c>
      <c r="L39" s="1">
        <f t="shared" si="4"/>
        <v>20935</v>
      </c>
      <c r="M39" s="1">
        <f t="shared" si="4"/>
        <v>22625</v>
      </c>
      <c r="N39" s="1">
        <f t="shared" si="4"/>
        <v>36270</v>
      </c>
      <c r="O39" s="1">
        <f t="shared" si="4"/>
        <v>28820</v>
      </c>
      <c r="P39" s="325">
        <f t="shared" si="4"/>
        <v>25565</v>
      </c>
      <c r="Q39" s="326">
        <f t="shared" si="4"/>
        <v>36965</v>
      </c>
      <c r="R39" s="326">
        <f t="shared" si="4"/>
        <v>51210</v>
      </c>
      <c r="S39" s="326">
        <f t="shared" si="4"/>
        <v>31820</v>
      </c>
      <c r="T39" s="326">
        <f t="shared" si="4"/>
        <v>39455</v>
      </c>
      <c r="U39" s="326">
        <f t="shared" si="4"/>
        <v>38000</v>
      </c>
      <c r="V39" s="326">
        <f t="shared" si="4"/>
        <v>90050</v>
      </c>
      <c r="W39" s="326">
        <f t="shared" si="4"/>
        <v>128600</v>
      </c>
    </row>
    <row r="40" spans="1:23" x14ac:dyDescent="0.25">
      <c r="A40" s="327">
        <v>3000</v>
      </c>
      <c r="B40" s="325">
        <v>51200</v>
      </c>
      <c r="C40" s="326">
        <v>84910</v>
      </c>
      <c r="D40" s="326">
        <v>120600</v>
      </c>
      <c r="E40" s="326">
        <v>156900</v>
      </c>
      <c r="F40" s="326">
        <v>157300</v>
      </c>
      <c r="G40" s="326">
        <v>194500</v>
      </c>
      <c r="H40" s="326">
        <v>228900</v>
      </c>
      <c r="I40" s="1">
        <v>23240</v>
      </c>
      <c r="J40" s="1">
        <v>24420</v>
      </c>
      <c r="K40" s="1">
        <v>23430</v>
      </c>
      <c r="L40" s="1">
        <v>21740</v>
      </c>
      <c r="M40" s="1">
        <v>23490</v>
      </c>
      <c r="N40" s="1">
        <v>37710</v>
      </c>
      <c r="O40" s="1">
        <v>30040</v>
      </c>
      <c r="P40" s="325">
        <v>26520</v>
      </c>
      <c r="Q40" s="326">
        <v>38410</v>
      </c>
      <c r="R40" s="326">
        <v>53220</v>
      </c>
      <c r="S40" s="326">
        <v>33160</v>
      </c>
      <c r="T40" s="326">
        <v>40930</v>
      </c>
      <c r="U40" s="326">
        <v>39460</v>
      </c>
      <c r="V40" s="326">
        <v>93380</v>
      </c>
      <c r="W40" s="326">
        <v>133200</v>
      </c>
    </row>
    <row r="42" spans="1:23" x14ac:dyDescent="0.25">
      <c r="A42" s="328" t="s">
        <v>307</v>
      </c>
    </row>
    <row r="43" spans="1:23" x14ac:dyDescent="0.25">
      <c r="A43" s="328" t="s">
        <v>303</v>
      </c>
    </row>
    <row r="44" spans="1:23" x14ac:dyDescent="0.25">
      <c r="A44" s="328" t="s">
        <v>304</v>
      </c>
    </row>
    <row r="45" spans="1:23" x14ac:dyDescent="0.25">
      <c r="A45" s="328" t="s">
        <v>305</v>
      </c>
    </row>
    <row r="46" spans="1:23" x14ac:dyDescent="0.25">
      <c r="A46" s="329" t="s">
        <v>306</v>
      </c>
    </row>
  </sheetData>
  <sheetProtection password="E156" sheet="1" objects="1" scenarios="1"/>
  <pageMargins left="0.7" right="0.7" top="0.75" bottom="0.75"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21"/>
  <sheetViews>
    <sheetView tabSelected="1" zoomScaleNormal="100" workbookViewId="0">
      <selection activeCell="K10" sqref="K10"/>
    </sheetView>
  </sheetViews>
  <sheetFormatPr defaultColWidth="8.7109375" defaultRowHeight="15" x14ac:dyDescent="0.25"/>
  <cols>
    <col min="1" max="1" width="6.7109375" style="11" customWidth="1"/>
    <col min="2" max="2" width="2" style="11" customWidth="1"/>
    <col min="3" max="3" width="15.85546875" style="11" customWidth="1"/>
    <col min="4" max="4" width="8.7109375" style="11"/>
    <col min="5" max="5" width="11.7109375" style="11" customWidth="1"/>
    <col min="6" max="6" width="2" style="11" customWidth="1"/>
    <col min="7" max="7" width="29.7109375" style="11" customWidth="1"/>
    <col min="8" max="16384" width="8.7109375" style="11"/>
  </cols>
  <sheetData>
    <row r="1" spans="1:8" x14ac:dyDescent="0.25">
      <c r="A1" s="3" t="s">
        <v>298</v>
      </c>
    </row>
    <row r="5" spans="1:8" ht="12.75" customHeight="1" x14ac:dyDescent="0.25">
      <c r="A5" s="12" t="s">
        <v>0</v>
      </c>
      <c r="B5" s="12"/>
      <c r="C5" s="12"/>
      <c r="D5" s="12"/>
      <c r="E5" s="12"/>
      <c r="F5" s="12"/>
      <c r="G5" s="12"/>
    </row>
    <row r="6" spans="1:8" ht="12.75" customHeight="1" x14ac:dyDescent="0.25">
      <c r="A6" s="13" t="s">
        <v>1</v>
      </c>
      <c r="B6" s="13"/>
      <c r="C6" s="13"/>
      <c r="D6" s="13"/>
      <c r="E6" s="13"/>
      <c r="F6" s="13"/>
      <c r="G6" s="13"/>
    </row>
    <row r="7" spans="1:8" ht="52.5" x14ac:dyDescent="0.25">
      <c r="A7" s="14" t="s">
        <v>2</v>
      </c>
      <c r="B7" s="14" t="s">
        <v>3</v>
      </c>
      <c r="C7" s="15" t="s">
        <v>4</v>
      </c>
      <c r="D7" s="16"/>
      <c r="E7" s="14" t="s">
        <v>5</v>
      </c>
      <c r="F7" s="14" t="s">
        <v>3</v>
      </c>
      <c r="G7" s="15" t="s">
        <v>6</v>
      </c>
      <c r="H7" s="17"/>
    </row>
    <row r="8" spans="1:8" ht="81" x14ac:dyDescent="0.25">
      <c r="A8" s="14" t="s">
        <v>7</v>
      </c>
      <c r="B8" s="14" t="s">
        <v>3</v>
      </c>
      <c r="C8" s="15" t="s">
        <v>8</v>
      </c>
      <c r="D8" s="16"/>
      <c r="E8" s="14" t="s">
        <v>9</v>
      </c>
      <c r="F8" s="14" t="s">
        <v>3</v>
      </c>
      <c r="G8" s="15" t="s">
        <v>10</v>
      </c>
    </row>
    <row r="9" spans="1:8" ht="51" x14ac:dyDescent="0.25">
      <c r="A9" s="14" t="s">
        <v>11</v>
      </c>
      <c r="B9" s="14" t="s">
        <v>3</v>
      </c>
      <c r="C9" s="15" t="s">
        <v>12</v>
      </c>
      <c r="D9" s="16"/>
      <c r="E9" s="18" t="s">
        <v>13</v>
      </c>
      <c r="F9" s="14" t="s">
        <v>3</v>
      </c>
      <c r="G9" s="15" t="s">
        <v>14</v>
      </c>
    </row>
    <row r="10" spans="1:8" ht="76.5" x14ac:dyDescent="0.25">
      <c r="A10" s="14" t="s">
        <v>15</v>
      </c>
      <c r="B10" s="14" t="s">
        <v>3</v>
      </c>
      <c r="C10" s="15" t="s">
        <v>16</v>
      </c>
      <c r="E10" s="18" t="s">
        <v>17</v>
      </c>
      <c r="F10" s="14" t="s">
        <v>3</v>
      </c>
      <c r="G10" s="15" t="s">
        <v>18</v>
      </c>
    </row>
    <row r="11" spans="1:8" ht="25.5" x14ac:dyDescent="0.25">
      <c r="A11" s="14" t="s">
        <v>19</v>
      </c>
      <c r="B11" s="14" t="s">
        <v>3</v>
      </c>
      <c r="C11" s="15" t="s">
        <v>20</v>
      </c>
    </row>
    <row r="12" spans="1:8" x14ac:dyDescent="0.25">
      <c r="A12" s="14"/>
      <c r="B12" s="14"/>
      <c r="C12" s="15"/>
    </row>
    <row r="13" spans="1:8" ht="15" customHeight="1" x14ac:dyDescent="0.25">
      <c r="A13" s="14" t="s">
        <v>21</v>
      </c>
      <c r="B13" s="14"/>
      <c r="C13" s="19" t="s">
        <v>22</v>
      </c>
      <c r="D13" s="19"/>
      <c r="E13" s="19"/>
      <c r="F13" s="19"/>
      <c r="G13" s="19"/>
    </row>
    <row r="14" spans="1:8" ht="15" customHeight="1" x14ac:dyDescent="0.25">
      <c r="A14" s="14"/>
      <c r="B14" s="14"/>
      <c r="C14" s="19" t="s">
        <v>23</v>
      </c>
      <c r="D14" s="19"/>
      <c r="E14" s="19"/>
      <c r="F14" s="19"/>
      <c r="G14" s="19"/>
    </row>
    <row r="15" spans="1:8" ht="20.25" customHeight="1" x14ac:dyDescent="0.25">
      <c r="A15" s="14"/>
      <c r="B15" s="14"/>
      <c r="C15" s="19" t="s">
        <v>24</v>
      </c>
      <c r="D15" s="19" t="s">
        <v>25</v>
      </c>
      <c r="E15" s="19" t="s">
        <v>25</v>
      </c>
      <c r="F15" s="19" t="s">
        <v>25</v>
      </c>
      <c r="G15" s="19" t="s">
        <v>25</v>
      </c>
    </row>
    <row r="16" spans="1:8" ht="15" customHeight="1" x14ac:dyDescent="0.25">
      <c r="C16" s="20" t="s">
        <v>230</v>
      </c>
      <c r="D16" s="20" t="s">
        <v>25</v>
      </c>
      <c r="E16" s="20" t="s">
        <v>25</v>
      </c>
      <c r="F16" s="20" t="s">
        <v>25</v>
      </c>
      <c r="G16" s="20" t="s">
        <v>25</v>
      </c>
    </row>
    <row r="18" spans="1:3" x14ac:dyDescent="0.25">
      <c r="A18" s="21" t="s">
        <v>26</v>
      </c>
      <c r="B18" s="17"/>
      <c r="C18" s="17"/>
    </row>
    <row r="19" spans="1:3" x14ac:dyDescent="0.25">
      <c r="A19" s="22"/>
      <c r="B19" s="23" t="s">
        <v>3</v>
      </c>
      <c r="C19" s="24" t="s">
        <v>27</v>
      </c>
    </row>
    <row r="20" spans="1:3" x14ac:dyDescent="0.25">
      <c r="A20" s="25"/>
      <c r="B20" s="23" t="s">
        <v>3</v>
      </c>
      <c r="C20" s="24" t="s">
        <v>28</v>
      </c>
    </row>
    <row r="21" spans="1:3" x14ac:dyDescent="0.25">
      <c r="A21" s="26"/>
      <c r="B21" s="23" t="s">
        <v>3</v>
      </c>
      <c r="C21" s="24" t="s">
        <v>296</v>
      </c>
    </row>
  </sheetData>
  <sheetProtection password="E156" sheet="1" objects="1" scenarios="1"/>
  <mergeCells count="6">
    <mergeCell ref="C16:G16"/>
    <mergeCell ref="A5:G5"/>
    <mergeCell ref="A6:G6"/>
    <mergeCell ref="C13:G13"/>
    <mergeCell ref="C14:G14"/>
    <mergeCell ref="C15:G15"/>
  </mergeCells>
  <pageMargins left="0.7" right="0.7" top="0.75" bottom="0.75" header="0.51180555555555551" footer="0.51180555555555551"/>
  <pageSetup firstPageNumber="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36"/>
  <sheetViews>
    <sheetView zoomScaleNormal="100" workbookViewId="0">
      <selection activeCell="B26" sqref="B26"/>
    </sheetView>
  </sheetViews>
  <sheetFormatPr defaultColWidth="8.7109375" defaultRowHeight="15" x14ac:dyDescent="0.25"/>
  <cols>
    <col min="1" max="1" width="21.28515625" style="28" customWidth="1"/>
    <col min="2" max="2" width="11" style="28" customWidth="1"/>
    <col min="3" max="3" width="10.7109375" style="28" customWidth="1"/>
    <col min="4" max="5" width="8.7109375" style="28"/>
    <col min="6" max="6" width="18.5703125" style="28" customWidth="1"/>
    <col min="7" max="7" width="22.42578125" style="28" customWidth="1"/>
    <col min="8" max="10" width="8.28515625" style="28" customWidth="1"/>
    <col min="11" max="11" width="8.7109375" style="28"/>
    <col min="12" max="12" width="21.140625" style="28" customWidth="1"/>
    <col min="13" max="13" width="11" style="28" customWidth="1"/>
    <col min="14" max="14" width="10.85546875" style="28" customWidth="1"/>
    <col min="15" max="16" width="8.7109375" style="28"/>
    <col min="17" max="17" width="18.42578125" style="28" customWidth="1"/>
    <col min="18" max="18" width="22.42578125" style="28" customWidth="1"/>
    <col min="19" max="21" width="8.42578125" style="28" customWidth="1"/>
    <col min="22" max="16384" width="8.7109375" style="28"/>
  </cols>
  <sheetData>
    <row r="1" spans="1:21" x14ac:dyDescent="0.25">
      <c r="A1" s="27" t="s">
        <v>298</v>
      </c>
    </row>
    <row r="5" spans="1:21" ht="20.25" x14ac:dyDescent="0.3">
      <c r="A5" s="46" t="s">
        <v>29</v>
      </c>
      <c r="B5" s="47"/>
      <c r="C5" s="47"/>
      <c r="D5" s="47"/>
      <c r="E5" s="47"/>
      <c r="F5" s="47"/>
      <c r="G5" s="47"/>
      <c r="H5" s="47"/>
      <c r="I5" s="47"/>
      <c r="J5" s="47"/>
      <c r="L5" s="29" t="s">
        <v>30</v>
      </c>
      <c r="M5" s="30"/>
      <c r="N5" s="30"/>
      <c r="O5" s="30"/>
      <c r="P5" s="30"/>
      <c r="Q5" s="30"/>
      <c r="R5" s="30"/>
      <c r="S5" s="31"/>
      <c r="T5" s="31"/>
      <c r="U5" s="31"/>
    </row>
    <row r="6" spans="1:21" x14ac:dyDescent="0.25">
      <c r="A6" s="47"/>
      <c r="B6" s="47"/>
      <c r="C6" s="47"/>
      <c r="D6" s="47"/>
      <c r="E6" s="47"/>
      <c r="F6" s="47"/>
      <c r="G6" s="47"/>
      <c r="H6" s="47"/>
      <c r="I6" s="47"/>
      <c r="J6" s="47"/>
      <c r="L6" s="32"/>
      <c r="M6" s="32"/>
      <c r="N6" s="32"/>
      <c r="O6" s="32"/>
      <c r="P6" s="32"/>
      <c r="Q6" s="32"/>
      <c r="R6" s="32"/>
      <c r="S6" s="32"/>
      <c r="T6" s="32"/>
      <c r="U6" s="32"/>
    </row>
    <row r="7" spans="1:21" x14ac:dyDescent="0.25">
      <c r="A7" s="47" t="s">
        <v>31</v>
      </c>
      <c r="B7" s="48">
        <v>110</v>
      </c>
      <c r="C7" s="47" t="s">
        <v>32</v>
      </c>
      <c r="D7" s="47"/>
      <c r="E7" s="47" t="s">
        <v>33</v>
      </c>
      <c r="F7" s="47"/>
      <c r="G7" s="48">
        <v>100</v>
      </c>
      <c r="H7" s="47" t="s">
        <v>32</v>
      </c>
      <c r="I7" s="47"/>
      <c r="J7" s="47"/>
      <c r="L7" s="32" t="s">
        <v>31</v>
      </c>
      <c r="M7" s="33">
        <v>110</v>
      </c>
      <c r="N7" s="32" t="s">
        <v>32</v>
      </c>
      <c r="O7" s="32"/>
      <c r="P7" s="32" t="s">
        <v>33</v>
      </c>
      <c r="Q7" s="32"/>
      <c r="R7" s="33">
        <v>100</v>
      </c>
      <c r="S7" s="32" t="s">
        <v>32</v>
      </c>
      <c r="T7" s="32"/>
      <c r="U7" s="32"/>
    </row>
    <row r="8" spans="1:21" x14ac:dyDescent="0.25">
      <c r="A8" s="47"/>
      <c r="B8" s="48">
        <v>20.7</v>
      </c>
      <c r="C8" s="47" t="s">
        <v>34</v>
      </c>
      <c r="D8" s="47"/>
      <c r="E8" s="47" t="s">
        <v>35</v>
      </c>
      <c r="F8" s="47"/>
      <c r="G8" s="48">
        <v>75</v>
      </c>
      <c r="H8" s="47" t="s">
        <v>32</v>
      </c>
      <c r="I8" s="47"/>
      <c r="J8" s="47"/>
      <c r="L8" s="32"/>
      <c r="M8" s="33">
        <v>20.7</v>
      </c>
      <c r="N8" s="32" t="s">
        <v>34</v>
      </c>
      <c r="O8" s="32"/>
      <c r="P8" s="32" t="s">
        <v>35</v>
      </c>
      <c r="Q8" s="32"/>
      <c r="R8" s="33">
        <v>75</v>
      </c>
      <c r="S8" s="32" t="s">
        <v>32</v>
      </c>
      <c r="T8" s="32"/>
      <c r="U8" s="32"/>
    </row>
    <row r="9" spans="1:21" x14ac:dyDescent="0.25">
      <c r="A9" s="47" t="s">
        <v>36</v>
      </c>
      <c r="B9" s="48">
        <v>100</v>
      </c>
      <c r="C9" s="49" t="s">
        <v>37</v>
      </c>
      <c r="D9" s="47"/>
      <c r="E9" s="47" t="s">
        <v>38</v>
      </c>
      <c r="F9" s="47"/>
      <c r="G9" s="48">
        <v>180</v>
      </c>
      <c r="H9" s="47" t="s">
        <v>32</v>
      </c>
      <c r="I9" s="47"/>
      <c r="J9" s="47"/>
      <c r="L9" s="32" t="s">
        <v>36</v>
      </c>
      <c r="M9" s="33">
        <v>100</v>
      </c>
      <c r="N9" s="34" t="s">
        <v>37</v>
      </c>
      <c r="O9" s="32"/>
      <c r="P9" s="32" t="s">
        <v>38</v>
      </c>
      <c r="Q9" s="32"/>
      <c r="R9" s="33">
        <v>180</v>
      </c>
      <c r="S9" s="32" t="s">
        <v>32</v>
      </c>
      <c r="T9" s="32"/>
      <c r="U9" s="32"/>
    </row>
    <row r="10" spans="1:21" x14ac:dyDescent="0.25">
      <c r="A10" s="47"/>
      <c r="B10" s="49"/>
      <c r="C10" s="49"/>
      <c r="D10" s="47"/>
      <c r="E10" s="47"/>
      <c r="F10" s="47"/>
      <c r="G10" s="47"/>
      <c r="H10" s="47"/>
      <c r="I10" s="47"/>
      <c r="J10" s="47"/>
      <c r="L10" s="32"/>
      <c r="M10" s="34"/>
      <c r="N10" s="34"/>
      <c r="O10" s="32"/>
      <c r="P10" s="32"/>
      <c r="Q10" s="32"/>
      <c r="R10" s="32"/>
      <c r="S10" s="32"/>
      <c r="T10" s="32"/>
      <c r="U10" s="32"/>
    </row>
    <row r="11" spans="1:21" x14ac:dyDescent="0.25">
      <c r="A11" s="47"/>
      <c r="B11" s="50" t="s">
        <v>39</v>
      </c>
      <c r="C11" s="50" t="s">
        <v>40</v>
      </c>
      <c r="D11" s="47"/>
      <c r="E11" s="47"/>
      <c r="F11" s="47"/>
      <c r="G11" s="47"/>
      <c r="H11" s="47"/>
      <c r="I11" s="47"/>
      <c r="J11" s="47"/>
      <c r="L11" s="32"/>
      <c r="M11" s="35" t="s">
        <v>39</v>
      </c>
      <c r="N11" s="35" t="s">
        <v>40</v>
      </c>
      <c r="O11" s="32"/>
      <c r="P11" s="32"/>
      <c r="Q11" s="32"/>
      <c r="R11" s="32"/>
      <c r="S11" s="32"/>
      <c r="T11" s="32"/>
      <c r="U11" s="32"/>
    </row>
    <row r="12" spans="1:21" ht="16.5" x14ac:dyDescent="0.3">
      <c r="A12" s="47" t="s">
        <v>41</v>
      </c>
      <c r="B12" s="51">
        <v>60.65</v>
      </c>
      <c r="C12" s="52">
        <f>B9*2240/24/32.065</f>
        <v>291.07541972035972</v>
      </c>
      <c r="D12" s="47"/>
      <c r="E12" s="47" t="s">
        <v>42</v>
      </c>
      <c r="F12" s="47"/>
      <c r="G12" s="53">
        <v>2.9700000000000001E-2</v>
      </c>
      <c r="H12" s="54" t="s">
        <v>43</v>
      </c>
      <c r="I12" s="55"/>
      <c r="J12" s="47"/>
      <c r="L12" s="32" t="s">
        <v>41</v>
      </c>
      <c r="M12" s="36">
        <v>60.65</v>
      </c>
      <c r="N12" s="39">
        <f>M9*2240/24/32.065</f>
        <v>291.07541972035972</v>
      </c>
      <c r="O12" s="32"/>
      <c r="P12" s="32" t="s">
        <v>42</v>
      </c>
      <c r="Q12" s="32"/>
      <c r="R12" s="37">
        <v>2.9700000000000001E-2</v>
      </c>
      <c r="S12" s="40" t="s">
        <v>43</v>
      </c>
      <c r="T12" s="38"/>
      <c r="U12" s="32"/>
    </row>
    <row r="13" spans="1:21" ht="16.5" x14ac:dyDescent="0.3">
      <c r="A13" s="47" t="s">
        <v>44</v>
      </c>
      <c r="B13" s="51">
        <v>32.17</v>
      </c>
      <c r="C13" s="52">
        <f>C16*B13/100</f>
        <v>154.39235370822706</v>
      </c>
      <c r="D13" s="47"/>
      <c r="E13" s="47" t="s">
        <v>45</v>
      </c>
      <c r="F13" s="47"/>
      <c r="G13" s="56" t="s">
        <v>46</v>
      </c>
      <c r="H13" s="47"/>
      <c r="I13" s="47"/>
      <c r="J13" s="47"/>
      <c r="L13" s="32" t="s">
        <v>44</v>
      </c>
      <c r="M13" s="36">
        <v>32.17</v>
      </c>
      <c r="N13" s="39">
        <f>N16*M13/100</f>
        <v>154.39235370822706</v>
      </c>
      <c r="O13" s="32"/>
      <c r="P13" s="32" t="s">
        <v>45</v>
      </c>
      <c r="Q13" s="32"/>
      <c r="R13" s="41" t="s">
        <v>46</v>
      </c>
      <c r="S13" s="32"/>
      <c r="T13" s="32"/>
      <c r="U13" s="32"/>
    </row>
    <row r="14" spans="1:21" ht="16.5" x14ac:dyDescent="0.3">
      <c r="A14" s="47" t="s">
        <v>47</v>
      </c>
      <c r="B14" s="51">
        <v>6.2</v>
      </c>
      <c r="C14" s="52">
        <f>C16*B14/100</f>
        <v>29.755442741405282</v>
      </c>
      <c r="D14" s="47"/>
      <c r="E14" s="47"/>
      <c r="F14" s="47"/>
      <c r="G14" s="47"/>
      <c r="H14" s="47"/>
      <c r="I14" s="47"/>
      <c r="J14" s="47"/>
      <c r="L14" s="32" t="s">
        <v>47</v>
      </c>
      <c r="M14" s="36">
        <v>6.2</v>
      </c>
      <c r="N14" s="39">
        <f>N16*M14/100</f>
        <v>29.755442741405282</v>
      </c>
      <c r="O14" s="32"/>
      <c r="P14" s="32"/>
      <c r="Q14" s="32"/>
      <c r="R14" s="32"/>
      <c r="S14" s="32"/>
      <c r="T14" s="32"/>
      <c r="U14" s="32"/>
    </row>
    <row r="15" spans="1:21" ht="16.5" x14ac:dyDescent="0.3">
      <c r="A15" s="47" t="s">
        <v>48</v>
      </c>
      <c r="B15" s="57">
        <v>0.98</v>
      </c>
      <c r="C15" s="58">
        <f>C16*B15/100</f>
        <v>4.7032796591253501</v>
      </c>
      <c r="D15" s="47"/>
      <c r="E15" s="47"/>
      <c r="F15" s="47"/>
      <c r="G15" s="47"/>
      <c r="H15" s="47"/>
      <c r="I15" s="47"/>
      <c r="J15" s="47"/>
      <c r="L15" s="32" t="s">
        <v>48</v>
      </c>
      <c r="M15" s="42">
        <v>0.98</v>
      </c>
      <c r="N15" s="43">
        <f>N16*M15/100</f>
        <v>4.7032796591253501</v>
      </c>
      <c r="O15" s="32"/>
      <c r="P15" s="32"/>
      <c r="Q15" s="32"/>
      <c r="R15" s="32"/>
      <c r="S15" s="32"/>
      <c r="T15" s="32"/>
      <c r="U15" s="32"/>
    </row>
    <row r="16" spans="1:21" x14ac:dyDescent="0.25">
      <c r="A16" s="47"/>
      <c r="B16" s="52">
        <f>SUM(B12:B15)</f>
        <v>100</v>
      </c>
      <c r="C16" s="52">
        <f>C12/B12*100</f>
        <v>479.92649582911741</v>
      </c>
      <c r="D16" s="47"/>
      <c r="E16" s="47"/>
      <c r="F16" s="47"/>
      <c r="G16" s="47"/>
      <c r="H16" s="47"/>
      <c r="I16" s="47"/>
      <c r="J16" s="47"/>
      <c r="L16" s="32"/>
      <c r="M16" s="39">
        <f>SUM(M12:M15)</f>
        <v>100</v>
      </c>
      <c r="N16" s="39">
        <f>N12/M12*100</f>
        <v>479.92649582911741</v>
      </c>
      <c r="O16" s="32"/>
      <c r="P16" s="32"/>
      <c r="Q16" s="32"/>
      <c r="R16" s="32"/>
      <c r="S16" s="32"/>
      <c r="T16" s="32"/>
      <c r="U16" s="32"/>
    </row>
    <row r="17" spans="1:21" x14ac:dyDescent="0.25">
      <c r="A17" s="47"/>
      <c r="B17" s="47"/>
      <c r="C17" s="47"/>
      <c r="D17" s="47"/>
      <c r="E17" s="47"/>
      <c r="F17" s="47"/>
      <c r="G17" s="47"/>
      <c r="H17" s="47"/>
      <c r="I17" s="47"/>
      <c r="J17" s="47"/>
      <c r="L17" s="32"/>
      <c r="M17" s="32"/>
      <c r="N17" s="32"/>
      <c r="O17" s="32"/>
      <c r="P17" s="32"/>
      <c r="Q17" s="32"/>
      <c r="R17" s="32"/>
      <c r="S17" s="32"/>
      <c r="T17" s="32"/>
      <c r="U17" s="32"/>
    </row>
    <row r="32" spans="1:21" x14ac:dyDescent="0.25">
      <c r="A32" s="44" t="s">
        <v>307</v>
      </c>
    </row>
    <row r="33" spans="1:1" x14ac:dyDescent="0.25">
      <c r="A33" s="44" t="s">
        <v>303</v>
      </c>
    </row>
    <row r="34" spans="1:1" x14ac:dyDescent="0.25">
      <c r="A34" s="44" t="s">
        <v>304</v>
      </c>
    </row>
    <row r="35" spans="1:1" x14ac:dyDescent="0.25">
      <c r="A35" s="44" t="s">
        <v>305</v>
      </c>
    </row>
    <row r="36" spans="1:1" x14ac:dyDescent="0.25">
      <c r="A36" s="45" t="s">
        <v>306</v>
      </c>
    </row>
  </sheetData>
  <sheetProtection password="E156" sheet="1" objects="1" scenarios="1"/>
  <mergeCells count="2">
    <mergeCell ref="H12:I12"/>
    <mergeCell ref="S12:T12"/>
  </mergeCells>
  <pageMargins left="0.7" right="0.7" top="0.75" bottom="0.75" header="0.51180555555555551" footer="0.51180555555555551"/>
  <pageSetup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104"/>
  <sheetViews>
    <sheetView zoomScale="80" zoomScaleNormal="80" workbookViewId="0">
      <selection activeCell="F2" sqref="F2"/>
    </sheetView>
  </sheetViews>
  <sheetFormatPr defaultRowHeight="15" x14ac:dyDescent="0.25"/>
  <cols>
    <col min="1" max="1" width="31.7109375" style="59" customWidth="1"/>
    <col min="2" max="2" width="11.7109375" style="59" customWidth="1"/>
    <col min="3" max="3" width="15.5703125" style="59" customWidth="1"/>
    <col min="4" max="4" width="15.28515625" style="59" customWidth="1"/>
    <col min="5" max="5" width="14.85546875" style="59" customWidth="1"/>
    <col min="6" max="6" width="16.28515625" style="59" customWidth="1"/>
    <col min="7" max="9" width="14.85546875" style="59" customWidth="1"/>
    <col min="10" max="10" width="16.42578125" style="59" customWidth="1"/>
    <col min="11" max="11" width="9.140625" style="59" customWidth="1"/>
    <col min="12" max="12" width="31.5703125" style="59" customWidth="1"/>
    <col min="13" max="13" width="11.5703125" style="59" customWidth="1"/>
    <col min="14" max="14" width="15.5703125" style="59" customWidth="1"/>
    <col min="15" max="15" width="15.28515625" style="59" customWidth="1"/>
    <col min="16" max="16" width="15.140625" style="59" customWidth="1"/>
    <col min="17" max="17" width="16.28515625" style="59" customWidth="1"/>
    <col min="18" max="20" width="14.85546875" style="59" customWidth="1"/>
    <col min="21" max="21" width="16.5703125" style="59" customWidth="1"/>
    <col min="22" max="16384" width="9.140625" style="59"/>
  </cols>
  <sheetData>
    <row r="1" spans="1:21" x14ac:dyDescent="0.25">
      <c r="A1" s="27" t="s">
        <v>298</v>
      </c>
    </row>
    <row r="5" spans="1:21" ht="20.25" x14ac:dyDescent="0.3">
      <c r="A5" s="106" t="s">
        <v>272</v>
      </c>
      <c r="B5" s="49"/>
      <c r="C5" s="49"/>
      <c r="D5" s="47"/>
      <c r="E5" s="47"/>
      <c r="F5" s="47"/>
      <c r="G5" s="47"/>
      <c r="H5" s="47"/>
      <c r="I5" s="47"/>
      <c r="J5" s="47"/>
      <c r="K5" s="60"/>
      <c r="L5" s="61" t="s">
        <v>273</v>
      </c>
      <c r="M5" s="62"/>
      <c r="N5" s="62"/>
      <c r="O5" s="30"/>
      <c r="P5" s="30"/>
      <c r="Q5" s="30"/>
      <c r="R5" s="30"/>
      <c r="S5" s="30"/>
      <c r="T5" s="30"/>
      <c r="U5" s="30"/>
    </row>
    <row r="6" spans="1:21" x14ac:dyDescent="0.25">
      <c r="A6" s="47"/>
      <c r="B6" s="49"/>
      <c r="C6" s="49"/>
      <c r="D6" s="47"/>
      <c r="E6" s="47"/>
      <c r="F6" s="47"/>
      <c r="G6" s="47"/>
      <c r="H6" s="47"/>
      <c r="I6" s="47"/>
      <c r="J6" s="47"/>
      <c r="K6" s="60"/>
      <c r="L6" s="32"/>
      <c r="M6" s="34"/>
      <c r="N6" s="34"/>
      <c r="O6" s="32"/>
      <c r="P6" s="32"/>
      <c r="Q6" s="32"/>
      <c r="R6" s="32"/>
      <c r="S6" s="32"/>
      <c r="T6" s="32"/>
      <c r="U6" s="32"/>
    </row>
    <row r="7" spans="1:21" ht="16.5" x14ac:dyDescent="0.3">
      <c r="A7" s="47" t="s">
        <v>49</v>
      </c>
      <c r="B7" s="49"/>
      <c r="C7" s="49"/>
      <c r="D7" s="47"/>
      <c r="E7" s="47"/>
      <c r="F7" s="47"/>
      <c r="G7" s="47"/>
      <c r="H7" s="47"/>
      <c r="I7" s="47"/>
      <c r="J7" s="47"/>
      <c r="K7" s="60"/>
      <c r="L7" s="32" t="s">
        <v>49</v>
      </c>
      <c r="M7" s="34"/>
      <c r="N7" s="34"/>
      <c r="O7" s="32"/>
      <c r="P7" s="32"/>
      <c r="Q7" s="32"/>
      <c r="R7" s="32"/>
      <c r="S7" s="32"/>
      <c r="T7" s="32"/>
      <c r="U7" s="32"/>
    </row>
    <row r="8" spans="1:21" x14ac:dyDescent="0.25">
      <c r="A8" s="47"/>
      <c r="B8" s="49"/>
      <c r="C8" s="49"/>
      <c r="D8" s="47"/>
      <c r="E8" s="47"/>
      <c r="F8" s="47"/>
      <c r="G8" s="47"/>
      <c r="H8" s="47"/>
      <c r="I8" s="47"/>
      <c r="J8" s="47"/>
      <c r="K8" s="60"/>
      <c r="L8" s="32"/>
      <c r="M8" s="34"/>
      <c r="N8" s="34"/>
      <c r="O8" s="32"/>
      <c r="P8" s="32"/>
      <c r="Q8" s="32"/>
      <c r="R8" s="32"/>
      <c r="S8" s="32"/>
      <c r="T8" s="32"/>
      <c r="U8" s="32"/>
    </row>
    <row r="9" spans="1:21" ht="16.5" x14ac:dyDescent="0.3">
      <c r="A9" s="47" t="s">
        <v>50</v>
      </c>
      <c r="B9" s="49"/>
      <c r="C9" s="107" t="s">
        <v>51</v>
      </c>
      <c r="D9" s="47"/>
      <c r="E9" s="47"/>
      <c r="F9" s="47"/>
      <c r="G9" s="47"/>
      <c r="H9" s="49"/>
      <c r="I9" s="49"/>
      <c r="J9" s="49"/>
      <c r="K9" s="60"/>
      <c r="L9" s="32" t="s">
        <v>50</v>
      </c>
      <c r="M9" s="34"/>
      <c r="N9" s="63" t="s">
        <v>51</v>
      </c>
      <c r="O9" s="32"/>
      <c r="P9" s="32"/>
      <c r="Q9" s="32"/>
      <c r="R9" s="32"/>
      <c r="S9" s="34"/>
      <c r="T9" s="34"/>
      <c r="U9" s="34"/>
    </row>
    <row r="10" spans="1:21" x14ac:dyDescent="0.25">
      <c r="A10" s="56" t="s">
        <v>209</v>
      </c>
      <c r="B10" s="108">
        <v>-222700</v>
      </c>
      <c r="C10" s="47" t="s">
        <v>53</v>
      </c>
      <c r="D10" s="47"/>
      <c r="E10" s="47"/>
      <c r="F10" s="47"/>
      <c r="G10" s="47"/>
      <c r="H10" s="47"/>
      <c r="I10" s="47"/>
      <c r="J10" s="47"/>
      <c r="K10" s="60"/>
      <c r="L10" s="41" t="s">
        <v>209</v>
      </c>
      <c r="M10" s="64">
        <v>-222700</v>
      </c>
      <c r="N10" s="32" t="s">
        <v>53</v>
      </c>
      <c r="O10" s="32"/>
      <c r="P10" s="32"/>
      <c r="Q10" s="32"/>
      <c r="R10" s="32"/>
      <c r="S10" s="32"/>
      <c r="T10" s="32"/>
      <c r="U10" s="32"/>
    </row>
    <row r="11" spans="1:21" ht="16.5" x14ac:dyDescent="0.3">
      <c r="A11" s="47" t="s">
        <v>211</v>
      </c>
      <c r="B11" s="49"/>
      <c r="C11" s="107" t="s">
        <v>217</v>
      </c>
      <c r="D11" s="47"/>
      <c r="E11" s="47"/>
      <c r="F11" s="47"/>
      <c r="G11" s="47"/>
      <c r="H11" s="47"/>
      <c r="I11" s="47"/>
      <c r="J11" s="47"/>
      <c r="K11" s="60"/>
      <c r="L11" s="32" t="s">
        <v>211</v>
      </c>
      <c r="M11" s="34"/>
      <c r="N11" s="63" t="s">
        <v>217</v>
      </c>
      <c r="O11" s="32"/>
      <c r="P11" s="32"/>
      <c r="Q11" s="32"/>
      <c r="R11" s="32"/>
      <c r="S11" s="32"/>
      <c r="T11" s="32"/>
      <c r="U11" s="32"/>
    </row>
    <row r="12" spans="1:21" x14ac:dyDescent="0.25">
      <c r="A12" s="56" t="s">
        <v>209</v>
      </c>
      <c r="B12" s="108">
        <v>36400</v>
      </c>
      <c r="C12" s="47" t="s">
        <v>53</v>
      </c>
      <c r="D12" s="47"/>
      <c r="E12" s="47"/>
      <c r="F12" s="47"/>
      <c r="G12" s="47"/>
      <c r="H12" s="47"/>
      <c r="I12" s="47"/>
      <c r="J12" s="47"/>
      <c r="K12" s="60"/>
      <c r="L12" s="41" t="s">
        <v>209</v>
      </c>
      <c r="M12" s="64">
        <v>36400</v>
      </c>
      <c r="N12" s="32" t="s">
        <v>53</v>
      </c>
      <c r="O12" s="32"/>
      <c r="P12" s="32"/>
      <c r="Q12" s="32"/>
      <c r="R12" s="32"/>
      <c r="S12" s="32"/>
      <c r="T12" s="32"/>
      <c r="U12" s="32"/>
    </row>
    <row r="13" spans="1:21" ht="16.5" x14ac:dyDescent="0.3">
      <c r="A13" s="47" t="s">
        <v>54</v>
      </c>
      <c r="B13" s="49"/>
      <c r="C13" s="107" t="s">
        <v>173</v>
      </c>
      <c r="D13" s="47"/>
      <c r="E13" s="47"/>
      <c r="F13" s="47"/>
      <c r="G13" s="47"/>
      <c r="H13" s="49"/>
      <c r="I13" s="49"/>
      <c r="J13" s="49"/>
      <c r="K13" s="60"/>
      <c r="L13" s="32" t="s">
        <v>54</v>
      </c>
      <c r="M13" s="34"/>
      <c r="N13" s="63" t="s">
        <v>173</v>
      </c>
      <c r="O13" s="32"/>
      <c r="P13" s="32"/>
      <c r="Q13" s="32"/>
      <c r="R13" s="32"/>
      <c r="S13" s="34"/>
      <c r="T13" s="34"/>
      <c r="U13" s="34"/>
    </row>
    <row r="14" spans="1:21" x14ac:dyDescent="0.25">
      <c r="A14" s="56" t="s">
        <v>209</v>
      </c>
      <c r="B14" s="108">
        <v>-345100</v>
      </c>
      <c r="C14" s="47" t="s">
        <v>53</v>
      </c>
      <c r="D14" s="47"/>
      <c r="E14" s="47"/>
      <c r="F14" s="47"/>
      <c r="G14" s="47"/>
      <c r="H14" s="47"/>
      <c r="I14" s="47"/>
      <c r="J14" s="47"/>
      <c r="K14" s="60"/>
      <c r="L14" s="41" t="s">
        <v>209</v>
      </c>
      <c r="M14" s="64">
        <v>-345100</v>
      </c>
      <c r="N14" s="32" t="s">
        <v>53</v>
      </c>
      <c r="O14" s="32"/>
      <c r="P14" s="32"/>
      <c r="Q14" s="32"/>
      <c r="R14" s="32"/>
      <c r="S14" s="32"/>
      <c r="T14" s="32"/>
      <c r="U14" s="32"/>
    </row>
    <row r="15" spans="1:21" x14ac:dyDescent="0.25">
      <c r="A15" s="56"/>
      <c r="B15" s="47"/>
      <c r="C15" s="47"/>
      <c r="D15" s="47"/>
      <c r="E15" s="47"/>
      <c r="F15" s="47"/>
      <c r="G15" s="47"/>
      <c r="H15" s="47"/>
      <c r="I15" s="47"/>
      <c r="J15" s="47"/>
      <c r="K15" s="60"/>
      <c r="L15" s="41"/>
      <c r="M15" s="32"/>
      <c r="N15" s="32"/>
      <c r="O15" s="32"/>
      <c r="P15" s="32"/>
      <c r="Q15" s="32"/>
      <c r="R15" s="32"/>
      <c r="S15" s="32"/>
      <c r="T15" s="32"/>
      <c r="U15" s="32"/>
    </row>
    <row r="16" spans="1:21" ht="16.5" x14ac:dyDescent="0.3">
      <c r="A16" s="47" t="s">
        <v>219</v>
      </c>
      <c r="B16" s="109">
        <v>5.6000000000000001E-2</v>
      </c>
      <c r="C16" s="110" t="s">
        <v>285</v>
      </c>
      <c r="D16" s="47"/>
      <c r="E16" s="47"/>
      <c r="F16" s="47"/>
      <c r="G16" s="47"/>
      <c r="H16" s="47"/>
      <c r="I16" s="47"/>
      <c r="J16" s="47"/>
      <c r="K16" s="60"/>
      <c r="L16" s="32" t="s">
        <v>219</v>
      </c>
      <c r="M16" s="65">
        <v>5.6000000000000001E-2</v>
      </c>
      <c r="N16" s="66" t="s">
        <v>285</v>
      </c>
      <c r="O16" s="32"/>
      <c r="P16" s="32"/>
      <c r="Q16" s="32"/>
      <c r="R16" s="32"/>
      <c r="S16" s="32"/>
      <c r="T16" s="32"/>
      <c r="U16" s="32"/>
    </row>
    <row r="17" spans="1:21" x14ac:dyDescent="0.25">
      <c r="A17" s="47"/>
      <c r="B17" s="49"/>
      <c r="C17" s="49"/>
      <c r="D17" s="47"/>
      <c r="E17" s="47"/>
      <c r="F17" s="47"/>
      <c r="G17" s="47"/>
      <c r="H17" s="47"/>
      <c r="I17" s="47"/>
      <c r="J17" s="47"/>
      <c r="K17" s="60"/>
      <c r="L17" s="32"/>
      <c r="M17" s="34"/>
      <c r="N17" s="34"/>
      <c r="O17" s="32"/>
      <c r="P17" s="32"/>
      <c r="Q17" s="32"/>
      <c r="R17" s="32"/>
      <c r="S17" s="32"/>
      <c r="T17" s="32"/>
      <c r="U17" s="32"/>
    </row>
    <row r="18" spans="1:21" ht="18.75" x14ac:dyDescent="0.3">
      <c r="A18" s="47" t="s">
        <v>247</v>
      </c>
      <c r="B18" s="49"/>
      <c r="C18" s="49"/>
      <c r="D18" s="47"/>
      <c r="E18" s="47"/>
      <c r="F18" s="47"/>
      <c r="G18" s="47"/>
      <c r="H18" s="47"/>
      <c r="I18" s="47"/>
      <c r="J18" s="47"/>
      <c r="K18" s="60"/>
      <c r="L18" s="32" t="s">
        <v>247</v>
      </c>
      <c r="M18" s="34"/>
      <c r="N18" s="34"/>
      <c r="O18" s="32"/>
      <c r="P18" s="32"/>
      <c r="Q18" s="32"/>
      <c r="R18" s="32"/>
      <c r="S18" s="32"/>
      <c r="T18" s="32"/>
      <c r="U18" s="32"/>
    </row>
    <row r="19" spans="1:21" ht="16.5" x14ac:dyDescent="0.3">
      <c r="A19" s="47" t="s">
        <v>55</v>
      </c>
      <c r="B19" s="49"/>
      <c r="C19" s="49"/>
      <c r="D19" s="47"/>
      <c r="E19" s="47"/>
      <c r="F19" s="47"/>
      <c r="G19" s="47"/>
      <c r="H19" s="47"/>
      <c r="I19" s="47"/>
      <c r="J19" s="47"/>
      <c r="K19" s="60"/>
      <c r="L19" s="32" t="s">
        <v>55</v>
      </c>
      <c r="M19" s="34"/>
      <c r="N19" s="34"/>
      <c r="O19" s="32"/>
      <c r="P19" s="32"/>
      <c r="Q19" s="32"/>
      <c r="R19" s="32"/>
      <c r="S19" s="32"/>
      <c r="T19" s="32"/>
      <c r="U19" s="32"/>
    </row>
    <row r="20" spans="1:21" ht="16.5" x14ac:dyDescent="0.3">
      <c r="A20" s="56" t="str">
        <f>CONCATENATE("(1/3)*(3/2)*(1-",B16,")*(",ROUND('Example 22-1 Conditions'!C12,2), ")")</f>
        <v>(1/3)*(3/2)*(1-0.056)*(291.08)</v>
      </c>
      <c r="B20" s="49" t="s">
        <v>3</v>
      </c>
      <c r="C20" s="52">
        <f>(1/3)*(3/2)*(1-B16)*'Example 22-1 Conditions'!C12</f>
        <v>137.38759810800977</v>
      </c>
      <c r="D20" s="47" t="s">
        <v>56</v>
      </c>
      <c r="E20" s="47"/>
      <c r="F20" s="47"/>
      <c r="G20" s="47"/>
      <c r="H20" s="47"/>
      <c r="I20" s="47"/>
      <c r="J20" s="47"/>
      <c r="K20" s="60"/>
      <c r="L20" s="41" t="str">
        <f>CONCATENATE("(1/3)*(3/2)*(1-",M16,")*(",ROUND('Example 22-1 Conditions'!N12,2), ")")</f>
        <v>(1/3)*(3/2)*(1-0.056)*(291.08)</v>
      </c>
      <c r="M20" s="34" t="s">
        <v>3</v>
      </c>
      <c r="N20" s="39">
        <f>(1/3)*(3/2)*(1-M16)*'Example 22-1 Conditions'!N12</f>
        <v>137.38759810800977</v>
      </c>
      <c r="O20" s="32" t="s">
        <v>56</v>
      </c>
      <c r="P20" s="32"/>
      <c r="Q20" s="32"/>
      <c r="R20" s="32"/>
      <c r="S20" s="32"/>
      <c r="T20" s="32"/>
      <c r="U20" s="32"/>
    </row>
    <row r="21" spans="1:21" ht="16.5" x14ac:dyDescent="0.3">
      <c r="A21" s="47" t="s">
        <v>48</v>
      </c>
      <c r="B21" s="49"/>
      <c r="C21" s="52"/>
      <c r="D21" s="47"/>
      <c r="E21" s="47"/>
      <c r="F21" s="47"/>
      <c r="G21" s="47"/>
      <c r="H21" s="47"/>
      <c r="I21" s="47"/>
      <c r="J21" s="47"/>
      <c r="K21" s="60"/>
      <c r="L21" s="32" t="s">
        <v>48</v>
      </c>
      <c r="M21" s="34"/>
      <c r="N21" s="39"/>
      <c r="O21" s="32"/>
      <c r="P21" s="32"/>
      <c r="Q21" s="32"/>
      <c r="R21" s="32"/>
      <c r="S21" s="32"/>
      <c r="T21" s="32"/>
      <c r="U21" s="32"/>
    </row>
    <row r="22" spans="1:21" ht="16.5" x14ac:dyDescent="0.3">
      <c r="A22" s="56" t="str">
        <f>CONCATENATE("2 * ", ROUND('Example 22-1 Conditions'!C15,2))</f>
        <v>2 * 4.7</v>
      </c>
      <c r="B22" s="49" t="s">
        <v>3</v>
      </c>
      <c r="C22" s="58">
        <f>2*'Example 22-1 Conditions'!C15</f>
        <v>9.4065593182507001</v>
      </c>
      <c r="D22" s="111" t="s">
        <v>56</v>
      </c>
      <c r="E22" s="47"/>
      <c r="F22" s="47"/>
      <c r="G22" s="47"/>
      <c r="H22" s="47"/>
      <c r="I22" s="47"/>
      <c r="J22" s="47"/>
      <c r="K22" s="60"/>
      <c r="L22" s="41" t="str">
        <f>CONCATENATE("2 * ", ROUND('Example 22-1 Conditions'!N15,2))</f>
        <v>2 * 4.7</v>
      </c>
      <c r="M22" s="34" t="s">
        <v>3</v>
      </c>
      <c r="N22" s="43">
        <f>2*'Example 22-1 Conditions'!N15</f>
        <v>9.4065593182507001</v>
      </c>
      <c r="O22" s="67" t="s">
        <v>56</v>
      </c>
      <c r="P22" s="32"/>
      <c r="Q22" s="32"/>
      <c r="R22" s="32"/>
      <c r="S22" s="32"/>
      <c r="T22" s="32"/>
      <c r="U22" s="32"/>
    </row>
    <row r="23" spans="1:21" ht="16.5" x14ac:dyDescent="0.3">
      <c r="A23" s="47" t="s">
        <v>57</v>
      </c>
      <c r="B23" s="49"/>
      <c r="C23" s="52">
        <f>SUM(C20:C22)</f>
        <v>146.79415742626048</v>
      </c>
      <c r="D23" s="47" t="s">
        <v>56</v>
      </c>
      <c r="E23" s="47"/>
      <c r="F23" s="47"/>
      <c r="G23" s="47"/>
      <c r="H23" s="47"/>
      <c r="I23" s="47"/>
      <c r="J23" s="47"/>
      <c r="K23" s="60"/>
      <c r="L23" s="32" t="s">
        <v>57</v>
      </c>
      <c r="M23" s="34"/>
      <c r="N23" s="39">
        <f>SUM(N20:N22)</f>
        <v>146.79415742626048</v>
      </c>
      <c r="O23" s="32" t="s">
        <v>56</v>
      </c>
      <c r="P23" s="32"/>
      <c r="Q23" s="32"/>
      <c r="R23" s="32"/>
      <c r="S23" s="32"/>
      <c r="T23" s="32"/>
      <c r="U23" s="32"/>
    </row>
    <row r="24" spans="1:21" x14ac:dyDescent="0.25">
      <c r="A24" s="47"/>
      <c r="B24" s="49"/>
      <c r="C24" s="49"/>
      <c r="D24" s="47"/>
      <c r="E24" s="47"/>
      <c r="F24" s="47"/>
      <c r="G24" s="47"/>
      <c r="H24" s="47"/>
      <c r="I24" s="47"/>
      <c r="J24" s="47"/>
      <c r="K24" s="60"/>
      <c r="L24" s="32"/>
      <c r="M24" s="34"/>
      <c r="N24" s="34"/>
      <c r="O24" s="32"/>
      <c r="P24" s="32"/>
      <c r="Q24" s="32"/>
      <c r="R24" s="32"/>
      <c r="S24" s="32"/>
      <c r="T24" s="32"/>
      <c r="U24" s="32"/>
    </row>
    <row r="25" spans="1:21" ht="16.5" x14ac:dyDescent="0.3">
      <c r="A25" s="47" t="s">
        <v>58</v>
      </c>
      <c r="B25" s="49"/>
      <c r="C25" s="49"/>
      <c r="D25" s="47"/>
      <c r="E25" s="47"/>
      <c r="F25" s="47"/>
      <c r="G25" s="47"/>
      <c r="H25" s="47"/>
      <c r="I25" s="47"/>
      <c r="J25" s="47"/>
      <c r="K25" s="60"/>
      <c r="L25" s="32" t="s">
        <v>58</v>
      </c>
      <c r="M25" s="34"/>
      <c r="N25" s="34"/>
      <c r="O25" s="32"/>
      <c r="P25" s="32"/>
      <c r="Q25" s="32"/>
      <c r="R25" s="32"/>
      <c r="S25" s="32"/>
      <c r="T25" s="32"/>
      <c r="U25" s="32"/>
    </row>
    <row r="26" spans="1:21" ht="16.5" x14ac:dyDescent="0.3">
      <c r="A26" s="47" t="s">
        <v>59</v>
      </c>
      <c r="B26" s="49"/>
      <c r="C26" s="107" t="s">
        <v>220</v>
      </c>
      <c r="D26" s="47"/>
      <c r="E26" s="47"/>
      <c r="F26" s="47"/>
      <c r="G26" s="49"/>
      <c r="H26" s="49"/>
      <c r="I26" s="49"/>
      <c r="J26" s="49"/>
      <c r="K26" s="60"/>
      <c r="L26" s="32" t="s">
        <v>59</v>
      </c>
      <c r="M26" s="34"/>
      <c r="N26" s="63" t="s">
        <v>220</v>
      </c>
      <c r="O26" s="32"/>
      <c r="P26" s="32"/>
      <c r="Q26" s="32"/>
      <c r="R26" s="34"/>
      <c r="S26" s="34"/>
      <c r="T26" s="34"/>
      <c r="U26" s="34"/>
    </row>
    <row r="27" spans="1:21" x14ac:dyDescent="0.25">
      <c r="A27" s="47" t="s">
        <v>60</v>
      </c>
      <c r="B27" s="49"/>
      <c r="C27" s="49"/>
      <c r="D27" s="47"/>
      <c r="E27" s="47"/>
      <c r="F27" s="47"/>
      <c r="G27" s="47"/>
      <c r="H27" s="47"/>
      <c r="I27" s="47"/>
      <c r="J27" s="47"/>
      <c r="K27" s="60"/>
      <c r="L27" s="32" t="s">
        <v>60</v>
      </c>
      <c r="M27" s="34"/>
      <c r="N27" s="34"/>
      <c r="O27" s="32"/>
      <c r="P27" s="32"/>
      <c r="Q27" s="32"/>
      <c r="R27" s="32"/>
      <c r="S27" s="32"/>
      <c r="T27" s="32"/>
      <c r="U27" s="32"/>
    </row>
    <row r="28" spans="1:21" x14ac:dyDescent="0.25">
      <c r="A28" s="56" t="s">
        <v>209</v>
      </c>
      <c r="B28" s="108">
        <v>20230</v>
      </c>
      <c r="C28" s="47" t="s">
        <v>53</v>
      </c>
      <c r="D28" s="47"/>
      <c r="E28" s="47"/>
      <c r="F28" s="47"/>
      <c r="G28" s="47"/>
      <c r="H28" s="47"/>
      <c r="I28" s="47"/>
      <c r="J28" s="47"/>
      <c r="K28" s="60"/>
      <c r="L28" s="41" t="s">
        <v>209</v>
      </c>
      <c r="M28" s="64">
        <v>20230</v>
      </c>
      <c r="N28" s="32" t="s">
        <v>53</v>
      </c>
      <c r="O28" s="32"/>
      <c r="P28" s="32"/>
      <c r="Q28" s="32"/>
      <c r="R28" s="32"/>
      <c r="S28" s="32"/>
      <c r="T28" s="32"/>
      <c r="U28" s="32"/>
    </row>
    <row r="29" spans="1:21" x14ac:dyDescent="0.25">
      <c r="A29" s="47"/>
      <c r="B29" s="49"/>
      <c r="C29" s="49"/>
      <c r="D29" s="47"/>
      <c r="E29" s="47"/>
      <c r="F29" s="47"/>
      <c r="G29" s="47"/>
      <c r="H29" s="47"/>
      <c r="I29" s="47"/>
      <c r="J29" s="47"/>
      <c r="K29" s="60"/>
      <c r="L29" s="32"/>
      <c r="M29" s="34"/>
      <c r="N29" s="34"/>
      <c r="O29" s="32"/>
      <c r="P29" s="32"/>
      <c r="Q29" s="32"/>
      <c r="R29" s="32"/>
      <c r="S29" s="32"/>
      <c r="T29" s="32"/>
      <c r="U29" s="32"/>
    </row>
    <row r="30" spans="1:21" x14ac:dyDescent="0.25">
      <c r="A30" s="47" t="s">
        <v>61</v>
      </c>
      <c r="B30" s="49"/>
      <c r="C30" s="49"/>
      <c r="D30" s="47"/>
      <c r="E30" s="47"/>
      <c r="F30" s="47"/>
      <c r="G30" s="47"/>
      <c r="H30" s="47"/>
      <c r="I30" s="47"/>
      <c r="J30" s="47"/>
      <c r="K30" s="60"/>
      <c r="L30" s="32" t="s">
        <v>61</v>
      </c>
      <c r="M30" s="34"/>
      <c r="N30" s="34"/>
      <c r="O30" s="32"/>
      <c r="P30" s="32"/>
      <c r="Q30" s="32"/>
      <c r="R30" s="32"/>
      <c r="S30" s="32"/>
      <c r="T30" s="32"/>
      <c r="U30" s="32"/>
    </row>
    <row r="31" spans="1:21" ht="45" x14ac:dyDescent="0.25">
      <c r="A31" s="47"/>
      <c r="B31" s="112" t="s">
        <v>62</v>
      </c>
      <c r="C31" s="112" t="s">
        <v>63</v>
      </c>
      <c r="D31" s="112" t="s">
        <v>64</v>
      </c>
      <c r="E31" s="113" t="s">
        <v>65</v>
      </c>
      <c r="F31" s="114"/>
      <c r="G31" s="47"/>
      <c r="H31" s="47"/>
      <c r="I31" s="47"/>
      <c r="J31" s="47"/>
      <c r="K31" s="60"/>
      <c r="L31" s="32"/>
      <c r="M31" s="69" t="s">
        <v>62</v>
      </c>
      <c r="N31" s="69" t="s">
        <v>63</v>
      </c>
      <c r="O31" s="69" t="s">
        <v>64</v>
      </c>
      <c r="P31" s="70" t="s">
        <v>65</v>
      </c>
      <c r="Q31" s="68"/>
      <c r="R31" s="32"/>
      <c r="S31" s="32"/>
      <c r="T31" s="32"/>
      <c r="U31" s="32"/>
    </row>
    <row r="32" spans="1:21" ht="16.5" x14ac:dyDescent="0.3">
      <c r="A32" s="47" t="s">
        <v>41</v>
      </c>
      <c r="B32" s="115">
        <f>('Example 22-1 Conditions'!C12)</f>
        <v>291.07541972035972</v>
      </c>
      <c r="C32" s="115"/>
      <c r="D32" s="115">
        <f>((2/3)*(1-B16)*'Example 22-1 Conditions'!C12)</f>
        <v>183.18346414401304</v>
      </c>
      <c r="E32" s="115">
        <f t="shared" ref="E32:E37" si="0">D32</f>
        <v>183.18346414401304</v>
      </c>
      <c r="F32" s="56">
        <v>-1</v>
      </c>
      <c r="G32" s="47" t="s">
        <v>66</v>
      </c>
      <c r="H32" s="47"/>
      <c r="I32" s="47"/>
      <c r="J32" s="47"/>
      <c r="K32" s="60"/>
      <c r="L32" s="32" t="s">
        <v>41</v>
      </c>
      <c r="M32" s="71">
        <f>('Example 22-1 Conditions'!N12)</f>
        <v>291.07541972035972</v>
      </c>
      <c r="N32" s="71"/>
      <c r="O32" s="71">
        <f>((2/3)*(1-M16)*'Example 22-1 Conditions'!N12)</f>
        <v>183.18346414401304</v>
      </c>
      <c r="P32" s="71">
        <f t="shared" ref="P32:P37" si="1">O32</f>
        <v>183.18346414401304</v>
      </c>
      <c r="Q32" s="41">
        <v>-1</v>
      </c>
      <c r="R32" s="32" t="s">
        <v>66</v>
      </c>
      <c r="S32" s="32"/>
      <c r="T32" s="32"/>
      <c r="U32" s="32"/>
    </row>
    <row r="33" spans="1:21" ht="16.5" x14ac:dyDescent="0.3">
      <c r="A33" s="47" t="s">
        <v>44</v>
      </c>
      <c r="B33" s="115">
        <f>('Example 22-1 Conditions'!C13)</f>
        <v>154.39235370822706</v>
      </c>
      <c r="C33" s="115"/>
      <c r="D33" s="115">
        <f>(B33+B42)</f>
        <v>159.09563336735241</v>
      </c>
      <c r="E33" s="115">
        <f t="shared" si="0"/>
        <v>159.09563336735241</v>
      </c>
      <c r="F33" s="56"/>
      <c r="G33" s="47"/>
      <c r="H33" s="47"/>
      <c r="I33" s="47"/>
      <c r="J33" s="47"/>
      <c r="K33" s="60"/>
      <c r="L33" s="32" t="s">
        <v>44</v>
      </c>
      <c r="M33" s="71">
        <f>('Example 22-1 Conditions'!N13)</f>
        <v>154.39235370822706</v>
      </c>
      <c r="N33" s="71"/>
      <c r="O33" s="71">
        <f>(M33+M42)</f>
        <v>159.09563336735241</v>
      </c>
      <c r="P33" s="71">
        <f t="shared" si="1"/>
        <v>159.09563336735241</v>
      </c>
      <c r="Q33" s="41"/>
      <c r="R33" s="32"/>
      <c r="S33" s="32"/>
      <c r="T33" s="32"/>
      <c r="U33" s="32"/>
    </row>
    <row r="34" spans="1:21" ht="16.5" x14ac:dyDescent="0.3">
      <c r="A34" s="47" t="s">
        <v>212</v>
      </c>
      <c r="B34" s="115">
        <v>0</v>
      </c>
      <c r="C34" s="115"/>
      <c r="D34" s="115">
        <f>(B16*'Example 22-1 Conditions'!C12)</f>
        <v>16.300223504340146</v>
      </c>
      <c r="E34" s="115">
        <f t="shared" si="0"/>
        <v>16.300223504340146</v>
      </c>
      <c r="F34" s="56"/>
      <c r="G34" s="47"/>
      <c r="H34" s="47"/>
      <c r="I34" s="47"/>
      <c r="J34" s="47"/>
      <c r="K34" s="60"/>
      <c r="L34" s="32" t="s">
        <v>212</v>
      </c>
      <c r="M34" s="71">
        <v>0</v>
      </c>
      <c r="N34" s="71"/>
      <c r="O34" s="71">
        <f>(M16*'Example 22-1 Conditions'!N12)</f>
        <v>16.300223504340146</v>
      </c>
      <c r="P34" s="71">
        <f t="shared" si="1"/>
        <v>16.300223504340146</v>
      </c>
      <c r="Q34" s="41"/>
      <c r="R34" s="32"/>
      <c r="S34" s="32"/>
      <c r="T34" s="32"/>
      <c r="U34" s="32"/>
    </row>
    <row r="35" spans="1:21" ht="16.5" x14ac:dyDescent="0.3">
      <c r="A35" s="47" t="s">
        <v>47</v>
      </c>
      <c r="B35" s="115">
        <f>('Example 22-1 Conditions'!C14)</f>
        <v>29.755442741405282</v>
      </c>
      <c r="C35" s="115">
        <f>'Example 22-1 Conditions'!G12*(C37 + C38)</f>
        <v>20.753579790514404</v>
      </c>
      <c r="D35" s="115">
        <f>(B35+C35+2*B42+(1/3)*(1-B16)*B32)</f>
        <v>151.50731392217691</v>
      </c>
      <c r="E35" s="115">
        <f t="shared" si="0"/>
        <v>151.50731392217691</v>
      </c>
      <c r="F35" s="56">
        <v>1</v>
      </c>
      <c r="G35" s="47" t="s">
        <v>66</v>
      </c>
      <c r="H35" s="47"/>
      <c r="I35" s="47"/>
      <c r="J35" s="47"/>
      <c r="K35" s="60"/>
      <c r="L35" s="32" t="s">
        <v>47</v>
      </c>
      <c r="M35" s="71">
        <f>('Example 22-1 Conditions'!N14)</f>
        <v>29.755442741405282</v>
      </c>
      <c r="N35" s="71">
        <f>'Example 22-1 Conditions'!R12*(N37 + N38)</f>
        <v>20.753579790514404</v>
      </c>
      <c r="O35" s="71">
        <f>(M35+N35+2*M42+(1/3)*(1-M16)*M32)</f>
        <v>151.50731392217691</v>
      </c>
      <c r="P35" s="71">
        <f t="shared" si="1"/>
        <v>151.50731392217691</v>
      </c>
      <c r="Q35" s="41">
        <v>1</v>
      </c>
      <c r="R35" s="32" t="s">
        <v>66</v>
      </c>
      <c r="S35" s="32"/>
      <c r="T35" s="32"/>
      <c r="U35" s="32"/>
    </row>
    <row r="36" spans="1:21" ht="16.5" x14ac:dyDescent="0.3">
      <c r="A36" s="47" t="s">
        <v>67</v>
      </c>
      <c r="B36" s="115"/>
      <c r="C36" s="115"/>
      <c r="D36" s="115">
        <f>((1/3)*(1-B16)*B32)</f>
        <v>91.591732072006522</v>
      </c>
      <c r="E36" s="115">
        <f t="shared" si="0"/>
        <v>91.591732072006522</v>
      </c>
      <c r="F36" s="56">
        <v>-0.5</v>
      </c>
      <c r="G36" s="47" t="s">
        <v>66</v>
      </c>
      <c r="H36" s="47"/>
      <c r="I36" s="47"/>
      <c r="J36" s="47"/>
      <c r="K36" s="60"/>
      <c r="L36" s="32" t="s">
        <v>67</v>
      </c>
      <c r="M36" s="71"/>
      <c r="N36" s="71"/>
      <c r="O36" s="71">
        <f>((1/3)*(1-M16)*M32)</f>
        <v>91.591732072006522</v>
      </c>
      <c r="P36" s="71">
        <f t="shared" si="1"/>
        <v>91.591732072006522</v>
      </c>
      <c r="Q36" s="41">
        <v>-0.5</v>
      </c>
      <c r="R36" s="32" t="s">
        <v>66</v>
      </c>
      <c r="S36" s="32"/>
      <c r="T36" s="32"/>
      <c r="U36" s="32"/>
    </row>
    <row r="37" spans="1:21" ht="16.5" x14ac:dyDescent="0.3">
      <c r="A37" s="47" t="s">
        <v>68</v>
      </c>
      <c r="B37" s="115"/>
      <c r="C37" s="115">
        <f>((78.993/21.0075)*C38)</f>
        <v>551.97957289408987</v>
      </c>
      <c r="D37" s="115">
        <f>(C37)</f>
        <v>551.97957289408987</v>
      </c>
      <c r="E37" s="115">
        <f t="shared" si="0"/>
        <v>551.97957289408987</v>
      </c>
      <c r="F37" s="56"/>
      <c r="G37" s="47"/>
      <c r="H37" s="47"/>
      <c r="I37" s="47"/>
      <c r="J37" s="47"/>
      <c r="K37" s="60"/>
      <c r="L37" s="32" t="s">
        <v>68</v>
      </c>
      <c r="M37" s="71"/>
      <c r="N37" s="71">
        <f>((78.993/21.0075)*N38)</f>
        <v>551.97957289408987</v>
      </c>
      <c r="O37" s="71">
        <f>(N37)</f>
        <v>551.97957289408987</v>
      </c>
      <c r="P37" s="71">
        <f t="shared" si="1"/>
        <v>551.97957289408987</v>
      </c>
      <c r="Q37" s="41"/>
      <c r="R37" s="32"/>
      <c r="S37" s="32"/>
      <c r="T37" s="32"/>
      <c r="U37" s="32"/>
    </row>
    <row r="38" spans="1:21" ht="16.5" x14ac:dyDescent="0.3">
      <c r="A38" s="47" t="s">
        <v>69</v>
      </c>
      <c r="B38" s="115"/>
      <c r="C38" s="115">
        <f>(C23)</f>
        <v>146.79415742626048</v>
      </c>
      <c r="D38" s="115"/>
      <c r="E38" s="115"/>
      <c r="F38" s="56"/>
      <c r="G38" s="47"/>
      <c r="H38" s="47"/>
      <c r="I38" s="47"/>
      <c r="J38" s="47"/>
      <c r="K38" s="60"/>
      <c r="L38" s="32" t="s">
        <v>69</v>
      </c>
      <c r="M38" s="71"/>
      <c r="N38" s="71">
        <f>(N23)</f>
        <v>146.79415742626048</v>
      </c>
      <c r="O38" s="71"/>
      <c r="P38" s="71"/>
      <c r="Q38" s="41"/>
      <c r="R38" s="32"/>
      <c r="S38" s="32"/>
      <c r="T38" s="32"/>
      <c r="U38" s="32"/>
    </row>
    <row r="39" spans="1:21" ht="16.5" x14ac:dyDescent="0.3">
      <c r="A39" s="47" t="s">
        <v>70</v>
      </c>
      <c r="B39" s="115"/>
      <c r="C39" s="115"/>
      <c r="D39" s="115">
        <f>((1/2)*(B16)*'Example 22-1 Conditions'!C12)</f>
        <v>8.1501117521700728</v>
      </c>
      <c r="E39" s="115">
        <f>D39</f>
        <v>8.1501117521700728</v>
      </c>
      <c r="F39" s="56">
        <v>0.75</v>
      </c>
      <c r="G39" s="47" t="s">
        <v>66</v>
      </c>
      <c r="H39" s="47"/>
      <c r="I39" s="47"/>
      <c r="J39" s="47"/>
      <c r="K39" s="60"/>
      <c r="L39" s="32" t="s">
        <v>70</v>
      </c>
      <c r="M39" s="71"/>
      <c r="N39" s="71"/>
      <c r="O39" s="71">
        <f>((1/2)*(M16)*'Example 22-1 Conditions'!N12)</f>
        <v>8.1501117521700728</v>
      </c>
      <c r="P39" s="71">
        <f>O39</f>
        <v>8.1501117521700728</v>
      </c>
      <c r="Q39" s="41">
        <v>0.75</v>
      </c>
      <c r="R39" s="32" t="s">
        <v>66</v>
      </c>
      <c r="S39" s="32"/>
      <c r="T39" s="32"/>
      <c r="U39" s="32"/>
    </row>
    <row r="40" spans="1:21" ht="16.5" x14ac:dyDescent="0.3">
      <c r="A40" s="47" t="s">
        <v>71</v>
      </c>
      <c r="B40" s="115"/>
      <c r="C40" s="115"/>
      <c r="D40" s="115"/>
      <c r="E40" s="115"/>
      <c r="F40" s="56"/>
      <c r="G40" s="47"/>
      <c r="H40" s="47"/>
      <c r="I40" s="47"/>
      <c r="J40" s="47"/>
      <c r="K40" s="60"/>
      <c r="L40" s="32" t="s">
        <v>71</v>
      </c>
      <c r="M40" s="71"/>
      <c r="N40" s="71"/>
      <c r="O40" s="71"/>
      <c r="P40" s="71"/>
      <c r="Q40" s="41"/>
      <c r="R40" s="32"/>
      <c r="S40" s="32"/>
      <c r="T40" s="32"/>
      <c r="U40" s="32"/>
    </row>
    <row r="41" spans="1:21" ht="16.5" x14ac:dyDescent="0.3">
      <c r="A41" s="47" t="s">
        <v>72</v>
      </c>
      <c r="B41" s="115"/>
      <c r="C41" s="115"/>
      <c r="D41" s="115"/>
      <c r="E41" s="115"/>
      <c r="F41" s="56"/>
      <c r="G41" s="47"/>
      <c r="H41" s="47"/>
      <c r="I41" s="47"/>
      <c r="J41" s="47"/>
      <c r="K41" s="60"/>
      <c r="L41" s="32" t="s">
        <v>72</v>
      </c>
      <c r="M41" s="71"/>
      <c r="N41" s="71"/>
      <c r="O41" s="71"/>
      <c r="P41" s="71"/>
      <c r="Q41" s="41"/>
      <c r="R41" s="32"/>
      <c r="S41" s="32"/>
      <c r="T41" s="32"/>
      <c r="U41" s="32"/>
    </row>
    <row r="42" spans="1:21" ht="16.5" x14ac:dyDescent="0.3">
      <c r="A42" s="47" t="s">
        <v>48</v>
      </c>
      <c r="B42" s="116">
        <f>'Example 22-1 Conditions'!C15</f>
        <v>4.7032796591253501</v>
      </c>
      <c r="C42" s="116"/>
      <c r="D42" s="116"/>
      <c r="E42" s="116"/>
      <c r="F42" s="50"/>
      <c r="G42" s="47"/>
      <c r="H42" s="47"/>
      <c r="I42" s="47"/>
      <c r="J42" s="47"/>
      <c r="K42" s="60"/>
      <c r="L42" s="32" t="s">
        <v>48</v>
      </c>
      <c r="M42" s="72">
        <f>'Example 22-1 Conditions'!N15</f>
        <v>4.7032796591253501</v>
      </c>
      <c r="N42" s="72"/>
      <c r="O42" s="72"/>
      <c r="P42" s="72"/>
      <c r="Q42" s="35"/>
      <c r="R42" s="32"/>
      <c r="S42" s="32"/>
      <c r="T42" s="32"/>
      <c r="U42" s="32"/>
    </row>
    <row r="43" spans="1:21" x14ac:dyDescent="0.25">
      <c r="A43" s="47"/>
      <c r="B43" s="115">
        <f>SUM(B32:B42)</f>
        <v>479.92649582911741</v>
      </c>
      <c r="C43" s="115">
        <f>SUM(C32:C42)</f>
        <v>719.52731011086485</v>
      </c>
      <c r="D43" s="115">
        <f>SUM(D32:D42)</f>
        <v>1161.8080516561488</v>
      </c>
      <c r="E43" s="115">
        <f>SUM(E32:E42)</f>
        <v>1161.8080516561488</v>
      </c>
      <c r="F43" s="56" t="str">
        <f>CONCATENATE("+ ",SUM(F32:F42))</f>
        <v>+ 0.25</v>
      </c>
      <c r="G43" s="47" t="s">
        <v>66</v>
      </c>
      <c r="H43" s="47"/>
      <c r="I43" s="47"/>
      <c r="J43" s="47"/>
      <c r="K43" s="60"/>
      <c r="L43" s="32"/>
      <c r="M43" s="71">
        <f>SUM(M32:M42)</f>
        <v>479.92649582911741</v>
      </c>
      <c r="N43" s="71">
        <f>SUM(N32:N42)</f>
        <v>719.52731011086485</v>
      </c>
      <c r="O43" s="71">
        <f>SUM(O32:O42)</f>
        <v>1161.8080516561488</v>
      </c>
      <c r="P43" s="71">
        <f>SUM(P32:P42)</f>
        <v>1161.8080516561488</v>
      </c>
      <c r="Q43" s="41" t="str">
        <f>CONCATENATE("+ ",SUM(Q32:Q42))</f>
        <v>+ 0.25</v>
      </c>
      <c r="R43" s="32" t="s">
        <v>66</v>
      </c>
      <c r="S43" s="32"/>
      <c r="T43" s="32"/>
      <c r="U43" s="32"/>
    </row>
    <row r="44" spans="1:21" x14ac:dyDescent="0.25">
      <c r="A44" s="47"/>
      <c r="B44" s="49"/>
      <c r="C44" s="49"/>
      <c r="D44" s="47"/>
      <c r="E44" s="47"/>
      <c r="F44" s="47"/>
      <c r="G44" s="47"/>
      <c r="H44" s="47"/>
      <c r="I44" s="47"/>
      <c r="J44" s="47"/>
      <c r="K44" s="60"/>
      <c r="L44" s="32"/>
      <c r="M44" s="34"/>
      <c r="N44" s="34"/>
      <c r="O44" s="32"/>
      <c r="P44" s="32"/>
      <c r="Q44" s="32"/>
      <c r="R44" s="32"/>
      <c r="S44" s="32"/>
      <c r="T44" s="32"/>
      <c r="U44" s="32"/>
    </row>
    <row r="45" spans="1:21" x14ac:dyDescent="0.25">
      <c r="A45" s="47" t="s">
        <v>73</v>
      </c>
      <c r="B45" s="49"/>
      <c r="C45" s="49"/>
      <c r="D45" s="117">
        <v>1.6</v>
      </c>
      <c r="E45" s="47" t="s">
        <v>74</v>
      </c>
      <c r="F45" s="47"/>
      <c r="G45" s="47"/>
      <c r="H45" s="47"/>
      <c r="I45" s="47"/>
      <c r="J45" s="47"/>
      <c r="K45" s="60"/>
      <c r="L45" s="32" t="s">
        <v>73</v>
      </c>
      <c r="M45" s="34"/>
      <c r="N45" s="34"/>
      <c r="O45" s="73">
        <v>1.6</v>
      </c>
      <c r="P45" s="32" t="s">
        <v>74</v>
      </c>
      <c r="Q45" s="32"/>
      <c r="R45" s="32"/>
      <c r="S45" s="32"/>
      <c r="T45" s="32"/>
      <c r="U45" s="32"/>
    </row>
    <row r="46" spans="1:21" x14ac:dyDescent="0.25">
      <c r="A46" s="56" t="s">
        <v>75</v>
      </c>
      <c r="B46" s="56">
        <f>'Example 22-1 Conditions'!B8-D45</f>
        <v>19.099999999999998</v>
      </c>
      <c r="C46" s="49" t="s">
        <v>76</v>
      </c>
      <c r="D46" s="118">
        <f>0.068*B46</f>
        <v>1.2988</v>
      </c>
      <c r="E46" s="47" t="s">
        <v>77</v>
      </c>
      <c r="F46" s="47"/>
      <c r="G46" s="47"/>
      <c r="H46" s="47"/>
      <c r="I46" s="47"/>
      <c r="J46" s="47"/>
      <c r="K46" s="60"/>
      <c r="L46" s="41" t="s">
        <v>75</v>
      </c>
      <c r="M46" s="41">
        <f>'Example 22-1 Conditions'!M8-O45</f>
        <v>19.099999999999998</v>
      </c>
      <c r="N46" s="34" t="s">
        <v>76</v>
      </c>
      <c r="O46" s="74">
        <f>0.068*M46</f>
        <v>1.2988</v>
      </c>
      <c r="P46" s="32" t="s">
        <v>77</v>
      </c>
      <c r="Q46" s="32"/>
      <c r="R46" s="32"/>
      <c r="S46" s="32"/>
      <c r="T46" s="32"/>
      <c r="U46" s="32"/>
    </row>
    <row r="47" spans="1:21" x14ac:dyDescent="0.25">
      <c r="A47" s="47"/>
      <c r="B47" s="49"/>
      <c r="C47" s="49"/>
      <c r="D47" s="47"/>
      <c r="E47" s="47"/>
      <c r="F47" s="47"/>
      <c r="G47" s="47"/>
      <c r="H47" s="47"/>
      <c r="I47" s="47"/>
      <c r="J47" s="47"/>
      <c r="K47" s="60"/>
      <c r="L47" s="32"/>
      <c r="M47" s="34"/>
      <c r="N47" s="34"/>
      <c r="O47" s="32"/>
      <c r="P47" s="32"/>
      <c r="Q47" s="32"/>
      <c r="R47" s="32"/>
      <c r="S47" s="32"/>
      <c r="T47" s="32"/>
      <c r="U47" s="32"/>
    </row>
    <row r="48" spans="1:21" ht="12.75" customHeight="1" x14ac:dyDescent="0.25">
      <c r="A48" s="47" t="s">
        <v>78</v>
      </c>
      <c r="B48" s="49"/>
      <c r="C48" s="49"/>
      <c r="D48" s="47"/>
      <c r="E48" s="47"/>
      <c r="F48" s="47"/>
      <c r="G48" s="47"/>
      <c r="H48" s="47"/>
      <c r="I48" s="47"/>
      <c r="J48" s="47"/>
      <c r="K48" s="60"/>
      <c r="L48" s="32" t="s">
        <v>78</v>
      </c>
      <c r="M48" s="34"/>
      <c r="N48" s="34"/>
      <c r="O48" s="32"/>
      <c r="P48" s="32"/>
      <c r="Q48" s="32"/>
      <c r="R48" s="32"/>
      <c r="S48" s="32"/>
      <c r="T48" s="32"/>
      <c r="U48" s="32"/>
    </row>
    <row r="49" spans="1:21" ht="19.5" customHeight="1" x14ac:dyDescent="0.3">
      <c r="A49" s="47" t="s">
        <v>270</v>
      </c>
      <c r="B49" s="49"/>
      <c r="C49" s="49"/>
      <c r="D49" s="47"/>
      <c r="E49" s="47"/>
      <c r="F49" s="47"/>
      <c r="G49" s="47"/>
      <c r="H49" s="47"/>
      <c r="I49" s="47"/>
      <c r="J49" s="47"/>
      <c r="K49" s="60"/>
      <c r="L49" s="32" t="s">
        <v>270</v>
      </c>
      <c r="M49" s="34"/>
      <c r="N49" s="34"/>
      <c r="O49" s="32"/>
      <c r="P49" s="32"/>
      <c r="Q49" s="32"/>
      <c r="R49" s="32"/>
      <c r="S49" s="32"/>
      <c r="T49" s="32"/>
      <c r="U49" s="32"/>
    </row>
    <row r="50" spans="1:21" ht="19.5" customHeight="1" x14ac:dyDescent="0.25">
      <c r="A50" s="47"/>
      <c r="B50" s="47" t="str">
        <f>CONCATENATE("=( [",ROUND(E35,2)," + x]^2[",ROUND(E39,2)," + 3/4 x]^3/2 ) / ( [",ROUND(E32,2)," - x]^2[",ROUND(E36,2)," - 1/2 x] ) * ( ",ROUND(D46,2)," / [",ROUND(E43,2)," + 1/4 x] )^1/2")</f>
        <v>=( [151.51 + x]^2[8.15 + 3/4 x]^3/2 ) / ( [183.18 - x]^2[91.59 - 1/2 x] ) * ( 1.3 / [1161.81 + 1/4 x] )^1/2</v>
      </c>
      <c r="C50" s="110"/>
      <c r="D50" s="47"/>
      <c r="E50" s="47"/>
      <c r="F50" s="47"/>
      <c r="G50" s="47"/>
      <c r="H50" s="47"/>
      <c r="I50" s="47"/>
      <c r="J50" s="47"/>
      <c r="K50" s="60"/>
      <c r="L50" s="32"/>
      <c r="M50" s="32" t="str">
        <f>CONCATENATE("=( [",ROUND(P35,2)," + x]^2[",ROUND(P39,2)," + 3/4 x]^3/2 ) / ( [",ROUND(P32,2)," - x]^2[",ROUND(P36,2)," - 1/2 x] ) * ( ",ROUND(O46,2)," / [",ROUND(P43,2)," + 1/4 x] )^1/2")</f>
        <v>=( [151.51 + x]^2[8.15 + 3/4 x]^3/2 ) / ( [183.18 - x]^2[91.59 - 1/2 x] ) * ( 1.3 / [1161.81 + 1/4 x] )^1/2</v>
      </c>
      <c r="N50" s="66"/>
      <c r="O50" s="32"/>
      <c r="P50" s="32"/>
      <c r="Q50" s="32"/>
      <c r="R50" s="32"/>
      <c r="S50" s="32"/>
      <c r="T50" s="32"/>
      <c r="U50" s="32"/>
    </row>
    <row r="51" spans="1:21" ht="15" customHeight="1" x14ac:dyDescent="0.25">
      <c r="A51" s="47"/>
      <c r="B51" s="47"/>
      <c r="C51" s="110"/>
      <c r="D51" s="47"/>
      <c r="E51" s="47"/>
      <c r="F51" s="47"/>
      <c r="G51" s="47"/>
      <c r="H51" s="47"/>
      <c r="I51" s="47"/>
      <c r="J51" s="47"/>
      <c r="K51" s="60"/>
      <c r="L51" s="32"/>
      <c r="M51" s="32"/>
      <c r="N51" s="66"/>
      <c r="O51" s="32"/>
      <c r="P51" s="32"/>
      <c r="Q51" s="32"/>
      <c r="R51" s="32"/>
      <c r="S51" s="32"/>
      <c r="T51" s="32"/>
      <c r="U51" s="32"/>
    </row>
    <row r="52" spans="1:21" x14ac:dyDescent="0.25">
      <c r="A52" s="119" t="s">
        <v>252</v>
      </c>
      <c r="B52" s="120"/>
      <c r="C52" s="120"/>
      <c r="D52" s="120"/>
      <c r="E52" s="120"/>
      <c r="F52" s="120"/>
      <c r="G52" s="120"/>
      <c r="H52" s="47"/>
      <c r="I52" s="47"/>
      <c r="J52" s="47"/>
      <c r="K52" s="60"/>
      <c r="L52" s="76" t="s">
        <v>252</v>
      </c>
      <c r="M52" s="75"/>
      <c r="N52" s="75"/>
      <c r="O52" s="75"/>
      <c r="P52" s="75"/>
      <c r="Q52" s="75"/>
      <c r="R52" s="75"/>
      <c r="S52" s="32"/>
      <c r="T52" s="32"/>
      <c r="U52" s="32"/>
    </row>
    <row r="53" spans="1:21" ht="15.75" x14ac:dyDescent="0.3">
      <c r="A53" s="119" t="s">
        <v>79</v>
      </c>
      <c r="B53" s="121"/>
      <c r="C53" s="121"/>
      <c r="D53" s="121"/>
      <c r="E53" s="121"/>
      <c r="F53" s="122" t="s">
        <v>221</v>
      </c>
      <c r="G53" s="123"/>
      <c r="H53" s="47"/>
      <c r="I53" s="47"/>
      <c r="J53" s="47"/>
      <c r="K53" s="60"/>
      <c r="L53" s="76" t="s">
        <v>79</v>
      </c>
      <c r="M53" s="77"/>
      <c r="N53" s="77"/>
      <c r="O53" s="77"/>
      <c r="P53" s="77"/>
      <c r="Q53" s="78" t="s">
        <v>221</v>
      </c>
      <c r="R53" s="79"/>
      <c r="S53" s="80" t="b">
        <f>P56&lt;0</f>
        <v>0</v>
      </c>
      <c r="T53" s="32"/>
      <c r="U53" s="32"/>
    </row>
    <row r="54" spans="1:21" x14ac:dyDescent="0.25">
      <c r="A54" s="123"/>
      <c r="B54" s="123"/>
      <c r="C54" s="123"/>
      <c r="D54" s="123"/>
      <c r="E54" s="123"/>
      <c r="F54" s="123"/>
      <c r="G54" s="123"/>
      <c r="H54" s="47"/>
      <c r="I54" s="47"/>
      <c r="J54" s="47"/>
      <c r="K54" s="60"/>
      <c r="L54" s="79"/>
      <c r="M54" s="79"/>
      <c r="N54" s="79"/>
      <c r="O54" s="79"/>
      <c r="P54" s="79"/>
      <c r="Q54" s="79"/>
      <c r="R54" s="79"/>
      <c r="S54" s="32"/>
      <c r="T54" s="32"/>
      <c r="U54" s="32"/>
    </row>
    <row r="55" spans="1:21" ht="77.25" x14ac:dyDescent="0.3">
      <c r="A55" s="47"/>
      <c r="B55" s="124" t="s">
        <v>251</v>
      </c>
      <c r="C55" s="124" t="s">
        <v>80</v>
      </c>
      <c r="D55" s="124" t="s">
        <v>249</v>
      </c>
      <c r="E55" s="125" t="s">
        <v>250</v>
      </c>
      <c r="F55" s="47"/>
      <c r="G55" s="47"/>
      <c r="H55" s="47"/>
      <c r="I55" s="47"/>
      <c r="J55" s="47"/>
      <c r="K55" s="60"/>
      <c r="L55" s="32"/>
      <c r="M55" s="81" t="s">
        <v>251</v>
      </c>
      <c r="N55" s="81" t="s">
        <v>80</v>
      </c>
      <c r="O55" s="81" t="s">
        <v>249</v>
      </c>
      <c r="P55" s="82" t="s">
        <v>250</v>
      </c>
      <c r="Q55" s="83" t="str">
        <f>IF(P56&gt;0,"","The estimated value of x is calculating a negative Equiliburim Temperature. You must manually change x such that cell P52 is greater than zero. You can then follow the note below to converge on a solution.")</f>
        <v/>
      </c>
      <c r="R55" s="84"/>
      <c r="S55" s="84"/>
      <c r="T55" s="84"/>
      <c r="U55" s="32"/>
    </row>
    <row r="56" spans="1:21" ht="15" customHeight="1" x14ac:dyDescent="0.25">
      <c r="A56" s="56" t="s">
        <v>222</v>
      </c>
      <c r="B56" s="126">
        <v>124.93748611704227</v>
      </c>
      <c r="C56" s="127">
        <f>((E35+B56)^2*(E39+(3/4)*B56)^(3/2))/((E32-B56)^2*(E36-(1/2)*B56))*(D46/(E43+(1/4)*B56))^(1/2)</f>
        <v>26.233389176050668</v>
      </c>
      <c r="D56" s="128">
        <v>2080</v>
      </c>
      <c r="E56" s="129">
        <f>-963.3+2132*LN(C56)-660.4*LN(C56)^2+89.68*LN(C56)^3</f>
        <v>2080.4355430269038</v>
      </c>
      <c r="F56" s="130" t="s">
        <v>292</v>
      </c>
      <c r="G56" s="131"/>
      <c r="H56" s="131"/>
      <c r="I56" s="47"/>
      <c r="J56" s="47"/>
      <c r="K56" s="60"/>
      <c r="L56" s="41" t="s">
        <v>222</v>
      </c>
      <c r="M56" s="85">
        <v>124.93748611704228</v>
      </c>
      <c r="N56" s="87">
        <f>((P35+M56)^2*(P39+(3/4)*M56)^(3/2))/((P32-M56)^2*(P36-(1/2)*M56))*(O46/(P43+(1/4)*M56))^(1/2)</f>
        <v>26.233389176050697</v>
      </c>
      <c r="O56" s="86">
        <v>2080</v>
      </c>
      <c r="P56" s="88">
        <f>-963.3+2132*LN(N56)-660.4*LN(N56)^2+89.68*LN(N56)^3</f>
        <v>2080.4355430269038</v>
      </c>
      <c r="Q56" s="89" t="s">
        <v>295</v>
      </c>
      <c r="R56" s="90"/>
      <c r="S56" s="90"/>
      <c r="T56" s="90"/>
      <c r="U56" s="32"/>
    </row>
    <row r="57" spans="1:21" ht="16.5" x14ac:dyDescent="0.3">
      <c r="A57" s="132" t="s">
        <v>248</v>
      </c>
      <c r="B57" s="47"/>
      <c r="C57" s="47"/>
      <c r="D57" s="47"/>
      <c r="E57" s="47"/>
      <c r="F57" s="131"/>
      <c r="G57" s="131"/>
      <c r="H57" s="131"/>
      <c r="I57" s="47"/>
      <c r="J57" s="47"/>
      <c r="K57" s="60"/>
      <c r="L57" s="91" t="s">
        <v>248</v>
      </c>
      <c r="M57" s="32"/>
      <c r="N57" s="32"/>
      <c r="O57" s="32"/>
      <c r="P57" s="32"/>
      <c r="Q57" s="90"/>
      <c r="R57" s="90"/>
      <c r="S57" s="90"/>
      <c r="T57" s="90"/>
      <c r="U57" s="32"/>
    </row>
    <row r="58" spans="1:21" x14ac:dyDescent="0.25">
      <c r="A58" s="47" t="s">
        <v>82</v>
      </c>
      <c r="B58" s="47">
        <f>D88-D97</f>
        <v>0</v>
      </c>
      <c r="C58" s="47" t="s">
        <v>228</v>
      </c>
      <c r="D58" s="47"/>
      <c r="E58" s="47"/>
      <c r="F58" s="131"/>
      <c r="G58" s="131"/>
      <c r="H58" s="131"/>
      <c r="I58" s="47"/>
      <c r="J58" s="47"/>
      <c r="K58" s="60"/>
      <c r="L58" s="32" t="s">
        <v>82</v>
      </c>
      <c r="M58" s="32">
        <f>O88-O97</f>
        <v>0</v>
      </c>
      <c r="N58" s="32" t="s">
        <v>228</v>
      </c>
      <c r="O58" s="32"/>
      <c r="P58" s="32"/>
      <c r="Q58" s="90"/>
      <c r="R58" s="90"/>
      <c r="S58" s="90"/>
      <c r="T58" s="90"/>
      <c r="U58" s="32"/>
    </row>
    <row r="59" spans="1:21" x14ac:dyDescent="0.25">
      <c r="A59" s="47"/>
      <c r="B59" s="47"/>
      <c r="C59" s="47"/>
      <c r="D59" s="47"/>
      <c r="E59" s="47"/>
      <c r="F59" s="131"/>
      <c r="G59" s="131"/>
      <c r="H59" s="131"/>
      <c r="I59" s="47"/>
      <c r="J59" s="47"/>
      <c r="K59" s="60"/>
      <c r="L59" s="32"/>
      <c r="M59" s="32"/>
      <c r="N59" s="32"/>
      <c r="O59" s="32"/>
      <c r="P59" s="32"/>
      <c r="Q59" s="90"/>
      <c r="R59" s="90"/>
      <c r="S59" s="90"/>
      <c r="T59" s="90"/>
      <c r="U59" s="32"/>
    </row>
    <row r="60" spans="1:21" x14ac:dyDescent="0.25">
      <c r="A60" s="47"/>
      <c r="B60" s="49"/>
      <c r="C60" s="133" t="s">
        <v>84</v>
      </c>
      <c r="D60" s="134"/>
      <c r="E60" s="47"/>
      <c r="F60" s="131"/>
      <c r="G60" s="131"/>
      <c r="H60" s="131"/>
      <c r="I60" s="47"/>
      <c r="J60" s="47"/>
      <c r="K60" s="60"/>
      <c r="L60" s="32"/>
      <c r="M60" s="34"/>
      <c r="N60" s="93" t="s">
        <v>84</v>
      </c>
      <c r="O60" s="92"/>
      <c r="P60" s="32"/>
      <c r="Q60" s="90"/>
      <c r="R60" s="90"/>
      <c r="S60" s="90"/>
      <c r="T60" s="90"/>
      <c r="U60" s="32"/>
    </row>
    <row r="61" spans="1:21" ht="15" customHeight="1" x14ac:dyDescent="0.25">
      <c r="A61" s="47"/>
      <c r="B61" s="49"/>
      <c r="C61" s="50" t="s">
        <v>85</v>
      </c>
      <c r="D61" s="50">
        <f>'Example 22-1 Conditions'!B7</f>
        <v>110</v>
      </c>
      <c r="E61" s="47" t="s">
        <v>32</v>
      </c>
      <c r="F61" s="47"/>
      <c r="G61" s="47"/>
      <c r="H61" s="47"/>
      <c r="I61" s="47"/>
      <c r="J61" s="47"/>
      <c r="K61" s="60"/>
      <c r="L61" s="32"/>
      <c r="M61" s="34"/>
      <c r="N61" s="35" t="s">
        <v>85</v>
      </c>
      <c r="O61" s="35">
        <f>'Example 22-1 Conditions'!M7</f>
        <v>110</v>
      </c>
      <c r="P61" s="32" t="s">
        <v>32</v>
      </c>
      <c r="Q61" s="90"/>
      <c r="R61" s="90"/>
      <c r="S61" s="90"/>
      <c r="T61" s="90"/>
      <c r="U61" s="32"/>
    </row>
    <row r="62" spans="1:21" ht="16.5" customHeight="1" x14ac:dyDescent="0.25">
      <c r="A62" s="47"/>
      <c r="B62" s="50" t="s">
        <v>86</v>
      </c>
      <c r="C62" s="50" t="s">
        <v>87</v>
      </c>
      <c r="D62" s="50" t="s">
        <v>83</v>
      </c>
      <c r="E62" s="47"/>
      <c r="F62" s="47"/>
      <c r="G62" s="47"/>
      <c r="H62" s="47"/>
      <c r="I62" s="47"/>
      <c r="J62" s="47"/>
      <c r="K62" s="60"/>
      <c r="L62" s="32"/>
      <c r="M62" s="35" t="s">
        <v>86</v>
      </c>
      <c r="N62" s="35" t="s">
        <v>87</v>
      </c>
      <c r="O62" s="35" t="s">
        <v>83</v>
      </c>
      <c r="P62" s="32"/>
      <c r="Q62" s="90"/>
      <c r="R62" s="90"/>
      <c r="S62" s="90"/>
      <c r="T62" s="90"/>
      <c r="U62" s="32"/>
    </row>
    <row r="63" spans="1:21" ht="16.5" customHeight="1" x14ac:dyDescent="0.3">
      <c r="A63" s="47" t="s">
        <v>41</v>
      </c>
      <c r="B63" s="52">
        <f>B32</f>
        <v>291.07541972035972</v>
      </c>
      <c r="C63" s="135">
        <f>(IF(ROUNDDOWN(D61,-2)=ROUNDUP(D61,-2),VLOOKUP(D61,Enthalpy,19),VLOOKUP(ROUNDDOWN(D61,-2),Enthalpy,19)+(D61-ROUNDDOWN(D61,-2))/(ROUNDUP(D61,-2)-ROUNDDOWN(D61,-2))*(VLOOKUP(ROUNDUP(D61,-2),Enthalpy,19)-VLOOKUP(ROUNDDOWN(D61,-2),Enthalpy,19))))</f>
        <v>628.48</v>
      </c>
      <c r="D63" s="136">
        <f>B63*C63</f>
        <v>182935.07978585167</v>
      </c>
      <c r="E63" s="47"/>
      <c r="F63" s="47"/>
      <c r="G63" s="47"/>
      <c r="H63" s="47"/>
      <c r="I63" s="47"/>
      <c r="J63" s="47"/>
      <c r="K63" s="60"/>
      <c r="L63" s="32" t="s">
        <v>41</v>
      </c>
      <c r="M63" s="71">
        <f>M32</f>
        <v>291.07541972035972</v>
      </c>
      <c r="N63" s="94">
        <f>(IF(ROUNDDOWN(O61,-2)=ROUNDUP(O61,-2),VLOOKUP(O61,Enthalpy,19),VLOOKUP(ROUNDDOWN(O61,-2),Enthalpy,19)+(O61-ROUNDDOWN(O61,-2))/(ROUNDUP(O61,-2)-ROUNDDOWN(O61,-2))*(VLOOKUP(ROUNDUP(O61,-2),Enthalpy,19)-VLOOKUP(ROUNDDOWN(O61,-2),Enthalpy,19))))</f>
        <v>628.48</v>
      </c>
      <c r="O63" s="95">
        <f>M63*N63</f>
        <v>182935.07978585167</v>
      </c>
      <c r="P63" s="32"/>
      <c r="Q63" s="90"/>
      <c r="R63" s="90"/>
      <c r="S63" s="90"/>
      <c r="T63" s="90"/>
      <c r="U63" s="32"/>
    </row>
    <row r="64" spans="1:21" ht="16.5" x14ac:dyDescent="0.3">
      <c r="A64" s="47" t="s">
        <v>44</v>
      </c>
      <c r="B64" s="52">
        <f>B33</f>
        <v>154.39235370822706</v>
      </c>
      <c r="C64" s="135">
        <f>(IF(ROUNDDOWN(D61,-2)=ROUNDUP(D61,-2),VLOOKUP(D61,Enthalpy,14),VLOOKUP(ROUNDDOWN(D61,-2),Enthalpy,14)+(D61-ROUNDDOWN(D61,-2))/(ROUNDUP(D61,-2)-ROUNDDOWN(D61,-2))*(VLOOKUP(ROUNDUP(D61,-2),Enthalpy,14)-VLOOKUP(ROUNDDOWN(D61,-2),Enthalpy,14))))</f>
        <v>697.54</v>
      </c>
      <c r="D64" s="136">
        <f>B64*C64</f>
        <v>107694.84240563669</v>
      </c>
      <c r="E64" s="47"/>
      <c r="F64" s="47"/>
      <c r="G64" s="47"/>
      <c r="H64" s="47"/>
      <c r="I64" s="47"/>
      <c r="J64" s="47"/>
      <c r="K64" s="60"/>
      <c r="L64" s="32" t="s">
        <v>44</v>
      </c>
      <c r="M64" s="71">
        <f>M33</f>
        <v>154.39235370822706</v>
      </c>
      <c r="N64" s="94">
        <f>(IF(ROUNDDOWN(O61,-2)=ROUNDUP(O61,-2),VLOOKUP(O61,Enthalpy,14),VLOOKUP(ROUNDDOWN(O61,-2),Enthalpy,14)+(O61-ROUNDDOWN(O61,-2))/(ROUNDUP(O61,-2)-ROUNDDOWN(O61,-2))*(VLOOKUP(ROUNDUP(O61,-2),Enthalpy,14)-VLOOKUP(ROUNDDOWN(O61,-2),Enthalpy,14))))</f>
        <v>697.54</v>
      </c>
      <c r="O64" s="95">
        <f>M64*N64</f>
        <v>107694.84240563669</v>
      </c>
      <c r="P64" s="32"/>
      <c r="Q64" s="90"/>
      <c r="R64" s="90"/>
      <c r="S64" s="90"/>
      <c r="T64" s="90"/>
      <c r="U64" s="32"/>
    </row>
    <row r="65" spans="1:21" ht="16.5" x14ac:dyDescent="0.3">
      <c r="A65" s="47" t="s">
        <v>212</v>
      </c>
      <c r="B65" s="52">
        <f>B34</f>
        <v>0</v>
      </c>
      <c r="C65" s="135">
        <f>(IF(ROUNDDOWN(D61,-2)=ROUNDUP(D61,-2),VLOOKUP(D61,Enthalpy,12),VLOOKUP(ROUNDDOWN(D61,-2),Enthalpy,12)+(D61-ROUNDDOWN(D61,-2))/(ROUNDUP(D61,-2)-ROUNDDOWN(D61,-2))*(VLOOKUP(ROUNDUP(D61,-2),Enthalpy,12)-VLOOKUP(ROUNDDOWN(D61,-2),Enthalpy,12))))</f>
        <v>545.34</v>
      </c>
      <c r="D65" s="136">
        <f>B65*C65</f>
        <v>0</v>
      </c>
      <c r="E65" s="47"/>
      <c r="F65" s="47"/>
      <c r="G65" s="47"/>
      <c r="H65" s="47"/>
      <c r="I65" s="47"/>
      <c r="J65" s="47"/>
      <c r="K65" s="60"/>
      <c r="L65" s="32" t="s">
        <v>212</v>
      </c>
      <c r="M65" s="71">
        <f>M34</f>
        <v>0</v>
      </c>
      <c r="N65" s="94">
        <f>(IF(ROUNDDOWN(O61,-2)=ROUNDUP(O61,-2),VLOOKUP(O61,Enthalpy,12),VLOOKUP(ROUNDDOWN(O61,-2),Enthalpy,12)+(O61-ROUNDDOWN(O61,-2))/(ROUNDUP(O61,-2)-ROUNDDOWN(O61,-2))*(VLOOKUP(ROUNDUP(O61,-2),Enthalpy,12)-VLOOKUP(ROUNDDOWN(O61,-2),Enthalpy,12))))</f>
        <v>545.34</v>
      </c>
      <c r="O65" s="95">
        <f>M65*N65</f>
        <v>0</v>
      </c>
      <c r="P65" s="32"/>
      <c r="Q65" s="96"/>
      <c r="R65" s="96"/>
      <c r="S65" s="96"/>
      <c r="T65" s="96"/>
      <c r="U65" s="32"/>
    </row>
    <row r="66" spans="1:21" ht="16.5" x14ac:dyDescent="0.3">
      <c r="A66" s="47" t="s">
        <v>47</v>
      </c>
      <c r="B66" s="52">
        <f>B35</f>
        <v>29.755442741405282</v>
      </c>
      <c r="C66" s="135">
        <f>(IF(ROUNDDOWN(D61,-2)=ROUNDUP(D61,-2),VLOOKUP(D61,Enthalpy,15),VLOOKUP(ROUNDDOWN(D61,-2),Enthalpy,15)+(D61-ROUNDDOWN(D61,-2))/(ROUNDUP(D61,-2)-ROUNDDOWN(D61,-2))*(VLOOKUP(ROUNDUP(D61,-2),Enthalpy,15)-VLOOKUP(ROUNDDOWN(D61,-2),Enthalpy,15))))</f>
        <v>640.19000000000005</v>
      </c>
      <c r="D66" s="136">
        <f>B66*C66</f>
        <v>19049.136888620251</v>
      </c>
      <c r="E66" s="47"/>
      <c r="F66" s="47"/>
      <c r="G66" s="47"/>
      <c r="H66" s="47"/>
      <c r="I66" s="47"/>
      <c r="J66" s="47"/>
      <c r="K66" s="60"/>
      <c r="L66" s="32" t="s">
        <v>47</v>
      </c>
      <c r="M66" s="71">
        <f>M35</f>
        <v>29.755442741405282</v>
      </c>
      <c r="N66" s="94">
        <f>(IF(ROUNDDOWN(O61,-2)=ROUNDUP(O61,-2),VLOOKUP(O61,Enthalpy,15),VLOOKUP(ROUNDDOWN(O61,-2),Enthalpy,15)+(O61-ROUNDDOWN(O61,-2))/(ROUNDUP(O61,-2)-ROUNDDOWN(O61,-2))*(VLOOKUP(ROUNDUP(O61,-2),Enthalpy,15)-VLOOKUP(ROUNDDOWN(O61,-2),Enthalpy,15))))</f>
        <v>640.19000000000005</v>
      </c>
      <c r="O66" s="95">
        <f>M66*N66</f>
        <v>19049.136888620251</v>
      </c>
      <c r="P66" s="32"/>
      <c r="Q66" s="96"/>
      <c r="R66" s="96"/>
      <c r="S66" s="96"/>
      <c r="T66" s="96"/>
      <c r="U66" s="32"/>
    </row>
    <row r="67" spans="1:21" ht="16.5" x14ac:dyDescent="0.3">
      <c r="A67" s="47" t="s">
        <v>48</v>
      </c>
      <c r="B67" s="58">
        <f>B42</f>
        <v>4.7032796591253501</v>
      </c>
      <c r="C67" s="135">
        <f>(IF(ROUNDDOWN(D61,-2)=ROUNDUP(D61,-2),VLOOKUP(D61,Enthalpy,2),VLOOKUP(ROUNDDOWN(D61,-2),Enthalpy,2)+(D61-ROUNDDOWN(D61,-2))/(ROUNDUP(D61,-2)-ROUNDDOWN(D61,-2))*(VLOOKUP(ROUNDUP(D61,-2),Enthalpy,2)-VLOOKUP(ROUNDDOWN(D61,-2),Enthalpy,2))))</f>
        <v>655.43000000000006</v>
      </c>
      <c r="D67" s="137">
        <f>B67*C67</f>
        <v>3082.6705869805287</v>
      </c>
      <c r="E67" s="47"/>
      <c r="F67" s="47"/>
      <c r="G67" s="47"/>
      <c r="H67" s="47"/>
      <c r="I67" s="47"/>
      <c r="J67" s="47"/>
      <c r="K67" s="60"/>
      <c r="L67" s="32" t="s">
        <v>48</v>
      </c>
      <c r="M67" s="72">
        <f>M42</f>
        <v>4.7032796591253501</v>
      </c>
      <c r="N67" s="94">
        <f>(IF(ROUNDDOWN(O61,-2)=ROUNDUP(O61,-2),VLOOKUP(O61,Enthalpy,2),VLOOKUP(ROUNDDOWN(O61,-2),Enthalpy,2)+(O61-ROUNDDOWN(O61,-2))/(ROUNDUP(O61,-2)-ROUNDDOWN(O61,-2))*(VLOOKUP(ROUNDUP(O61,-2),Enthalpy,2)-VLOOKUP(ROUNDDOWN(O61,-2),Enthalpy,2))))</f>
        <v>655.43000000000006</v>
      </c>
      <c r="O67" s="97">
        <f>M67*N67</f>
        <v>3082.6705869805287</v>
      </c>
      <c r="P67" s="32"/>
      <c r="Q67" s="96"/>
      <c r="R67" s="96"/>
      <c r="S67" s="96"/>
      <c r="T67" s="96"/>
      <c r="U67" s="32"/>
    </row>
    <row r="68" spans="1:21" x14ac:dyDescent="0.25">
      <c r="A68" s="47"/>
      <c r="B68" s="52">
        <f>SUM(B63:B67)</f>
        <v>479.92649582911741</v>
      </c>
      <c r="C68" s="56"/>
      <c r="D68" s="136">
        <f>SUM(D63:D67)</f>
        <v>312761.72966708918</v>
      </c>
      <c r="E68" s="47"/>
      <c r="F68" s="47"/>
      <c r="G68" s="47"/>
      <c r="H68" s="47"/>
      <c r="I68" s="47"/>
      <c r="J68" s="47"/>
      <c r="K68" s="60"/>
      <c r="L68" s="32"/>
      <c r="M68" s="71">
        <f>SUM(M63:M67)</f>
        <v>479.92649582911741</v>
      </c>
      <c r="N68" s="41"/>
      <c r="O68" s="95">
        <f>SUM(O63:O67)</f>
        <v>312761.72966708918</v>
      </c>
      <c r="P68" s="32"/>
      <c r="Q68" s="32"/>
      <c r="R68" s="32"/>
      <c r="S68" s="32"/>
      <c r="T68" s="32"/>
      <c r="U68" s="32"/>
    </row>
    <row r="69" spans="1:21" x14ac:dyDescent="0.25">
      <c r="A69" s="47"/>
      <c r="B69" s="49"/>
      <c r="C69" s="49"/>
      <c r="D69" s="138"/>
      <c r="E69" s="47"/>
      <c r="F69" s="123"/>
      <c r="G69" s="47"/>
      <c r="H69" s="47"/>
      <c r="I69" s="47"/>
      <c r="J69" s="47"/>
      <c r="K69" s="60"/>
      <c r="L69" s="32"/>
      <c r="M69" s="34"/>
      <c r="N69" s="34"/>
      <c r="O69" s="98"/>
      <c r="P69" s="32"/>
      <c r="Q69" s="79"/>
      <c r="R69" s="32"/>
      <c r="S69" s="32"/>
      <c r="T69" s="32"/>
      <c r="U69" s="32"/>
    </row>
    <row r="70" spans="1:21" x14ac:dyDescent="0.25">
      <c r="A70" s="47"/>
      <c r="B70" s="49"/>
      <c r="C70" s="133" t="s">
        <v>88</v>
      </c>
      <c r="D70" s="134"/>
      <c r="E70" s="47"/>
      <c r="F70" s="123"/>
      <c r="G70" s="47"/>
      <c r="H70" s="47"/>
      <c r="I70" s="47"/>
      <c r="J70" s="47"/>
      <c r="K70" s="60"/>
      <c r="L70" s="32"/>
      <c r="M70" s="34"/>
      <c r="N70" s="93" t="s">
        <v>88</v>
      </c>
      <c r="O70" s="92"/>
      <c r="P70" s="32"/>
      <c r="Q70" s="79"/>
      <c r="R70" s="32"/>
      <c r="S70" s="32"/>
      <c r="T70" s="32"/>
      <c r="U70" s="32"/>
    </row>
    <row r="71" spans="1:21" x14ac:dyDescent="0.25">
      <c r="A71" s="47"/>
      <c r="B71" s="49"/>
      <c r="C71" s="50" t="s">
        <v>85</v>
      </c>
      <c r="D71" s="50">
        <f>'Example 22-1 Conditions'!G9</f>
        <v>180</v>
      </c>
      <c r="E71" s="47" t="s">
        <v>32</v>
      </c>
      <c r="F71" s="47"/>
      <c r="G71" s="47"/>
      <c r="H71" s="47"/>
      <c r="I71" s="47"/>
      <c r="J71" s="47"/>
      <c r="K71" s="60"/>
      <c r="L71" s="32"/>
      <c r="M71" s="34"/>
      <c r="N71" s="35" t="s">
        <v>85</v>
      </c>
      <c r="O71" s="35">
        <f>'Example 22-1 Conditions'!R9</f>
        <v>180</v>
      </c>
      <c r="P71" s="32" t="s">
        <v>32</v>
      </c>
      <c r="Q71" s="32"/>
      <c r="R71" s="32"/>
      <c r="S71" s="32"/>
      <c r="T71" s="32"/>
      <c r="U71" s="32"/>
    </row>
    <row r="72" spans="1:21" x14ac:dyDescent="0.25">
      <c r="A72" s="47"/>
      <c r="B72" s="50" t="s">
        <v>86</v>
      </c>
      <c r="C72" s="50" t="s">
        <v>89</v>
      </c>
      <c r="D72" s="139" t="s">
        <v>83</v>
      </c>
      <c r="E72" s="47"/>
      <c r="F72" s="47"/>
      <c r="G72" s="47"/>
      <c r="H72" s="47"/>
      <c r="I72" s="47"/>
      <c r="J72" s="47"/>
      <c r="K72" s="60"/>
      <c r="L72" s="32"/>
      <c r="M72" s="35" t="s">
        <v>86</v>
      </c>
      <c r="N72" s="35" t="s">
        <v>89</v>
      </c>
      <c r="O72" s="99" t="s">
        <v>83</v>
      </c>
      <c r="P72" s="32"/>
      <c r="Q72" s="32"/>
      <c r="R72" s="32"/>
      <c r="S72" s="32"/>
      <c r="T72" s="32"/>
      <c r="U72" s="32"/>
    </row>
    <row r="73" spans="1:21" ht="16.5" x14ac:dyDescent="0.3">
      <c r="A73" s="47" t="s">
        <v>69</v>
      </c>
      <c r="B73" s="52">
        <f>C38</f>
        <v>146.79415742626048</v>
      </c>
      <c r="C73" s="135">
        <f>(IF(ROUNDDOWN(D71,-2)=ROUNDUP(D71,-2),VLOOKUP(D71,Enthalpy,10),VLOOKUP(ROUNDDOWN(D71,-2),Enthalpy,10)+(D71-ROUNDDOWN(D71,-2))/(ROUNDUP(D71,-2)-ROUNDDOWN(D71,-2))*(VLOOKUP(ROUNDUP(D71,-2),Enthalpy,10)-VLOOKUP(ROUNDDOWN(D71,-2),Enthalpy,10))))</f>
        <v>1084.1600000000001</v>
      </c>
      <c r="D73" s="136">
        <f>B73*C73</f>
        <v>159148.35371525458</v>
      </c>
      <c r="E73" s="47"/>
      <c r="F73" s="47"/>
      <c r="G73" s="47"/>
      <c r="H73" s="47"/>
      <c r="I73" s="47"/>
      <c r="J73" s="47"/>
      <c r="K73" s="60"/>
      <c r="L73" s="32" t="s">
        <v>69</v>
      </c>
      <c r="M73" s="71">
        <f>N38</f>
        <v>146.79415742626048</v>
      </c>
      <c r="N73" s="94">
        <f>(IF(ROUNDDOWN(O71,-2)=ROUNDUP(O71,-2),VLOOKUP(O71,Enthalpy,10),VLOOKUP(ROUNDDOWN(O71,-2),Enthalpy,10)+(O71-ROUNDDOWN(O71,-2))/(ROUNDUP(O71,-2)-ROUNDDOWN(O71,-2))*(VLOOKUP(ROUNDUP(O71,-2),Enthalpy,10)-VLOOKUP(ROUNDDOWN(O71,-2),Enthalpy,10))))</f>
        <v>1084.1600000000001</v>
      </c>
      <c r="O73" s="95">
        <f>M73*N73</f>
        <v>159148.35371525458</v>
      </c>
      <c r="P73" s="32"/>
      <c r="Q73" s="32"/>
      <c r="R73" s="32"/>
      <c r="S73" s="32"/>
      <c r="T73" s="32"/>
      <c r="U73" s="32"/>
    </row>
    <row r="74" spans="1:21" ht="16.5" x14ac:dyDescent="0.3">
      <c r="A74" s="47" t="s">
        <v>68</v>
      </c>
      <c r="B74" s="52">
        <f>C37</f>
        <v>551.97957289408987</v>
      </c>
      <c r="C74" s="135">
        <f>(IF(ROUNDDOWN(D71,-2)=ROUNDUP(D71,-2),VLOOKUP(D71,Enthalpy,9),VLOOKUP(ROUNDDOWN(D71,-2),Enthalpy,9)+(D71-ROUNDDOWN(D71,-2))/(ROUNDUP(D71,-2)-ROUNDDOWN(D71,-2))*(VLOOKUP(ROUNDUP(D71,-2),Enthalpy,9)-VLOOKUP(ROUNDDOWN(D71,-2),Enthalpy,9))))</f>
        <v>1033.22</v>
      </c>
      <c r="D74" s="136">
        <f>B74*C74</f>
        <v>570316.33430563158</v>
      </c>
      <c r="E74" s="47"/>
      <c r="F74" s="47"/>
      <c r="G74" s="47"/>
      <c r="H74" s="47"/>
      <c r="I74" s="47"/>
      <c r="J74" s="47"/>
      <c r="K74" s="60"/>
      <c r="L74" s="32" t="s">
        <v>68</v>
      </c>
      <c r="M74" s="71">
        <f>N37</f>
        <v>551.97957289408987</v>
      </c>
      <c r="N74" s="94">
        <f>(IF(ROUNDDOWN(O71,-2)=ROUNDUP(O71,-2),VLOOKUP(O71,Enthalpy,9),VLOOKUP(ROUNDDOWN(O71,-2),Enthalpy,9)+(O71-ROUNDDOWN(O71,-2))/(ROUNDUP(O71,-2)-ROUNDDOWN(O71,-2))*(VLOOKUP(ROUNDUP(O71,-2),Enthalpy,9)-VLOOKUP(ROUNDDOWN(O71,-2),Enthalpy,9))))</f>
        <v>1033.22</v>
      </c>
      <c r="O74" s="95">
        <f>M74*N74</f>
        <v>570316.33430563158</v>
      </c>
      <c r="P74" s="32"/>
      <c r="Q74" s="32"/>
      <c r="R74" s="32"/>
      <c r="S74" s="32"/>
      <c r="T74" s="32"/>
      <c r="U74" s="32"/>
    </row>
    <row r="75" spans="1:21" ht="16.5" x14ac:dyDescent="0.3">
      <c r="A75" s="47" t="s">
        <v>47</v>
      </c>
      <c r="B75" s="140">
        <f>C35</f>
        <v>20.753579790514404</v>
      </c>
      <c r="C75" s="135">
        <f>(IF(ROUNDDOWN(D71,-2)=ROUNDUP(D71,-2),VLOOKUP(D71,Enthalpy,15),VLOOKUP(ROUNDDOWN(D71,-2),Enthalpy,15)+(D71-ROUNDDOWN(D71,-2))/(ROUNDUP(D71,-2)-ROUNDDOWN(D71,-2))*(VLOOKUP(ROUNDUP(D71,-2),Enthalpy,15)-VLOOKUP(ROUNDDOWN(D71,-2),Enthalpy,15))))</f>
        <v>1221.8200000000002</v>
      </c>
      <c r="D75" s="137">
        <f>B75*C75</f>
        <v>25357.138859646311</v>
      </c>
      <c r="E75" s="47"/>
      <c r="F75" s="47"/>
      <c r="G75" s="47"/>
      <c r="H75" s="47"/>
      <c r="I75" s="47"/>
      <c r="J75" s="47"/>
      <c r="K75" s="60"/>
      <c r="L75" s="32" t="s">
        <v>47</v>
      </c>
      <c r="M75" s="100">
        <f>N35</f>
        <v>20.753579790514404</v>
      </c>
      <c r="N75" s="94">
        <f>(IF(ROUNDDOWN(O71,-2)=ROUNDUP(O71,-2),VLOOKUP(O71,Enthalpy,15),VLOOKUP(ROUNDDOWN(O71,-2),Enthalpy,15)+(O71-ROUNDDOWN(O71,-2))/(ROUNDUP(O71,-2)-ROUNDDOWN(O71,-2))*(VLOOKUP(ROUNDUP(O71,-2),Enthalpy,15)-VLOOKUP(ROUNDDOWN(O71,-2),Enthalpy,15))))</f>
        <v>1221.8200000000002</v>
      </c>
      <c r="O75" s="97">
        <f>M75*N75</f>
        <v>25357.138859646311</v>
      </c>
      <c r="P75" s="32"/>
      <c r="Q75" s="32"/>
      <c r="R75" s="32"/>
      <c r="S75" s="32"/>
      <c r="T75" s="32"/>
      <c r="U75" s="32"/>
    </row>
    <row r="76" spans="1:21" x14ac:dyDescent="0.25">
      <c r="A76" s="47"/>
      <c r="B76" s="141">
        <f>SUM(B73:B75)</f>
        <v>719.52731011086473</v>
      </c>
      <c r="C76" s="56"/>
      <c r="D76" s="136">
        <f>SUM(D73:D75)</f>
        <v>754821.82688053243</v>
      </c>
      <c r="E76" s="47"/>
      <c r="F76" s="47"/>
      <c r="G76" s="47"/>
      <c r="H76" s="47"/>
      <c r="I76" s="47"/>
      <c r="J76" s="47"/>
      <c r="K76" s="60"/>
      <c r="L76" s="32"/>
      <c r="M76" s="101">
        <f>SUM(M73:M75)</f>
        <v>719.52731011086473</v>
      </c>
      <c r="N76" s="41"/>
      <c r="O76" s="95">
        <f>SUM(O73:O75)</f>
        <v>754821.82688053243</v>
      </c>
      <c r="P76" s="32"/>
      <c r="Q76" s="32"/>
      <c r="R76" s="32"/>
      <c r="S76" s="32"/>
      <c r="T76" s="32"/>
      <c r="U76" s="32"/>
    </row>
    <row r="77" spans="1:21" x14ac:dyDescent="0.25">
      <c r="A77" s="47"/>
      <c r="B77" s="49"/>
      <c r="C77" s="49"/>
      <c r="D77" s="138"/>
      <c r="E77" s="47"/>
      <c r="F77" s="47"/>
      <c r="G77" s="47"/>
      <c r="H77" s="47"/>
      <c r="I77" s="47"/>
      <c r="J77" s="47"/>
      <c r="K77" s="60"/>
      <c r="L77" s="32"/>
      <c r="M77" s="34"/>
      <c r="N77" s="34"/>
      <c r="O77" s="98"/>
      <c r="P77" s="32"/>
      <c r="Q77" s="32"/>
      <c r="R77" s="32"/>
      <c r="S77" s="32"/>
      <c r="T77" s="32"/>
      <c r="U77" s="32"/>
    </row>
    <row r="78" spans="1:21" x14ac:dyDescent="0.25">
      <c r="A78" s="142" t="s">
        <v>210</v>
      </c>
      <c r="B78" s="49"/>
      <c r="C78" s="133" t="s">
        <v>90</v>
      </c>
      <c r="D78" s="134"/>
      <c r="E78" s="47"/>
      <c r="F78" s="47"/>
      <c r="G78" s="47"/>
      <c r="H78" s="47"/>
      <c r="I78" s="47"/>
      <c r="J78" s="47"/>
      <c r="K78" s="60"/>
      <c r="L78" s="102" t="s">
        <v>210</v>
      </c>
      <c r="M78" s="34"/>
      <c r="N78" s="93" t="s">
        <v>90</v>
      </c>
      <c r="O78" s="92"/>
      <c r="P78" s="32"/>
      <c r="Q78" s="32"/>
      <c r="R78" s="32"/>
      <c r="S78" s="32"/>
      <c r="T78" s="32"/>
      <c r="U78" s="32"/>
    </row>
    <row r="79" spans="1:21" x14ac:dyDescent="0.25">
      <c r="A79" s="47"/>
      <c r="B79" s="49"/>
      <c r="C79" s="50" t="s">
        <v>85</v>
      </c>
      <c r="D79" s="139">
        <f>E56</f>
        <v>2080.4355430269038</v>
      </c>
      <c r="E79" s="47" t="s">
        <v>32</v>
      </c>
      <c r="F79" s="47"/>
      <c r="G79" s="47"/>
      <c r="H79" s="47"/>
      <c r="I79" s="47"/>
      <c r="J79" s="47"/>
      <c r="K79" s="60"/>
      <c r="L79" s="32"/>
      <c r="M79" s="34"/>
      <c r="N79" s="35" t="s">
        <v>85</v>
      </c>
      <c r="O79" s="99">
        <f>P56</f>
        <v>2080.4355430269038</v>
      </c>
      <c r="P79" s="32" t="s">
        <v>32</v>
      </c>
      <c r="Q79" s="32"/>
      <c r="R79" s="32"/>
      <c r="S79" s="32"/>
      <c r="T79" s="32"/>
      <c r="U79" s="32"/>
    </row>
    <row r="80" spans="1:21" x14ac:dyDescent="0.25">
      <c r="A80" s="47"/>
      <c r="B80" s="50" t="s">
        <v>86</v>
      </c>
      <c r="C80" s="50" t="s">
        <v>87</v>
      </c>
      <c r="D80" s="50" t="s">
        <v>83</v>
      </c>
      <c r="E80" s="47"/>
      <c r="F80" s="47"/>
      <c r="G80" s="47"/>
      <c r="H80" s="47"/>
      <c r="I80" s="47"/>
      <c r="J80" s="47"/>
      <c r="K80" s="60"/>
      <c r="L80" s="32"/>
      <c r="M80" s="35" t="s">
        <v>86</v>
      </c>
      <c r="N80" s="35" t="s">
        <v>87</v>
      </c>
      <c r="O80" s="35" t="s">
        <v>83</v>
      </c>
      <c r="P80" s="32"/>
      <c r="Q80" s="32"/>
      <c r="R80" s="32"/>
      <c r="S80" s="32"/>
      <c r="T80" s="32"/>
      <c r="U80" s="32"/>
    </row>
    <row r="81" spans="1:21" ht="16.5" x14ac:dyDescent="0.3">
      <c r="A81" s="47" t="s">
        <v>41</v>
      </c>
      <c r="B81" s="52">
        <f>E32-B56</f>
        <v>58.245978026970775</v>
      </c>
      <c r="C81" s="136">
        <f>(IF(ROUNDDOWN(D79,-2)=ROUNDUP(D79,-2),VLOOKUP(D79,Enthalpy,19),VLOOKUP(ROUNDDOWN(D79,-2),Enthalpy,19)+(D79-ROUNDDOWN(D79,-2))/(ROUNDUP(D79,-2)-ROUNDDOWN(D79,-2))*(VLOOKUP(ROUNDUP(D79,-2),Enthalpy,19)-VLOOKUP(ROUNDDOWN(D79,-2),Enthalpy,19))))</f>
        <v>21237.400733533606</v>
      </c>
      <c r="D81" s="136">
        <f t="shared" ref="D81:D87" si="2">B81*C81</f>
        <v>1236993.1764753715</v>
      </c>
      <c r="E81" s="47"/>
      <c r="F81" s="47"/>
      <c r="G81" s="47"/>
      <c r="H81" s="47"/>
      <c r="I81" s="47"/>
      <c r="J81" s="47"/>
      <c r="K81" s="60"/>
      <c r="L81" s="32" t="s">
        <v>41</v>
      </c>
      <c r="M81" s="71">
        <f>P32-M56</f>
        <v>58.245978026970761</v>
      </c>
      <c r="N81" s="95">
        <f>(IF(ROUNDDOWN(O79,-2)=ROUNDUP(O79,-2),VLOOKUP(O79,Enthalpy,19),VLOOKUP(ROUNDDOWN(O79,-2),Enthalpy,19)+(O79-ROUNDDOWN(O79,-2))/(ROUNDUP(O79,-2)-ROUNDDOWN(O79,-2))*(VLOOKUP(ROUNDUP(O79,-2),Enthalpy,19)-VLOOKUP(ROUNDDOWN(O79,-2),Enthalpy,19))))</f>
        <v>21237.400733533606</v>
      </c>
      <c r="O81" s="95">
        <f t="shared" ref="O81:O87" si="3">M81*N81</f>
        <v>1236993.1764753712</v>
      </c>
      <c r="P81" s="32"/>
      <c r="Q81" s="32"/>
      <c r="R81" s="32"/>
      <c r="S81" s="32"/>
      <c r="T81" s="32"/>
      <c r="U81" s="32"/>
    </row>
    <row r="82" spans="1:21" ht="16.5" x14ac:dyDescent="0.3">
      <c r="A82" s="47" t="s">
        <v>44</v>
      </c>
      <c r="B82" s="52">
        <f>E33</f>
        <v>159.09563336735241</v>
      </c>
      <c r="C82" s="136">
        <f>(IF(ROUNDDOWN(D79,-2)=ROUNDUP(D79,-2),VLOOKUP(D79,Enthalpy,14),VLOOKUP(ROUNDDOWN(D79,-2),Enthalpy,14)+(D79-ROUNDDOWN(D79,-2))/(ROUNDUP(D79,-2)-ROUNDDOWN(D79,-2))*(VLOOKUP(ROUNDUP(D79,-2),Enthalpy,14)-VLOOKUP(ROUNDDOWN(D79,-2),Enthalpy,14))))</f>
        <v>24674.032270922617</v>
      </c>
      <c r="D82" s="136">
        <f t="shared" si="2"/>
        <v>3925530.7918689265</v>
      </c>
      <c r="E82" s="47"/>
      <c r="F82" s="47"/>
      <c r="G82" s="47"/>
      <c r="H82" s="47"/>
      <c r="I82" s="47"/>
      <c r="J82" s="47"/>
      <c r="K82" s="60"/>
      <c r="L82" s="32" t="s">
        <v>44</v>
      </c>
      <c r="M82" s="71">
        <f>P33</f>
        <v>159.09563336735241</v>
      </c>
      <c r="N82" s="95">
        <f>(IF(ROUNDDOWN(O79,-2)=ROUNDUP(O79,-2),VLOOKUP(O79,Enthalpy,14),VLOOKUP(ROUNDDOWN(O79,-2),Enthalpy,14)+(O79-ROUNDDOWN(O79,-2))/(ROUNDUP(O79,-2)-ROUNDDOWN(O79,-2))*(VLOOKUP(ROUNDUP(O79,-2),Enthalpy,14)-VLOOKUP(ROUNDDOWN(O79,-2),Enthalpy,14))))</f>
        <v>24674.032270922617</v>
      </c>
      <c r="O82" s="95">
        <f t="shared" si="3"/>
        <v>3925530.7918689265</v>
      </c>
      <c r="P82" s="32"/>
      <c r="Q82" s="32"/>
      <c r="R82" s="32"/>
      <c r="S82" s="32"/>
      <c r="T82" s="32"/>
      <c r="U82" s="32"/>
    </row>
    <row r="83" spans="1:21" ht="16.5" x14ac:dyDescent="0.3">
      <c r="A83" s="47" t="s">
        <v>212</v>
      </c>
      <c r="B83" s="52">
        <f>E34</f>
        <v>16.300223504340146</v>
      </c>
      <c r="C83" s="136">
        <f>(IF(ROUNDDOWN(D79,-2)=ROUNDUP(D79,-2),VLOOKUP(D79,Enthalpy,12),VLOOKUP(ROUNDDOWN(D79,-2),Enthalpy,12)+(D79-ROUNDDOWN(D79,-2))/(ROUNDUP(D79,-2)-ROUNDDOWN(D79,-2))*(VLOOKUP(ROUNDUP(D79,-2),Enthalpy,12)-VLOOKUP(ROUNDDOWN(D79,-2),Enthalpy,12))))</f>
        <v>14543.266572701779</v>
      </c>
      <c r="D83" s="136">
        <f t="shared" si="2"/>
        <v>237058.49561823788</v>
      </c>
      <c r="E83" s="47"/>
      <c r="F83" s="47"/>
      <c r="G83" s="47"/>
      <c r="H83" s="47"/>
      <c r="I83" s="47"/>
      <c r="J83" s="47"/>
      <c r="K83" s="60"/>
      <c r="L83" s="32" t="s">
        <v>212</v>
      </c>
      <c r="M83" s="71">
        <f>P34</f>
        <v>16.300223504340146</v>
      </c>
      <c r="N83" s="95">
        <f>(IF(ROUNDDOWN(O79,-2)=ROUNDUP(O79,-2),VLOOKUP(O79,Enthalpy,12),VLOOKUP(ROUNDDOWN(O79,-2),Enthalpy,12)+(O79-ROUNDDOWN(O79,-2))/(ROUNDUP(O79,-2)-ROUNDDOWN(O79,-2))*(VLOOKUP(ROUNDUP(O79,-2),Enthalpy,12)-VLOOKUP(ROUNDDOWN(O79,-2),Enthalpy,12))))</f>
        <v>14543.266572701779</v>
      </c>
      <c r="O83" s="95">
        <f t="shared" si="3"/>
        <v>237058.49561823788</v>
      </c>
      <c r="P83" s="32"/>
      <c r="Q83" s="32"/>
      <c r="R83" s="32"/>
      <c r="S83" s="32"/>
      <c r="T83" s="32"/>
      <c r="U83" s="32"/>
    </row>
    <row r="84" spans="1:21" ht="16.5" x14ac:dyDescent="0.3">
      <c r="A84" s="47" t="s">
        <v>47</v>
      </c>
      <c r="B84" s="52">
        <f>E35+B56</f>
        <v>276.44480003921916</v>
      </c>
      <c r="C84" s="136">
        <f>(IF(ROUNDDOWN(D79,-2)=ROUNDUP(D79,-2),VLOOKUP(D79,Enthalpy,15),VLOOKUP(ROUNDDOWN(D79,-2),Enthalpy,15)+(D79-ROUNDDOWN(D79,-2))/(ROUNDUP(D79,-2)-ROUNDDOWN(D79,-2))*(VLOOKUP(ROUNDUP(D79,-2),Enthalpy,15)-VLOOKUP(ROUNDDOWN(D79,-2),Enthalpy,15))))</f>
        <v>19242.834527598632</v>
      </c>
      <c r="D84" s="136">
        <f t="shared" si="2"/>
        <v>5319581.5431697862</v>
      </c>
      <c r="E84" s="47"/>
      <c r="F84" s="47"/>
      <c r="G84" s="47"/>
      <c r="H84" s="47"/>
      <c r="I84" s="47"/>
      <c r="J84" s="47"/>
      <c r="K84" s="60"/>
      <c r="L84" s="32" t="s">
        <v>47</v>
      </c>
      <c r="M84" s="71">
        <f>P35+M56</f>
        <v>276.44480003921922</v>
      </c>
      <c r="N84" s="95">
        <f>(IF(ROUNDDOWN(O79,-2)=ROUNDUP(O79,-2),VLOOKUP(O79,Enthalpy,15),VLOOKUP(ROUNDDOWN(O79,-2),Enthalpy,15)+(O79-ROUNDDOWN(O79,-2))/(ROUNDUP(O79,-2)-ROUNDDOWN(O79,-2))*(VLOOKUP(ROUNDUP(O79,-2),Enthalpy,15)-VLOOKUP(ROUNDDOWN(O79,-2),Enthalpy,15))))</f>
        <v>19242.834527598632</v>
      </c>
      <c r="O84" s="95">
        <f t="shared" si="3"/>
        <v>5319581.5431697872</v>
      </c>
      <c r="P84" s="32"/>
      <c r="Q84" s="32"/>
      <c r="R84" s="32"/>
      <c r="S84" s="32"/>
      <c r="T84" s="32"/>
      <c r="U84" s="32"/>
    </row>
    <row r="85" spans="1:21" ht="16.5" x14ac:dyDescent="0.3">
      <c r="A85" s="47" t="s">
        <v>67</v>
      </c>
      <c r="B85" s="52">
        <f>E36-(1/2)*B56</f>
        <v>29.122989013485387</v>
      </c>
      <c r="C85" s="136">
        <f>(IF(ROUNDDOWN(D79,-2)=ROUNDUP(D79,-2),VLOOKUP(D79,Enthalpy,17),VLOOKUP(ROUNDDOWN(D79,-2),Enthalpy,17)+(D79-ROUNDDOWN(D79,-2))/(ROUNDUP(D79,-2)-ROUNDDOWN(D79,-2))*(VLOOKUP(ROUNDUP(D79,-2),Enthalpy,17)-VLOOKUP(ROUNDDOWN(D79,-2),Enthalpy,17))))</f>
        <v>25338.054048073962</v>
      </c>
      <c r="D85" s="136">
        <f t="shared" si="2"/>
        <v>737919.86966515693</v>
      </c>
      <c r="E85" s="47"/>
      <c r="F85" s="47"/>
      <c r="G85" s="47"/>
      <c r="H85" s="47"/>
      <c r="I85" s="47"/>
      <c r="J85" s="47"/>
      <c r="K85" s="60"/>
      <c r="L85" s="32" t="s">
        <v>67</v>
      </c>
      <c r="M85" s="71">
        <f>P36-(1/2)*M56</f>
        <v>29.12298901348538</v>
      </c>
      <c r="N85" s="95">
        <f>(IF(ROUNDDOWN(O79,-2)=ROUNDUP(O79,-2),VLOOKUP(O79,Enthalpy,17),VLOOKUP(ROUNDDOWN(O79,-2),Enthalpy,17)+(O79-ROUNDDOWN(O79,-2))/(ROUNDUP(O79,-2)-ROUNDDOWN(O79,-2))*(VLOOKUP(ROUNDUP(O79,-2),Enthalpy,17)-VLOOKUP(ROUNDDOWN(O79,-2),Enthalpy,17))))</f>
        <v>25338.054048073962</v>
      </c>
      <c r="O85" s="95">
        <f t="shared" si="3"/>
        <v>737919.86966515682</v>
      </c>
      <c r="P85" s="32"/>
      <c r="Q85" s="32"/>
      <c r="R85" s="32"/>
      <c r="S85" s="32"/>
      <c r="T85" s="32"/>
      <c r="U85" s="32"/>
    </row>
    <row r="86" spans="1:21" ht="16.5" x14ac:dyDescent="0.3">
      <c r="A86" s="47" t="s">
        <v>68</v>
      </c>
      <c r="B86" s="52">
        <f>E37</f>
        <v>551.97957289408987</v>
      </c>
      <c r="C86" s="136">
        <f>(IF(ROUNDDOWN(D79,-2)=ROUNDUP(D79,-2),VLOOKUP(D79,Enthalpy,9),VLOOKUP(ROUNDDOWN(D79,-2),Enthalpy,9)+(D79-ROUNDDOWN(D79,-2))/(ROUNDUP(D79,-2)-ROUNDDOWN(D79,-2))*(VLOOKUP(ROUNDUP(D79,-2),Enthalpy,9)-VLOOKUP(ROUNDDOWN(D79,-2),Enthalpy,9))))</f>
        <v>15487.615007123302</v>
      </c>
      <c r="D86" s="136">
        <f t="shared" si="2"/>
        <v>8548847.1167800166</v>
      </c>
      <c r="E86" s="47"/>
      <c r="F86" s="47"/>
      <c r="G86" s="47"/>
      <c r="H86" s="47"/>
      <c r="I86" s="47"/>
      <c r="J86" s="47"/>
      <c r="K86" s="60"/>
      <c r="L86" s="32" t="s">
        <v>68</v>
      </c>
      <c r="M86" s="71">
        <f>P37</f>
        <v>551.97957289408987</v>
      </c>
      <c r="N86" s="95">
        <f>(IF(ROUNDDOWN(O79,-2)=ROUNDUP(O79,-2),VLOOKUP(O79,Enthalpy,9),VLOOKUP(ROUNDDOWN(O79,-2),Enthalpy,9)+(O79-ROUNDDOWN(O79,-2))/(ROUNDUP(O79,-2)-ROUNDDOWN(O79,-2))*(VLOOKUP(ROUNDUP(O79,-2),Enthalpy,9)-VLOOKUP(ROUNDDOWN(O79,-2),Enthalpy,9))))</f>
        <v>15487.615007123302</v>
      </c>
      <c r="O86" s="95">
        <f t="shared" si="3"/>
        <v>8548847.1167800166</v>
      </c>
      <c r="P86" s="32"/>
      <c r="Q86" s="32"/>
      <c r="R86" s="32"/>
      <c r="S86" s="32"/>
      <c r="T86" s="32"/>
      <c r="U86" s="32"/>
    </row>
    <row r="87" spans="1:21" ht="16.5" x14ac:dyDescent="0.3">
      <c r="A87" s="47" t="s">
        <v>70</v>
      </c>
      <c r="B87" s="58">
        <f>E39+(3/4)*B56</f>
        <v>101.85322633995177</v>
      </c>
      <c r="C87" s="136">
        <f>(IF(ROUNDDOWN(D79,-2)=ROUNDUP(D79,-2),VLOOKUP(D79,Enthalpy,16),VLOOKUP(ROUNDDOWN(D79,-2),Enthalpy,16)+(D79-ROUNDDOWN(D79,-2))/(ROUNDUP(D79,-2)-ROUNDDOWN(D79,-2))*(VLOOKUP(ROUNDUP(D79,-2),Enthalpy,16)-VLOOKUP(ROUNDDOWN(D79,-2),Enthalpy,16))))</f>
        <v>17854.028772998859</v>
      </c>
      <c r="D87" s="143">
        <f t="shared" si="2"/>
        <v>1818490.4336962644</v>
      </c>
      <c r="E87" s="47"/>
      <c r="F87" s="47"/>
      <c r="G87" s="47"/>
      <c r="H87" s="47"/>
      <c r="I87" s="47"/>
      <c r="J87" s="47"/>
      <c r="K87" s="60"/>
      <c r="L87" s="32" t="s">
        <v>70</v>
      </c>
      <c r="M87" s="72">
        <f>P39+(3/4)*M56</f>
        <v>101.85322633995179</v>
      </c>
      <c r="N87" s="95">
        <f>(IF(ROUNDDOWN(O79,-2)=ROUNDUP(O79,-2),VLOOKUP(O79,Enthalpy,16),VLOOKUP(ROUNDDOWN(O79,-2),Enthalpy,16)+(O79-ROUNDDOWN(O79,-2))/(ROUNDUP(O79,-2)-ROUNDDOWN(O79,-2))*(VLOOKUP(ROUNDUP(O79,-2),Enthalpy,16)-VLOOKUP(ROUNDDOWN(O79,-2),Enthalpy,16))))</f>
        <v>17854.028772998859</v>
      </c>
      <c r="O87" s="103">
        <f t="shared" si="3"/>
        <v>1818490.4336962646</v>
      </c>
      <c r="P87" s="32"/>
      <c r="Q87" s="32"/>
      <c r="R87" s="32"/>
      <c r="S87" s="32"/>
      <c r="T87" s="32"/>
      <c r="U87" s="32"/>
    </row>
    <row r="88" spans="1:21" x14ac:dyDescent="0.25">
      <c r="A88" s="47"/>
      <c r="B88" s="52">
        <f>SUM(B81:B87)</f>
        <v>1193.0424231854097</v>
      </c>
      <c r="C88" s="56"/>
      <c r="D88" s="136">
        <f>SUM(D81:D87)</f>
        <v>21824421.427273758</v>
      </c>
      <c r="E88" s="47"/>
      <c r="F88" s="47"/>
      <c r="G88" s="47"/>
      <c r="H88" s="47"/>
      <c r="I88" s="47"/>
      <c r="J88" s="47"/>
      <c r="K88" s="60"/>
      <c r="L88" s="32"/>
      <c r="M88" s="71">
        <f>SUM(M81:M87)</f>
        <v>1193.0424231854097</v>
      </c>
      <c r="N88" s="41"/>
      <c r="O88" s="95">
        <f>SUM(O81:O87)</f>
        <v>21824421.427273761</v>
      </c>
      <c r="P88" s="32"/>
      <c r="Q88" s="32"/>
      <c r="R88" s="32"/>
      <c r="S88" s="32"/>
      <c r="T88" s="32"/>
      <c r="U88" s="32"/>
    </row>
    <row r="89" spans="1:21" ht="12.75" customHeight="1" x14ac:dyDescent="0.25">
      <c r="A89" s="47"/>
      <c r="B89" s="49"/>
      <c r="C89" s="49"/>
      <c r="D89" s="49"/>
      <c r="E89" s="49"/>
      <c r="F89" s="49"/>
      <c r="G89" s="47"/>
      <c r="H89" s="47"/>
      <c r="I89" s="47"/>
      <c r="J89" s="47"/>
      <c r="K89" s="60"/>
      <c r="L89" s="32"/>
      <c r="M89" s="34"/>
      <c r="N89" s="34"/>
      <c r="O89" s="34"/>
      <c r="P89" s="34"/>
      <c r="Q89" s="34"/>
      <c r="R89" s="32"/>
      <c r="S89" s="32"/>
      <c r="T89" s="32"/>
      <c r="U89" s="32"/>
    </row>
    <row r="90" spans="1:21" ht="15" customHeight="1" x14ac:dyDescent="0.25">
      <c r="A90" s="142" t="s">
        <v>91</v>
      </c>
      <c r="B90" s="144" t="s">
        <v>86</v>
      </c>
      <c r="C90" s="144" t="s">
        <v>87</v>
      </c>
      <c r="D90" s="144" t="s">
        <v>83</v>
      </c>
      <c r="E90" s="47"/>
      <c r="F90" s="47"/>
      <c r="G90" s="47"/>
      <c r="H90" s="47"/>
      <c r="I90" s="47"/>
      <c r="J90" s="47"/>
      <c r="K90" s="60"/>
      <c r="L90" s="102" t="s">
        <v>91</v>
      </c>
      <c r="M90" s="104" t="s">
        <v>86</v>
      </c>
      <c r="N90" s="104" t="s">
        <v>87</v>
      </c>
      <c r="O90" s="104" t="s">
        <v>83</v>
      </c>
      <c r="P90" s="32"/>
      <c r="Q90" s="32"/>
      <c r="R90" s="32"/>
      <c r="S90" s="32"/>
      <c r="T90" s="32"/>
      <c r="U90" s="32"/>
    </row>
    <row r="91" spans="1:21" x14ac:dyDescent="0.25">
      <c r="A91" s="110" t="s">
        <v>84</v>
      </c>
      <c r="B91" s="49"/>
      <c r="C91" s="47"/>
      <c r="D91" s="136">
        <f>D68</f>
        <v>312761.72966708918</v>
      </c>
      <c r="E91" s="47"/>
      <c r="F91" s="47"/>
      <c r="G91" s="47"/>
      <c r="H91" s="47"/>
      <c r="I91" s="47"/>
      <c r="J91" s="47"/>
      <c r="K91" s="60"/>
      <c r="L91" s="66" t="s">
        <v>84</v>
      </c>
      <c r="M91" s="34"/>
      <c r="N91" s="32"/>
      <c r="O91" s="95">
        <f>O68</f>
        <v>312761.72966708918</v>
      </c>
      <c r="P91" s="32"/>
      <c r="Q91" s="32"/>
      <c r="R91" s="32"/>
      <c r="S91" s="32"/>
      <c r="T91" s="32"/>
      <c r="U91" s="32"/>
    </row>
    <row r="92" spans="1:21" x14ac:dyDescent="0.25">
      <c r="A92" s="110" t="s">
        <v>88</v>
      </c>
      <c r="B92" s="49"/>
      <c r="C92" s="47"/>
      <c r="D92" s="136">
        <f>D76</f>
        <v>754821.82688053243</v>
      </c>
      <c r="E92" s="47"/>
      <c r="F92" s="47"/>
      <c r="G92" s="47"/>
      <c r="H92" s="47"/>
      <c r="I92" s="47"/>
      <c r="J92" s="47"/>
      <c r="K92" s="60"/>
      <c r="L92" s="66" t="s">
        <v>88</v>
      </c>
      <c r="M92" s="34"/>
      <c r="N92" s="32"/>
      <c r="O92" s="95">
        <f>O76</f>
        <v>754821.82688053243</v>
      </c>
      <c r="P92" s="32"/>
      <c r="Q92" s="32"/>
      <c r="R92" s="32"/>
      <c r="S92" s="32"/>
      <c r="T92" s="32"/>
      <c r="U92" s="32"/>
    </row>
    <row r="93" spans="1:21" ht="16.5" x14ac:dyDescent="0.3">
      <c r="A93" s="110" t="s">
        <v>94</v>
      </c>
      <c r="B93" s="52">
        <f>(1/3)*(1-B16)*B32</f>
        <v>91.591732072006522</v>
      </c>
      <c r="C93" s="145">
        <f>-B10</f>
        <v>222700</v>
      </c>
      <c r="D93" s="136">
        <f>B93*C93</f>
        <v>20397478.732435852</v>
      </c>
      <c r="E93" s="47"/>
      <c r="F93" s="47"/>
      <c r="G93" s="47"/>
      <c r="H93" s="47"/>
      <c r="I93" s="47"/>
      <c r="J93" s="47"/>
      <c r="K93" s="60"/>
      <c r="L93" s="66" t="s">
        <v>94</v>
      </c>
      <c r="M93" s="71">
        <f>(1/3)*(1-M16)*M32</f>
        <v>91.591732072006522</v>
      </c>
      <c r="N93" s="105">
        <f>-M10</f>
        <v>222700</v>
      </c>
      <c r="O93" s="95">
        <f>M93*N93</f>
        <v>20397478.732435852</v>
      </c>
      <c r="P93" s="32"/>
      <c r="Q93" s="32"/>
      <c r="R93" s="32"/>
      <c r="S93" s="32"/>
      <c r="T93" s="32"/>
      <c r="U93" s="32"/>
    </row>
    <row r="94" spans="1:21" x14ac:dyDescent="0.25">
      <c r="A94" s="110" t="s">
        <v>92</v>
      </c>
      <c r="B94" s="52">
        <f>B42</f>
        <v>4.7032796591253501</v>
      </c>
      <c r="C94" s="145">
        <f>-B14</f>
        <v>345100</v>
      </c>
      <c r="D94" s="136">
        <f>B94*C94</f>
        <v>1623101.8103641584</v>
      </c>
      <c r="E94" s="47"/>
      <c r="F94" s="47"/>
      <c r="G94" s="47"/>
      <c r="H94" s="47"/>
      <c r="I94" s="47"/>
      <c r="J94" s="47"/>
      <c r="K94" s="60"/>
      <c r="L94" s="66" t="s">
        <v>92</v>
      </c>
      <c r="M94" s="71">
        <f>M42</f>
        <v>4.7032796591253501</v>
      </c>
      <c r="N94" s="105">
        <f>-M14</f>
        <v>345100</v>
      </c>
      <c r="O94" s="95">
        <f>M94*N94</f>
        <v>1623101.8103641584</v>
      </c>
      <c r="P94" s="32"/>
      <c r="Q94" s="32"/>
      <c r="R94" s="32"/>
      <c r="S94" s="32"/>
      <c r="T94" s="32"/>
      <c r="U94" s="32"/>
    </row>
    <row r="95" spans="1:21" x14ac:dyDescent="0.25">
      <c r="A95" s="110" t="s">
        <v>93</v>
      </c>
      <c r="B95" s="52">
        <f>B56/2</f>
        <v>62.468743058521135</v>
      </c>
      <c r="C95" s="145">
        <f>-B28</f>
        <v>-20230</v>
      </c>
      <c r="D95" s="136">
        <f>B95*C95</f>
        <v>-1263742.6720738825</v>
      </c>
      <c r="E95" s="47"/>
      <c r="F95" s="47"/>
      <c r="G95" s="47"/>
      <c r="H95" s="47"/>
      <c r="I95" s="47"/>
      <c r="J95" s="47"/>
      <c r="K95" s="60"/>
      <c r="L95" s="66" t="s">
        <v>93</v>
      </c>
      <c r="M95" s="71">
        <f>M56/2</f>
        <v>62.468743058521142</v>
      </c>
      <c r="N95" s="105">
        <f>-M28</f>
        <v>-20230</v>
      </c>
      <c r="O95" s="95">
        <f>M95*N95</f>
        <v>-1263742.6720738828</v>
      </c>
      <c r="P95" s="32"/>
      <c r="Q95" s="32"/>
      <c r="R95" s="32"/>
      <c r="S95" s="32"/>
      <c r="T95" s="32"/>
      <c r="U95" s="32"/>
    </row>
    <row r="96" spans="1:21" ht="16.5" x14ac:dyDescent="0.3">
      <c r="A96" s="110" t="s">
        <v>213</v>
      </c>
      <c r="B96" s="52">
        <f>B16*B32</f>
        <v>16.300223504340146</v>
      </c>
      <c r="C96" s="145">
        <f>-B12</f>
        <v>-36400</v>
      </c>
      <c r="D96" s="137">
        <f>B96*C96</f>
        <v>-593328.13555798132</v>
      </c>
      <c r="E96" s="47"/>
      <c r="F96" s="47"/>
      <c r="G96" s="47"/>
      <c r="H96" s="47"/>
      <c r="I96" s="47"/>
      <c r="J96" s="47"/>
      <c r="K96" s="60"/>
      <c r="L96" s="66" t="s">
        <v>213</v>
      </c>
      <c r="M96" s="71">
        <f>M16*M32</f>
        <v>16.300223504340146</v>
      </c>
      <c r="N96" s="105">
        <f>-M12</f>
        <v>-36400</v>
      </c>
      <c r="O96" s="97">
        <f>M96*N96</f>
        <v>-593328.13555798132</v>
      </c>
      <c r="P96" s="32"/>
      <c r="Q96" s="32"/>
      <c r="R96" s="32"/>
      <c r="S96" s="32"/>
      <c r="T96" s="32"/>
      <c r="U96" s="32"/>
    </row>
    <row r="97" spans="1:21" x14ac:dyDescent="0.25">
      <c r="A97" s="47"/>
      <c r="B97" s="49"/>
      <c r="C97" s="47"/>
      <c r="D97" s="136">
        <f>SUM(D91:D95)</f>
        <v>21824421.42727375</v>
      </c>
      <c r="E97" s="47"/>
      <c r="F97" s="47"/>
      <c r="G97" s="47"/>
      <c r="H97" s="47"/>
      <c r="I97" s="47"/>
      <c r="J97" s="47"/>
      <c r="K97" s="60"/>
      <c r="L97" s="32"/>
      <c r="M97" s="34"/>
      <c r="N97" s="32"/>
      <c r="O97" s="95">
        <f>SUM(O91:O95)</f>
        <v>21824421.42727375</v>
      </c>
      <c r="P97" s="32"/>
      <c r="Q97" s="32"/>
      <c r="R97" s="32"/>
      <c r="S97" s="32"/>
      <c r="T97" s="32"/>
      <c r="U97" s="32"/>
    </row>
    <row r="98" spans="1:21" x14ac:dyDescent="0.25">
      <c r="A98" s="47"/>
      <c r="B98" s="49"/>
      <c r="C98" s="49"/>
      <c r="D98" s="47"/>
      <c r="E98" s="47"/>
      <c r="F98" s="47"/>
      <c r="G98" s="47"/>
      <c r="H98" s="47"/>
      <c r="I98" s="47"/>
      <c r="J98" s="47"/>
      <c r="K98" s="60"/>
      <c r="L98" s="32"/>
      <c r="M98" s="34"/>
      <c r="N98" s="34"/>
      <c r="O98" s="32"/>
      <c r="P98" s="32"/>
      <c r="Q98" s="32"/>
      <c r="R98" s="32"/>
      <c r="S98" s="32"/>
      <c r="T98" s="32"/>
      <c r="U98" s="32"/>
    </row>
    <row r="100" spans="1:21" x14ac:dyDescent="0.25">
      <c r="A100" s="44" t="s">
        <v>307</v>
      </c>
    </row>
    <row r="101" spans="1:21" x14ac:dyDescent="0.25">
      <c r="A101" s="44" t="s">
        <v>303</v>
      </c>
    </row>
    <row r="102" spans="1:21" x14ac:dyDescent="0.25">
      <c r="A102" s="44" t="s">
        <v>304</v>
      </c>
    </row>
    <row r="103" spans="1:21" x14ac:dyDescent="0.25">
      <c r="A103" s="44" t="s">
        <v>305</v>
      </c>
    </row>
    <row r="104" spans="1:21" x14ac:dyDescent="0.25">
      <c r="A104" s="45" t="s">
        <v>306</v>
      </c>
    </row>
  </sheetData>
  <sheetProtection password="E156" sheet="1" objects="1" scenarios="1"/>
  <mergeCells count="15">
    <mergeCell ref="C78:D78"/>
    <mergeCell ref="A53:E53"/>
    <mergeCell ref="C60:D60"/>
    <mergeCell ref="C70:D70"/>
    <mergeCell ref="Q56:T64"/>
    <mergeCell ref="L53:P53"/>
    <mergeCell ref="N60:O60"/>
    <mergeCell ref="N70:O70"/>
    <mergeCell ref="Q55:T55"/>
    <mergeCell ref="N78:O78"/>
    <mergeCell ref="L52:R52"/>
    <mergeCell ref="P31:Q31"/>
    <mergeCell ref="F56:H60"/>
    <mergeCell ref="E31:F31"/>
    <mergeCell ref="A52:G52"/>
  </mergeCells>
  <conditionalFormatting sqref="Q55:T55">
    <cfRule type="expression" dxfId="0" priority="1" stopIfTrue="1">
      <formula>$S$53</formula>
    </cfRule>
  </conditionalFormatting>
  <pageMargins left="0.7" right="0.7" top="0.75" bottom="0.75" header="0.51180555555555551" footer="0.51180555555555551"/>
  <pageSetup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U49"/>
  <sheetViews>
    <sheetView zoomScaleNormal="100" workbookViewId="0">
      <selection activeCell="A2" sqref="A2"/>
    </sheetView>
  </sheetViews>
  <sheetFormatPr defaultColWidth="8.7109375" defaultRowHeight="15" x14ac:dyDescent="0.25"/>
  <cols>
    <col min="1" max="1" width="16.42578125" style="28" customWidth="1"/>
    <col min="2" max="2" width="14.28515625" style="28" customWidth="1"/>
    <col min="3" max="3" width="12.140625" style="28" customWidth="1"/>
    <col min="4" max="4" width="10.140625" style="28" customWidth="1"/>
    <col min="5" max="5" width="12.7109375" style="28" customWidth="1"/>
    <col min="6" max="6" width="12.85546875" style="28" customWidth="1"/>
    <col min="7" max="10" width="13.28515625" style="28" customWidth="1"/>
    <col min="11" max="11" width="8.7109375" style="28"/>
    <col min="12" max="12" width="16.42578125" style="28" customWidth="1"/>
    <col min="13" max="13" width="14.28515625" style="28" customWidth="1"/>
    <col min="14" max="14" width="12.28515625" style="28" customWidth="1"/>
    <col min="15" max="15" width="10.28515625" style="28" customWidth="1"/>
    <col min="16" max="16" width="12.5703125" style="28" customWidth="1"/>
    <col min="17" max="17" width="12.85546875" style="28" customWidth="1"/>
    <col min="18" max="21" width="13.28515625" style="28" customWidth="1"/>
    <col min="22" max="16384" width="8.7109375" style="28"/>
  </cols>
  <sheetData>
    <row r="1" spans="1:21" x14ac:dyDescent="0.25">
      <c r="A1" s="27" t="s">
        <v>298</v>
      </c>
    </row>
    <row r="5" spans="1:21" ht="20.25" x14ac:dyDescent="0.3">
      <c r="A5" s="106" t="s">
        <v>274</v>
      </c>
      <c r="B5" s="49"/>
      <c r="C5" s="49"/>
      <c r="D5" s="47"/>
      <c r="E5" s="47"/>
      <c r="F5" s="47"/>
      <c r="G5" s="47"/>
      <c r="H5" s="47"/>
      <c r="I5" s="47"/>
      <c r="J5" s="47"/>
      <c r="K5" s="60"/>
      <c r="L5" s="61" t="s">
        <v>274</v>
      </c>
      <c r="M5" s="62"/>
      <c r="N5" s="62"/>
      <c r="O5" s="30"/>
      <c r="P5" s="30"/>
      <c r="Q5" s="30"/>
      <c r="R5" s="30"/>
      <c r="S5" s="30"/>
      <c r="T5" s="30"/>
      <c r="U5" s="30"/>
    </row>
    <row r="6" spans="1:21" x14ac:dyDescent="0.25">
      <c r="A6" s="47"/>
      <c r="B6" s="49"/>
      <c r="C6" s="49"/>
      <c r="D6" s="47"/>
      <c r="E6" s="47"/>
      <c r="F6" s="47"/>
      <c r="G6" s="47"/>
      <c r="H6" s="47"/>
      <c r="I6" s="47"/>
      <c r="J6" s="47"/>
      <c r="K6" s="60"/>
      <c r="L6" s="32"/>
      <c r="M6" s="34"/>
      <c r="N6" s="34"/>
      <c r="O6" s="32"/>
      <c r="P6" s="32"/>
      <c r="Q6" s="32"/>
      <c r="R6" s="32"/>
      <c r="S6" s="32"/>
      <c r="T6" s="32"/>
      <c r="U6" s="32"/>
    </row>
    <row r="7" spans="1:21" x14ac:dyDescent="0.25">
      <c r="A7" s="47" t="s">
        <v>95</v>
      </c>
      <c r="B7" s="48">
        <v>250</v>
      </c>
      <c r="C7" s="110" t="s">
        <v>96</v>
      </c>
      <c r="D7" s="47"/>
      <c r="E7" s="47"/>
      <c r="F7" s="47"/>
      <c r="G7" s="47"/>
      <c r="H7" s="47"/>
      <c r="I7" s="47"/>
      <c r="J7" s="47"/>
      <c r="K7" s="60"/>
      <c r="L7" s="32" t="s">
        <v>95</v>
      </c>
      <c r="M7" s="33">
        <v>250</v>
      </c>
      <c r="N7" s="66" t="s">
        <v>96</v>
      </c>
      <c r="O7" s="32"/>
      <c r="P7" s="32"/>
      <c r="Q7" s="32"/>
      <c r="R7" s="32"/>
      <c r="S7" s="32"/>
      <c r="T7" s="32"/>
      <c r="U7" s="32"/>
    </row>
    <row r="8" spans="1:21" x14ac:dyDescent="0.25">
      <c r="A8" s="47" t="s">
        <v>97</v>
      </c>
      <c r="B8" s="49"/>
      <c r="C8" s="49"/>
      <c r="D8" s="117">
        <v>700</v>
      </c>
      <c r="E8" s="47" t="s">
        <v>32</v>
      </c>
      <c r="F8" s="47"/>
      <c r="G8" s="47"/>
      <c r="H8" s="47"/>
      <c r="I8" s="47"/>
      <c r="J8" s="47"/>
      <c r="K8" s="60"/>
      <c r="L8" s="32" t="s">
        <v>97</v>
      </c>
      <c r="M8" s="34"/>
      <c r="N8" s="34"/>
      <c r="O8" s="73">
        <v>700</v>
      </c>
      <c r="P8" s="32" t="s">
        <v>32</v>
      </c>
      <c r="Q8" s="32"/>
      <c r="R8" s="32"/>
      <c r="S8" s="32"/>
      <c r="T8" s="32"/>
      <c r="U8" s="32"/>
    </row>
    <row r="9" spans="1:21" x14ac:dyDescent="0.25">
      <c r="A9" s="47"/>
      <c r="B9" s="49"/>
      <c r="C9" s="49"/>
      <c r="D9" s="47"/>
      <c r="E9" s="47"/>
      <c r="F9" s="47"/>
      <c r="G9" s="47"/>
      <c r="H9" s="47"/>
      <c r="I9" s="47"/>
      <c r="J9" s="47"/>
      <c r="K9" s="60"/>
      <c r="L9" s="32"/>
      <c r="M9" s="34"/>
      <c r="N9" s="34"/>
      <c r="O9" s="32"/>
      <c r="P9" s="32"/>
      <c r="Q9" s="32"/>
      <c r="R9" s="32"/>
      <c r="S9" s="32"/>
      <c r="T9" s="32"/>
      <c r="U9" s="32"/>
    </row>
    <row r="10" spans="1:21" ht="16.5" x14ac:dyDescent="0.3">
      <c r="A10" s="47" t="s">
        <v>98</v>
      </c>
      <c r="B10" s="49"/>
      <c r="C10" s="49"/>
      <c r="D10" s="47"/>
      <c r="E10" s="47"/>
      <c r="F10" s="47"/>
      <c r="G10" s="47"/>
      <c r="H10" s="47"/>
      <c r="I10" s="47"/>
      <c r="J10" s="47"/>
      <c r="K10" s="60"/>
      <c r="L10" s="32" t="s">
        <v>98</v>
      </c>
      <c r="M10" s="34"/>
      <c r="N10" s="34"/>
      <c r="O10" s="32"/>
      <c r="P10" s="32"/>
      <c r="Q10" s="32"/>
      <c r="R10" s="32"/>
      <c r="S10" s="32"/>
      <c r="T10" s="32"/>
      <c r="U10" s="32"/>
    </row>
    <row r="11" spans="1:21" ht="16.5" x14ac:dyDescent="0.3">
      <c r="A11" s="47"/>
      <c r="B11" s="163">
        <v>5.0000000000000001E-3</v>
      </c>
      <c r="C11" s="47" t="s">
        <v>271</v>
      </c>
      <c r="D11" s="47"/>
      <c r="E11" s="47"/>
      <c r="F11" s="47"/>
      <c r="G11" s="164" t="s">
        <v>99</v>
      </c>
      <c r="H11" s="47"/>
      <c r="I11" s="47"/>
      <c r="J11" s="47"/>
      <c r="K11" s="60"/>
      <c r="L11" s="32"/>
      <c r="M11" s="146">
        <v>5.0000000000000001E-3</v>
      </c>
      <c r="N11" s="32" t="s">
        <v>265</v>
      </c>
      <c r="O11" s="32"/>
      <c r="P11" s="32"/>
      <c r="Q11" s="32"/>
      <c r="R11" s="147" t="s">
        <v>99</v>
      </c>
      <c r="S11" s="32"/>
      <c r="T11" s="32"/>
      <c r="U11" s="32"/>
    </row>
    <row r="12" spans="1:21" ht="16.5" x14ac:dyDescent="0.3">
      <c r="A12" s="47"/>
      <c r="B12" s="163">
        <v>0.45</v>
      </c>
      <c r="C12" s="47" t="s">
        <v>263</v>
      </c>
      <c r="D12" s="47"/>
      <c r="E12" s="47"/>
      <c r="F12" s="47"/>
      <c r="G12" s="47"/>
      <c r="H12" s="47"/>
      <c r="I12" s="47"/>
      <c r="J12" s="47"/>
      <c r="K12" s="60"/>
      <c r="L12" s="32"/>
      <c r="M12" s="146">
        <v>0.45</v>
      </c>
      <c r="N12" s="32" t="s">
        <v>263</v>
      </c>
      <c r="O12" s="32"/>
      <c r="P12" s="32"/>
      <c r="Q12" s="32"/>
      <c r="R12" s="32"/>
      <c r="S12" s="32"/>
      <c r="T12" s="32"/>
      <c r="U12" s="32"/>
    </row>
    <row r="13" spans="1:21" ht="16.5" x14ac:dyDescent="0.3">
      <c r="A13" s="47"/>
      <c r="B13" s="165">
        <v>0.54500000000000004</v>
      </c>
      <c r="C13" s="47" t="s">
        <v>266</v>
      </c>
      <c r="D13" s="47"/>
      <c r="E13" s="47"/>
      <c r="F13" s="47"/>
      <c r="G13" s="47"/>
      <c r="H13" s="47"/>
      <c r="I13" s="47"/>
      <c r="J13" s="47"/>
      <c r="K13" s="60"/>
      <c r="L13" s="32"/>
      <c r="M13" s="148">
        <v>0.54500000000000004</v>
      </c>
      <c r="N13" s="32" t="s">
        <v>266</v>
      </c>
      <c r="O13" s="32"/>
      <c r="P13" s="32"/>
      <c r="Q13" s="32"/>
      <c r="R13" s="32"/>
      <c r="S13" s="32"/>
      <c r="T13" s="32"/>
      <c r="U13" s="32"/>
    </row>
    <row r="14" spans="1:21" x14ac:dyDescent="0.25">
      <c r="A14" s="47"/>
      <c r="B14" s="52">
        <f>SUM(B11:B13)</f>
        <v>1</v>
      </c>
      <c r="C14" s="49"/>
      <c r="D14" s="47"/>
      <c r="E14" s="47"/>
      <c r="F14" s="47"/>
      <c r="G14" s="47"/>
      <c r="H14" s="47"/>
      <c r="I14" s="47"/>
      <c r="J14" s="47"/>
      <c r="K14" s="60"/>
      <c r="L14" s="32"/>
      <c r="M14" s="39">
        <f>SUM(M11:M13)</f>
        <v>1</v>
      </c>
      <c r="N14" s="34"/>
      <c r="O14" s="32"/>
      <c r="P14" s="32"/>
      <c r="Q14" s="32"/>
      <c r="R14" s="32"/>
      <c r="S14" s="32"/>
      <c r="T14" s="32"/>
      <c r="U14" s="32"/>
    </row>
    <row r="15" spans="1:21" x14ac:dyDescent="0.25">
      <c r="A15" s="47"/>
      <c r="B15" s="49"/>
      <c r="C15" s="133" t="s">
        <v>90</v>
      </c>
      <c r="D15" s="134"/>
      <c r="E15" s="47"/>
      <c r="F15" s="133" t="s">
        <v>100</v>
      </c>
      <c r="G15" s="134"/>
      <c r="H15" s="49"/>
      <c r="I15" s="49"/>
      <c r="J15" s="49"/>
      <c r="K15" s="60"/>
      <c r="L15" s="32"/>
      <c r="M15" s="34"/>
      <c r="N15" s="93" t="s">
        <v>90</v>
      </c>
      <c r="O15" s="92"/>
      <c r="P15" s="32"/>
      <c r="Q15" s="93" t="s">
        <v>100</v>
      </c>
      <c r="R15" s="92"/>
      <c r="S15" s="34"/>
      <c r="T15" s="34"/>
      <c r="U15" s="34"/>
    </row>
    <row r="16" spans="1:21" x14ac:dyDescent="0.25">
      <c r="A16" s="47"/>
      <c r="B16" s="50" t="s">
        <v>85</v>
      </c>
      <c r="C16" s="166">
        <f>'Step 1'!E56</f>
        <v>2080.4355430269038</v>
      </c>
      <c r="D16" s="167" t="s">
        <v>32</v>
      </c>
      <c r="E16" s="168" t="s">
        <v>85</v>
      </c>
      <c r="F16" s="169">
        <f>D8</f>
        <v>700</v>
      </c>
      <c r="G16" s="167" t="s">
        <v>32</v>
      </c>
      <c r="H16" s="49"/>
      <c r="I16" s="110"/>
      <c r="J16" s="110"/>
      <c r="K16" s="60"/>
      <c r="L16" s="32"/>
      <c r="M16" s="35" t="s">
        <v>85</v>
      </c>
      <c r="N16" s="149">
        <f>'Step 1'!P56</f>
        <v>2080.4355430269038</v>
      </c>
      <c r="O16" s="150" t="s">
        <v>32</v>
      </c>
      <c r="P16" s="151" t="s">
        <v>85</v>
      </c>
      <c r="Q16" s="152">
        <f>O8</f>
        <v>700</v>
      </c>
      <c r="R16" s="150" t="s">
        <v>32</v>
      </c>
      <c r="S16" s="34"/>
      <c r="T16" s="66"/>
      <c r="U16" s="66"/>
    </row>
    <row r="17" spans="1:21" x14ac:dyDescent="0.25">
      <c r="A17" s="47"/>
      <c r="B17" s="50" t="s">
        <v>86</v>
      </c>
      <c r="C17" s="50" t="s">
        <v>87</v>
      </c>
      <c r="D17" s="50" t="s">
        <v>83</v>
      </c>
      <c r="E17" s="50" t="s">
        <v>86</v>
      </c>
      <c r="F17" s="50" t="s">
        <v>87</v>
      </c>
      <c r="G17" s="50" t="s">
        <v>83</v>
      </c>
      <c r="H17" s="49"/>
      <c r="I17" s="49"/>
      <c r="J17" s="49"/>
      <c r="K17" s="60"/>
      <c r="L17" s="32"/>
      <c r="M17" s="35" t="s">
        <v>86</v>
      </c>
      <c r="N17" s="35" t="s">
        <v>87</v>
      </c>
      <c r="O17" s="35" t="s">
        <v>83</v>
      </c>
      <c r="P17" s="35" t="s">
        <v>86</v>
      </c>
      <c r="Q17" s="35" t="s">
        <v>87</v>
      </c>
      <c r="R17" s="35" t="s">
        <v>83</v>
      </c>
      <c r="S17" s="34"/>
      <c r="T17" s="34"/>
      <c r="U17" s="34"/>
    </row>
    <row r="18" spans="1:21" ht="16.5" x14ac:dyDescent="0.3">
      <c r="A18" s="47" t="s">
        <v>41</v>
      </c>
      <c r="B18" s="115">
        <f>'Step 1'!B81</f>
        <v>58.245978026970775</v>
      </c>
      <c r="C18" s="136">
        <f>'Step 1'!C81</f>
        <v>21237.400733533606</v>
      </c>
      <c r="D18" s="136">
        <f t="shared" ref="D18:D24" si="0">(B18*C18)</f>
        <v>1236993.1764753715</v>
      </c>
      <c r="E18" s="115">
        <f t="shared" ref="E18:E23" si="1">B18</f>
        <v>58.245978026970775</v>
      </c>
      <c r="F18" s="136">
        <f>IF(ROUNDDOWN(F16,-2)=ROUNDUP(F16,-2),VLOOKUP(F16,Enthalpy,19),VLOOKUP(ROUNDDOWN(F16,-2),Enthalpy,19)+(F16-ROUNDDOWN(F16,-2))/(ROUNDUP(F16,-2)-ROUNDDOWN(F16,-2))*(VLOOKUP(ROUNDUP(F16,-2),Enthalpy,19)-VLOOKUP(ROUNDDOWN(F16,-2),Enthalpy,19)))</f>
        <v>5774</v>
      </c>
      <c r="G18" s="136">
        <f t="shared" ref="G18:G26" si="2">(E18*F18)</f>
        <v>336312.27712772926</v>
      </c>
      <c r="H18" s="136"/>
      <c r="I18" s="136"/>
      <c r="J18" s="136"/>
      <c r="K18" s="60"/>
      <c r="L18" s="32" t="s">
        <v>41</v>
      </c>
      <c r="M18" s="71">
        <f>'Step 1'!M81</f>
        <v>58.245978026970761</v>
      </c>
      <c r="N18" s="95">
        <f>'Step 1'!N81</f>
        <v>21237.400733533606</v>
      </c>
      <c r="O18" s="95">
        <f t="shared" ref="O18:O24" si="3">(M18*N18)</f>
        <v>1236993.1764753712</v>
      </c>
      <c r="P18" s="71">
        <f t="shared" ref="P18:P23" si="4">M18</f>
        <v>58.245978026970761</v>
      </c>
      <c r="Q18" s="95">
        <f>IF(ROUNDDOWN(Q16,-2)=ROUNDUP(Q16,-2),VLOOKUP(Q16,Enthalpy,19),VLOOKUP(ROUNDDOWN(Q16,-2),Enthalpy,19)+(Q16-ROUNDDOWN(Q16,-2))/(ROUNDUP(Q16,-2)-ROUNDDOWN(Q16,-2))*(VLOOKUP(ROUNDUP(Q16,-2),Enthalpy,19)-VLOOKUP(ROUNDDOWN(Q16,-2),Enthalpy,19)))</f>
        <v>5774</v>
      </c>
      <c r="R18" s="95">
        <f t="shared" ref="R18:R26" si="5">(P18*Q18)</f>
        <v>336312.27712772915</v>
      </c>
      <c r="S18" s="95"/>
      <c r="T18" s="95"/>
      <c r="U18" s="95"/>
    </row>
    <row r="19" spans="1:21" ht="16.5" x14ac:dyDescent="0.3">
      <c r="A19" s="47" t="s">
        <v>44</v>
      </c>
      <c r="B19" s="115">
        <f>'Step 1'!B82</f>
        <v>159.09563336735241</v>
      </c>
      <c r="C19" s="136">
        <f>'Step 1'!C82</f>
        <v>24674.032270922617</v>
      </c>
      <c r="D19" s="136">
        <f t="shared" si="0"/>
        <v>3925530.7918689265</v>
      </c>
      <c r="E19" s="115">
        <f t="shared" si="1"/>
        <v>159.09563336735241</v>
      </c>
      <c r="F19" s="136">
        <f>IF(ROUNDDOWN(F16,-2)=ROUNDUP(F16,-2),VLOOKUP(F16,Enthalpy,14),VLOOKUP(ROUNDDOWN(F16,-2),Enthalpy,14)+(F16-ROUNDDOWN(F16,-2))/(ROUNDUP(F16,-2)-ROUNDDOWN(F16,-2))*(VLOOKUP(ROUNDUP(F16,-2),Enthalpy,14)-VLOOKUP(ROUNDDOWN(F16,-2),Enthalpy,14)))</f>
        <v>6868</v>
      </c>
      <c r="G19" s="136">
        <f t="shared" si="2"/>
        <v>1092668.8099669763</v>
      </c>
      <c r="H19" s="136"/>
      <c r="I19" s="136"/>
      <c r="J19" s="136"/>
      <c r="K19" s="60"/>
      <c r="L19" s="32" t="s">
        <v>44</v>
      </c>
      <c r="M19" s="71">
        <f>'Step 1'!M82</f>
        <v>159.09563336735241</v>
      </c>
      <c r="N19" s="95">
        <f>'Step 1'!N82</f>
        <v>24674.032270922617</v>
      </c>
      <c r="O19" s="95">
        <f t="shared" si="3"/>
        <v>3925530.7918689265</v>
      </c>
      <c r="P19" s="71">
        <f t="shared" si="4"/>
        <v>159.09563336735241</v>
      </c>
      <c r="Q19" s="95">
        <f>IF(ROUNDDOWN(Q16,-2)=ROUNDUP(Q16,-2),VLOOKUP(Q16,Enthalpy,14),VLOOKUP(ROUNDDOWN(Q16,-2),Enthalpy,14)+(Q16-ROUNDDOWN(Q16,-2))/(ROUNDUP(Q16,-2)-ROUNDDOWN(Q16,-2))*(VLOOKUP(ROUNDUP(Q16,-2),Enthalpy,14)-VLOOKUP(ROUNDDOWN(Q16,-2),Enthalpy,14)))</f>
        <v>6868</v>
      </c>
      <c r="R19" s="95">
        <f t="shared" si="5"/>
        <v>1092668.8099669763</v>
      </c>
      <c r="S19" s="95"/>
      <c r="T19" s="95"/>
      <c r="U19" s="95"/>
    </row>
    <row r="20" spans="1:21" ht="16.5" x14ac:dyDescent="0.3">
      <c r="A20" s="47" t="s">
        <v>212</v>
      </c>
      <c r="B20" s="115">
        <f>'Step 1'!B83</f>
        <v>16.300223504340146</v>
      </c>
      <c r="C20" s="136">
        <f>'Step 1'!C83</f>
        <v>14543.266572701779</v>
      </c>
      <c r="D20" s="136">
        <f t="shared" si="0"/>
        <v>237058.49561823788</v>
      </c>
      <c r="E20" s="115">
        <f t="shared" si="1"/>
        <v>16.300223504340146</v>
      </c>
      <c r="F20" s="136">
        <f>IF(ROUNDDOWN(F16,-2)=ROUNDUP(F16,-2),VLOOKUP(F16,Enthalpy,12),VLOOKUP(ROUNDDOWN(F16,-2),Enthalpy,12)+(F16-ROUNDDOWN(F16,-2))/(ROUNDUP(F16,-2)-ROUNDDOWN(F16,-2))*(VLOOKUP(ROUNDUP(F16,-2),Enthalpy,12)-VLOOKUP(ROUNDDOWN(F16,-2),Enthalpy,12)))</f>
        <v>4651</v>
      </c>
      <c r="G20" s="136">
        <f t="shared" si="2"/>
        <v>75812.339518686014</v>
      </c>
      <c r="H20" s="136"/>
      <c r="I20" s="136"/>
      <c r="J20" s="136"/>
      <c r="K20" s="60"/>
      <c r="L20" s="32" t="s">
        <v>212</v>
      </c>
      <c r="M20" s="71">
        <f>'Step 1'!M83</f>
        <v>16.300223504340146</v>
      </c>
      <c r="N20" s="95">
        <f>'Step 1'!N83</f>
        <v>14543.266572701779</v>
      </c>
      <c r="O20" s="95">
        <f t="shared" si="3"/>
        <v>237058.49561823788</v>
      </c>
      <c r="P20" s="71">
        <f t="shared" si="4"/>
        <v>16.300223504340146</v>
      </c>
      <c r="Q20" s="95">
        <f>IF(ROUNDDOWN(Q16,-2)=ROUNDUP(Q16,-2),VLOOKUP(Q16,Enthalpy,12),VLOOKUP(ROUNDDOWN(Q16,-2),Enthalpy,12)+(Q16-ROUNDDOWN(Q16,-2))/(ROUNDUP(Q16,-2)-ROUNDDOWN(Q16,-2))*(VLOOKUP(ROUNDUP(Q16,-2),Enthalpy,12)-VLOOKUP(ROUNDDOWN(Q16,-2),Enthalpy,12)))</f>
        <v>4651</v>
      </c>
      <c r="R20" s="95">
        <f t="shared" si="5"/>
        <v>75812.339518686014</v>
      </c>
      <c r="S20" s="95"/>
      <c r="T20" s="95"/>
      <c r="U20" s="95"/>
    </row>
    <row r="21" spans="1:21" ht="16.5" x14ac:dyDescent="0.3">
      <c r="A21" s="47" t="s">
        <v>47</v>
      </c>
      <c r="B21" s="115">
        <f>'Step 1'!B84</f>
        <v>276.44480003921916</v>
      </c>
      <c r="C21" s="136">
        <f>'Step 1'!C84</f>
        <v>19242.834527598632</v>
      </c>
      <c r="D21" s="136">
        <f t="shared" si="0"/>
        <v>5319581.5431697862</v>
      </c>
      <c r="E21" s="115">
        <f t="shared" si="1"/>
        <v>276.44480003921916</v>
      </c>
      <c r="F21" s="136">
        <f>IF(ROUNDDOWN(F16,-2)=ROUNDUP(F16,-2),VLOOKUP(F16,Enthalpy,15),VLOOKUP(ROUNDDOWN(F16,-2),Enthalpy,15)+(F16-ROUNDDOWN(F16,-2))/(ROUNDUP(F16,-2)-ROUNDDOWN(F16,-2))*(VLOOKUP(ROUNDUP(F16,-2),Enthalpy,15)-VLOOKUP(ROUNDDOWN(F16,-2),Enthalpy,15)))</f>
        <v>5658</v>
      </c>
      <c r="G21" s="136">
        <f t="shared" si="2"/>
        <v>1564124.6786219019</v>
      </c>
      <c r="H21" s="136"/>
      <c r="I21" s="136"/>
      <c r="J21" s="136"/>
      <c r="K21" s="60"/>
      <c r="L21" s="32" t="s">
        <v>47</v>
      </c>
      <c r="M21" s="71">
        <f>'Step 1'!M84</f>
        <v>276.44480003921922</v>
      </c>
      <c r="N21" s="95">
        <f>'Step 1'!N84</f>
        <v>19242.834527598632</v>
      </c>
      <c r="O21" s="95">
        <f t="shared" si="3"/>
        <v>5319581.5431697872</v>
      </c>
      <c r="P21" s="71">
        <f t="shared" si="4"/>
        <v>276.44480003921922</v>
      </c>
      <c r="Q21" s="95">
        <f>IF(ROUNDDOWN(Q16,-2)=ROUNDUP(Q16,-2),VLOOKUP(Q16,Enthalpy,15),VLOOKUP(ROUNDDOWN(Q16,-2),Enthalpy,15)+(Q16-ROUNDDOWN(Q16,-2))/(ROUNDUP(Q16,-2)-ROUNDDOWN(Q16,-2))*(VLOOKUP(ROUNDUP(Q16,-2),Enthalpy,15)-VLOOKUP(ROUNDDOWN(Q16,-2),Enthalpy,15)))</f>
        <v>5658</v>
      </c>
      <c r="R21" s="95">
        <f t="shared" si="5"/>
        <v>1564124.6786219024</v>
      </c>
      <c r="S21" s="95"/>
      <c r="T21" s="95"/>
      <c r="U21" s="95"/>
    </row>
    <row r="22" spans="1:21" ht="16.5" x14ac:dyDescent="0.3">
      <c r="A22" s="47" t="s">
        <v>67</v>
      </c>
      <c r="B22" s="115">
        <f>'Step 1'!B85</f>
        <v>29.122989013485387</v>
      </c>
      <c r="C22" s="136">
        <f>'Step 1'!C85</f>
        <v>25338.054048073962</v>
      </c>
      <c r="D22" s="136">
        <f t="shared" si="0"/>
        <v>737919.86966515693</v>
      </c>
      <c r="E22" s="115">
        <f t="shared" si="1"/>
        <v>29.122989013485387</v>
      </c>
      <c r="F22" s="136">
        <f>IF(ROUNDDOWN(F16,-2)=ROUNDUP(F16,-2),VLOOKUP(F16,Enthalpy,17),VLOOKUP(ROUNDDOWN(F16,-2),Enthalpy,17)+(F16-ROUNDDOWN(F16,-2))/(ROUNDUP(F16,-2)-ROUNDDOWN(F16,-2))*(VLOOKUP(ROUNDUP(F16,-2),Enthalpy,17)-VLOOKUP(ROUNDDOWN(F16,-2),Enthalpy,17)))</f>
        <v>7309</v>
      </c>
      <c r="G22" s="136">
        <f t="shared" si="2"/>
        <v>212859.9266995647</v>
      </c>
      <c r="H22" s="136"/>
      <c r="I22" s="136"/>
      <c r="J22" s="136"/>
      <c r="K22" s="60"/>
      <c r="L22" s="32" t="s">
        <v>67</v>
      </c>
      <c r="M22" s="71">
        <f>'Step 1'!M85</f>
        <v>29.12298901348538</v>
      </c>
      <c r="N22" s="95">
        <f>'Step 1'!N85</f>
        <v>25338.054048073962</v>
      </c>
      <c r="O22" s="95">
        <f t="shared" si="3"/>
        <v>737919.86966515682</v>
      </c>
      <c r="P22" s="71">
        <f t="shared" si="4"/>
        <v>29.12298901348538</v>
      </c>
      <c r="Q22" s="95">
        <f>IF(ROUNDDOWN(Q16,-2)=ROUNDUP(Q16,-2),VLOOKUP(Q16,Enthalpy,17),VLOOKUP(ROUNDDOWN(Q16,-2),Enthalpy,17)+(Q16-ROUNDDOWN(Q16,-2))/(ROUNDUP(Q16,-2)-ROUNDDOWN(Q16,-2))*(VLOOKUP(ROUNDUP(Q16,-2),Enthalpy,17)-VLOOKUP(ROUNDDOWN(Q16,-2),Enthalpy,17)))</f>
        <v>7309</v>
      </c>
      <c r="R22" s="95">
        <f t="shared" si="5"/>
        <v>212859.92669956465</v>
      </c>
      <c r="S22" s="95"/>
      <c r="T22" s="95"/>
      <c r="U22" s="95"/>
    </row>
    <row r="23" spans="1:21" ht="12.75" customHeight="1" x14ac:dyDescent="0.3">
      <c r="A23" s="47" t="s">
        <v>68</v>
      </c>
      <c r="B23" s="115">
        <f>'Step 1'!B86</f>
        <v>551.97957289408987</v>
      </c>
      <c r="C23" s="136">
        <f>'Step 1'!C86</f>
        <v>15487.615007123302</v>
      </c>
      <c r="D23" s="136">
        <f t="shared" si="0"/>
        <v>8548847.1167800166</v>
      </c>
      <c r="E23" s="115">
        <f t="shared" si="1"/>
        <v>551.97957289408987</v>
      </c>
      <c r="F23" s="136">
        <f>IF(ROUNDDOWN(F16,-2)=ROUNDUP(F16,-2),VLOOKUP(F16,Enthalpy,9),VLOOKUP(ROUNDDOWN(F16,-2),Enthalpy,9)+(F16-ROUNDDOWN(F16,-2))/(ROUNDUP(F16,-2)-ROUNDDOWN(F16,-2))*(VLOOKUP(ROUNDUP(F16,-2),Enthalpy,9)-VLOOKUP(ROUNDDOWN(F16,-2),Enthalpy,9)))</f>
        <v>4720</v>
      </c>
      <c r="G23" s="136">
        <f t="shared" si="2"/>
        <v>2605343.5840601041</v>
      </c>
      <c r="H23" s="136"/>
      <c r="I23" s="136"/>
      <c r="J23" s="136"/>
      <c r="K23" s="60"/>
      <c r="L23" s="32" t="s">
        <v>68</v>
      </c>
      <c r="M23" s="71">
        <f>'Step 1'!M86</f>
        <v>551.97957289408987</v>
      </c>
      <c r="N23" s="95">
        <f>'Step 1'!N86</f>
        <v>15487.615007123302</v>
      </c>
      <c r="O23" s="95">
        <f t="shared" si="3"/>
        <v>8548847.1167800166</v>
      </c>
      <c r="P23" s="71">
        <f t="shared" si="4"/>
        <v>551.97957289408987</v>
      </c>
      <c r="Q23" s="95">
        <f>IF(ROUNDDOWN(Q16,-2)=ROUNDUP(Q16,-2),VLOOKUP(Q16,Enthalpy,9),VLOOKUP(ROUNDDOWN(Q16,-2),Enthalpy,9)+(Q16-ROUNDDOWN(Q16,-2))/(ROUNDUP(Q16,-2)-ROUNDDOWN(Q16,-2))*(VLOOKUP(ROUNDUP(Q16,-2),Enthalpy,9)-VLOOKUP(ROUNDDOWN(Q16,-2),Enthalpy,9)))</f>
        <v>4720</v>
      </c>
      <c r="R23" s="95">
        <f t="shared" si="5"/>
        <v>2605343.5840601041</v>
      </c>
      <c r="S23" s="95"/>
      <c r="T23" s="95"/>
      <c r="U23" s="95"/>
    </row>
    <row r="24" spans="1:21" ht="16.5" x14ac:dyDescent="0.3">
      <c r="A24" s="47" t="s">
        <v>70</v>
      </c>
      <c r="B24" s="115">
        <f>'Step 1'!B87</f>
        <v>101.85322633995177</v>
      </c>
      <c r="C24" s="136">
        <f>'Step 1'!C87</f>
        <v>17854.028772998859</v>
      </c>
      <c r="D24" s="136">
        <f t="shared" si="0"/>
        <v>1818490.4336962644</v>
      </c>
      <c r="E24" s="115">
        <f>2*B24 / (2 + 6*B12/B11 + 8*B13/B11)</f>
        <v>0.14406396936343957</v>
      </c>
      <c r="F24" s="136">
        <f>IF(ROUNDDOWN(F16,-2)=ROUNDUP(F16,-2),VLOOKUP(F16,Enthalpy,16),VLOOKUP(ROUNDDOWN(F16,-2),Enthalpy,16)+(F16-ROUNDDOWN(F16,-2))/(ROUNDUP(F16,-2)-ROUNDDOWN(F16,-2))*(VLOOKUP(ROUNDUP(F16,-2),Enthalpy,16)-VLOOKUP(ROUNDDOWN(F16,-2),Enthalpy,16)))</f>
        <v>5507</v>
      </c>
      <c r="G24" s="136">
        <f t="shared" si="2"/>
        <v>793.36027928446174</v>
      </c>
      <c r="H24" s="136"/>
      <c r="I24" s="136"/>
      <c r="J24" s="136"/>
      <c r="K24" s="60"/>
      <c r="L24" s="32" t="s">
        <v>70</v>
      </c>
      <c r="M24" s="71">
        <f>'Step 1'!M87</f>
        <v>101.85322633995179</v>
      </c>
      <c r="N24" s="95">
        <f>'Step 1'!N87</f>
        <v>17854.028772998859</v>
      </c>
      <c r="O24" s="95">
        <f t="shared" si="3"/>
        <v>1818490.4336962646</v>
      </c>
      <c r="P24" s="71">
        <f>2*M24 / (2 + 6*M12/M11 + 8*M13/M11)</f>
        <v>0.1440639693634396</v>
      </c>
      <c r="Q24" s="95">
        <f>IF(ROUNDDOWN(Q16,-2)=ROUNDUP(Q16,-2),VLOOKUP(Q16,Enthalpy,16),VLOOKUP(ROUNDDOWN(Q16,-2),Enthalpy,16)+(Q16-ROUNDDOWN(Q16,-2))/(ROUNDUP(Q16,-2)-ROUNDDOWN(Q16,-2))*(VLOOKUP(ROUNDUP(Q16,-2),Enthalpy,16)-VLOOKUP(ROUNDDOWN(Q16,-2),Enthalpy,16)))</f>
        <v>5507</v>
      </c>
      <c r="R24" s="95">
        <f t="shared" si="5"/>
        <v>793.36027928446185</v>
      </c>
      <c r="S24" s="95"/>
      <c r="T24" s="95"/>
      <c r="U24" s="95"/>
    </row>
    <row r="25" spans="1:21" ht="16.5" x14ac:dyDescent="0.3">
      <c r="A25" s="47" t="s">
        <v>71</v>
      </c>
      <c r="B25" s="115"/>
      <c r="C25" s="56"/>
      <c r="D25" s="136"/>
      <c r="E25" s="115">
        <f>E24*B12/B11</f>
        <v>12.965757242709561</v>
      </c>
      <c r="F25" s="136">
        <f>IF(ROUNDDOWN(F16,-2)=ROUNDUP(F16,-2),VLOOKUP(F16,Enthalpy,22),VLOOKUP(ROUNDDOWN(F16,-2),Enthalpy,22)+(F16-ROUNDDOWN(F16,-2))/(ROUNDUP(F16,-2)-ROUNDDOWN(F16,-2))*(VLOOKUP(ROUNDUP(F16,-2),Enthalpy,22)-VLOOKUP(ROUNDDOWN(F16,-2),Enthalpy,22)))</f>
        <v>19510</v>
      </c>
      <c r="G25" s="136">
        <f t="shared" si="2"/>
        <v>252961.92380526353</v>
      </c>
      <c r="H25" s="136"/>
      <c r="I25" s="136"/>
      <c r="J25" s="136"/>
      <c r="K25" s="60"/>
      <c r="L25" s="32" t="s">
        <v>71</v>
      </c>
      <c r="M25" s="71"/>
      <c r="N25" s="41"/>
      <c r="O25" s="95"/>
      <c r="P25" s="71">
        <f>P24*M12/M11</f>
        <v>12.965757242709563</v>
      </c>
      <c r="Q25" s="95">
        <f>IF(ROUNDDOWN(Q16,-2)=ROUNDUP(Q16,-2),VLOOKUP(Q16,Enthalpy,22),VLOOKUP(ROUNDDOWN(Q16,-2),Enthalpy,22)+(Q16-ROUNDDOWN(Q16,-2))/(ROUNDUP(Q16,-2)-ROUNDDOWN(Q16,-2))*(VLOOKUP(ROUNDUP(Q16,-2),Enthalpy,22)-VLOOKUP(ROUNDDOWN(Q16,-2),Enthalpy,22)))</f>
        <v>19510</v>
      </c>
      <c r="R25" s="95">
        <f t="shared" si="5"/>
        <v>252961.92380526356</v>
      </c>
      <c r="S25" s="95"/>
      <c r="T25" s="95"/>
      <c r="U25" s="95"/>
    </row>
    <row r="26" spans="1:21" ht="16.5" x14ac:dyDescent="0.3">
      <c r="A26" s="47" t="s">
        <v>72</v>
      </c>
      <c r="B26" s="116"/>
      <c r="C26" s="56"/>
      <c r="D26" s="143"/>
      <c r="E26" s="116">
        <f>E24*B13/B11</f>
        <v>15.702972660614913</v>
      </c>
      <c r="F26" s="136">
        <f>IF(ROUNDDOWN(F16,-2)=ROUNDUP(F16,-2),VLOOKUP(F16,Enthalpy,23),VLOOKUP(ROUNDDOWN(F16,-2),Enthalpy,23)+(F16-ROUNDDOWN(F16,-2))/(ROUNDUP(F16,-2)-ROUNDDOWN(F16,-2))*(VLOOKUP(ROUNDUP(F16,-2),Enthalpy,23)-VLOOKUP(ROUNDDOWN(F16,-2),Enthalpy,23)))</f>
        <v>27050</v>
      </c>
      <c r="G26" s="143">
        <f t="shared" si="2"/>
        <v>424765.41046963341</v>
      </c>
      <c r="H26" s="136"/>
      <c r="I26" s="136"/>
      <c r="J26" s="136"/>
      <c r="K26" s="60"/>
      <c r="L26" s="32" t="s">
        <v>72</v>
      </c>
      <c r="M26" s="72"/>
      <c r="N26" s="41"/>
      <c r="O26" s="103"/>
      <c r="P26" s="72">
        <f>P24*M13/M11</f>
        <v>15.702972660614916</v>
      </c>
      <c r="Q26" s="95">
        <f>IF(ROUNDDOWN(Q16,-2)=ROUNDUP(Q16,-2),VLOOKUP(Q16,Enthalpy,23),VLOOKUP(ROUNDDOWN(Q16,-2),Enthalpy,23)+(Q16-ROUNDDOWN(Q16,-2))/(ROUNDUP(Q16,-2)-ROUNDDOWN(Q16,-2))*(VLOOKUP(ROUNDUP(Q16,-2),Enthalpy,23)-VLOOKUP(ROUNDDOWN(Q16,-2),Enthalpy,23)))</f>
        <v>27050</v>
      </c>
      <c r="R26" s="103">
        <f t="shared" si="5"/>
        <v>424765.41046963347</v>
      </c>
      <c r="S26" s="95"/>
      <c r="T26" s="95"/>
      <c r="U26" s="95"/>
    </row>
    <row r="27" spans="1:21" x14ac:dyDescent="0.25">
      <c r="A27" s="47"/>
      <c r="B27" s="115">
        <f>SUM(B18:B26)</f>
        <v>1193.0424231854097</v>
      </c>
      <c r="C27" s="56"/>
      <c r="D27" s="136">
        <f>SUM(D18:D26)</f>
        <v>21824421.427273758</v>
      </c>
      <c r="E27" s="115">
        <f>SUM(E18:E26)</f>
        <v>1120.0019907181459</v>
      </c>
      <c r="F27" s="56"/>
      <c r="G27" s="136">
        <f>SUM(G18:G26)</f>
        <v>6565642.3105491437</v>
      </c>
      <c r="H27" s="136"/>
      <c r="I27" s="136"/>
      <c r="J27" s="136"/>
      <c r="K27" s="60"/>
      <c r="L27" s="32"/>
      <c r="M27" s="71">
        <f>SUM(M18:M26)</f>
        <v>1193.0424231854097</v>
      </c>
      <c r="N27" s="41"/>
      <c r="O27" s="95">
        <f>SUM(O18:O26)</f>
        <v>21824421.427273761</v>
      </c>
      <c r="P27" s="71">
        <f>SUM(P18:P26)</f>
        <v>1120.0019907181459</v>
      </c>
      <c r="Q27" s="41"/>
      <c r="R27" s="95">
        <f>SUM(R18:R26)</f>
        <v>6565642.3105491446</v>
      </c>
      <c r="S27" s="95"/>
      <c r="T27" s="95"/>
      <c r="U27" s="95"/>
    </row>
    <row r="28" spans="1:21" x14ac:dyDescent="0.25">
      <c r="A28" s="47"/>
      <c r="B28" s="49"/>
      <c r="C28" s="49"/>
      <c r="D28" s="47"/>
      <c r="E28" s="47"/>
      <c r="F28" s="47"/>
      <c r="G28" s="47"/>
      <c r="H28" s="47"/>
      <c r="I28" s="47"/>
      <c r="J28" s="47"/>
      <c r="K28" s="60"/>
      <c r="L28" s="32"/>
      <c r="M28" s="34"/>
      <c r="N28" s="34"/>
      <c r="O28" s="32"/>
      <c r="P28" s="32"/>
      <c r="Q28" s="32"/>
      <c r="R28" s="32"/>
      <c r="S28" s="32"/>
      <c r="T28" s="32"/>
      <c r="U28" s="32"/>
    </row>
    <row r="29" spans="1:21" x14ac:dyDescent="0.25">
      <c r="A29" s="47"/>
      <c r="B29" s="56" t="s">
        <v>101</v>
      </c>
      <c r="C29" s="2">
        <f>D27-G27</f>
        <v>15258779.116724614</v>
      </c>
      <c r="D29" s="110" t="s">
        <v>83</v>
      </c>
      <c r="E29" s="138"/>
      <c r="F29" s="138"/>
      <c r="G29" s="170"/>
      <c r="H29" s="170"/>
      <c r="I29" s="170"/>
      <c r="J29" s="170"/>
      <c r="K29" s="60"/>
      <c r="L29" s="32"/>
      <c r="M29" s="41" t="s">
        <v>101</v>
      </c>
      <c r="N29" s="153">
        <f>O27-R27</f>
        <v>15258779.116724618</v>
      </c>
      <c r="O29" s="66" t="s">
        <v>83</v>
      </c>
      <c r="P29" s="98"/>
      <c r="Q29" s="98"/>
      <c r="R29" s="154"/>
      <c r="S29" s="154"/>
      <c r="T29" s="154"/>
      <c r="U29" s="154"/>
    </row>
    <row r="30" spans="1:21" x14ac:dyDescent="0.25">
      <c r="A30" s="47"/>
      <c r="B30" s="49"/>
      <c r="C30" s="49"/>
      <c r="D30" s="47"/>
      <c r="E30" s="47"/>
      <c r="F30" s="47"/>
      <c r="G30" s="47"/>
      <c r="H30" s="47"/>
      <c r="I30" s="47"/>
      <c r="J30" s="47"/>
      <c r="K30" s="60"/>
      <c r="L30" s="32"/>
      <c r="M30" s="34"/>
      <c r="N30" s="34"/>
      <c r="O30" s="32"/>
      <c r="P30" s="32"/>
      <c r="Q30" s="32"/>
      <c r="R30" s="32"/>
      <c r="S30" s="32"/>
      <c r="T30" s="32"/>
      <c r="U30" s="32"/>
    </row>
    <row r="31" spans="1:21" ht="16.5" x14ac:dyDescent="0.3">
      <c r="A31" s="47" t="s">
        <v>102</v>
      </c>
      <c r="B31" s="171">
        <v>122500</v>
      </c>
      <c r="C31" s="56" t="s">
        <v>101</v>
      </c>
      <c r="D31" s="145">
        <f>(E25*B31)</f>
        <v>1588305.2622319213</v>
      </c>
      <c r="E31" s="47" t="s">
        <v>83</v>
      </c>
      <c r="F31" s="47"/>
      <c r="G31" s="164" t="s">
        <v>103</v>
      </c>
      <c r="H31" s="47"/>
      <c r="I31" s="47"/>
      <c r="J31" s="47"/>
      <c r="K31" s="60"/>
      <c r="L31" s="32" t="s">
        <v>102</v>
      </c>
      <c r="M31" s="155">
        <v>122500</v>
      </c>
      <c r="N31" s="41" t="s">
        <v>101</v>
      </c>
      <c r="O31" s="105">
        <f>(P25*M31)</f>
        <v>1588305.2622319213</v>
      </c>
      <c r="P31" s="32" t="s">
        <v>83</v>
      </c>
      <c r="Q31" s="32"/>
      <c r="R31" s="147" t="s">
        <v>103</v>
      </c>
      <c r="S31" s="32"/>
      <c r="T31" s="32"/>
      <c r="U31" s="32"/>
    </row>
    <row r="32" spans="1:21" ht="16.5" x14ac:dyDescent="0.3">
      <c r="A32" s="47" t="s">
        <v>104</v>
      </c>
      <c r="B32" s="171">
        <v>177900</v>
      </c>
      <c r="C32" s="56" t="s">
        <v>101</v>
      </c>
      <c r="D32" s="145">
        <f>(E26*B32)</f>
        <v>2793558.836323393</v>
      </c>
      <c r="E32" s="47" t="s">
        <v>83</v>
      </c>
      <c r="F32" s="47"/>
      <c r="G32" s="47"/>
      <c r="H32" s="47"/>
      <c r="I32" s="47"/>
      <c r="J32" s="47"/>
      <c r="K32" s="60"/>
      <c r="L32" s="32" t="s">
        <v>104</v>
      </c>
      <c r="M32" s="155">
        <v>177900</v>
      </c>
      <c r="N32" s="41" t="s">
        <v>101</v>
      </c>
      <c r="O32" s="105">
        <f>(P26*M32)</f>
        <v>2793558.8363233935</v>
      </c>
      <c r="P32" s="32" t="s">
        <v>83</v>
      </c>
      <c r="Q32" s="32"/>
      <c r="R32" s="32"/>
      <c r="S32" s="32"/>
      <c r="T32" s="32"/>
      <c r="U32" s="32"/>
    </row>
    <row r="33" spans="1:21" x14ac:dyDescent="0.25">
      <c r="A33" s="47"/>
      <c r="B33" s="49"/>
      <c r="C33" s="49"/>
      <c r="D33" s="47"/>
      <c r="E33" s="47"/>
      <c r="F33" s="47"/>
      <c r="G33" s="47"/>
      <c r="H33" s="47"/>
      <c r="I33" s="47"/>
      <c r="J33" s="47"/>
      <c r="K33" s="60"/>
      <c r="L33" s="32"/>
      <c r="M33" s="34"/>
      <c r="N33" s="34"/>
      <c r="O33" s="32"/>
      <c r="P33" s="32"/>
      <c r="Q33" s="32"/>
      <c r="R33" s="32"/>
      <c r="S33" s="32"/>
      <c r="T33" s="32"/>
      <c r="U33" s="32"/>
    </row>
    <row r="34" spans="1:21" ht="15.75" thickBot="1" x14ac:dyDescent="0.3">
      <c r="A34" s="47" t="s">
        <v>105</v>
      </c>
      <c r="B34" s="49"/>
      <c r="C34" s="49"/>
      <c r="D34" s="47"/>
      <c r="E34" s="47"/>
      <c r="F34" s="47"/>
      <c r="G34" s="47"/>
      <c r="H34" s="47"/>
      <c r="I34" s="47"/>
      <c r="J34" s="47"/>
      <c r="K34" s="60"/>
      <c r="L34" s="32" t="s">
        <v>105</v>
      </c>
      <c r="M34" s="34"/>
      <c r="N34" s="34"/>
      <c r="O34" s="32"/>
      <c r="P34" s="32"/>
      <c r="Q34" s="32"/>
      <c r="R34" s="32"/>
      <c r="S34" s="32"/>
      <c r="T34" s="32"/>
      <c r="U34" s="32"/>
    </row>
    <row r="35" spans="1:21" ht="15.75" thickBot="1" x14ac:dyDescent="0.3">
      <c r="A35" s="56" t="s">
        <v>101</v>
      </c>
      <c r="B35" s="172">
        <f>C29+D31+D32</f>
        <v>19640643.215279926</v>
      </c>
      <c r="C35" s="49" t="s">
        <v>83</v>
      </c>
      <c r="D35" s="47"/>
      <c r="E35" s="47"/>
      <c r="F35" s="47"/>
      <c r="G35" s="47"/>
      <c r="H35" s="47"/>
      <c r="I35" s="47"/>
      <c r="J35" s="47"/>
      <c r="K35" s="60"/>
      <c r="L35" s="41" t="s">
        <v>101</v>
      </c>
      <c r="M35" s="156">
        <f>N29+O31+O32</f>
        <v>19640643.215279929</v>
      </c>
      <c r="N35" s="34" t="s">
        <v>83</v>
      </c>
      <c r="O35" s="32"/>
      <c r="P35" s="32"/>
      <c r="Q35" s="32"/>
      <c r="R35" s="32"/>
      <c r="S35" s="32"/>
      <c r="T35" s="32"/>
      <c r="U35" s="32"/>
    </row>
    <row r="36" spans="1:21" x14ac:dyDescent="0.25">
      <c r="A36" s="47"/>
      <c r="B36" s="49"/>
      <c r="C36" s="49"/>
      <c r="D36" s="47"/>
      <c r="E36" s="47"/>
      <c r="F36" s="47"/>
      <c r="G36" s="47"/>
      <c r="H36" s="47"/>
      <c r="I36" s="47"/>
      <c r="J36" s="47"/>
      <c r="K36" s="60"/>
      <c r="L36" s="32"/>
      <c r="M36" s="34"/>
      <c r="N36" s="34"/>
      <c r="O36" s="32"/>
      <c r="P36" s="32"/>
      <c r="Q36" s="32"/>
      <c r="R36" s="32"/>
      <c r="S36" s="32"/>
      <c r="T36" s="32"/>
      <c r="U36" s="32"/>
    </row>
    <row r="37" spans="1:21" x14ac:dyDescent="0.25">
      <c r="A37" s="47" t="s">
        <v>106</v>
      </c>
      <c r="B37" s="49"/>
      <c r="C37" s="49"/>
      <c r="D37" s="47"/>
      <c r="E37" s="47"/>
      <c r="F37" s="47"/>
      <c r="G37" s="47"/>
      <c r="H37" s="47"/>
      <c r="I37" s="47"/>
      <c r="J37" s="47"/>
      <c r="K37" s="60"/>
      <c r="L37" s="32" t="s">
        <v>106</v>
      </c>
      <c r="M37" s="34"/>
      <c r="N37" s="34"/>
      <c r="O37" s="32"/>
      <c r="P37" s="32"/>
      <c r="Q37" s="32"/>
      <c r="R37" s="32"/>
      <c r="S37" s="32"/>
      <c r="T37" s="32"/>
      <c r="U37" s="32"/>
    </row>
    <row r="38" spans="1:21" ht="16.5" x14ac:dyDescent="0.3">
      <c r="A38" s="56" t="s">
        <v>3</v>
      </c>
      <c r="B38" s="47" t="s">
        <v>107</v>
      </c>
      <c r="C38" s="49"/>
      <c r="D38" s="47"/>
      <c r="E38" s="47"/>
      <c r="F38" s="47"/>
      <c r="G38" s="47"/>
      <c r="H38" s="47"/>
      <c r="I38" s="47"/>
      <c r="J38" s="47"/>
      <c r="K38" s="60"/>
      <c r="L38" s="41" t="s">
        <v>3</v>
      </c>
      <c r="M38" s="32" t="s">
        <v>107</v>
      </c>
      <c r="N38" s="34"/>
      <c r="O38" s="32"/>
      <c r="P38" s="32"/>
      <c r="Q38" s="32"/>
      <c r="R38" s="32"/>
      <c r="S38" s="32"/>
      <c r="T38" s="32"/>
      <c r="U38" s="32"/>
    </row>
    <row r="39" spans="1:21" x14ac:dyDescent="0.25">
      <c r="A39" s="56" t="s">
        <v>3</v>
      </c>
      <c r="B39" s="173">
        <f>(E24+E25+E26) / E27 * 'Step 1'!D46</f>
        <v>3.3412491220530791E-2</v>
      </c>
      <c r="C39" s="110" t="s">
        <v>77</v>
      </c>
      <c r="D39" s="47"/>
      <c r="E39" s="47"/>
      <c r="F39" s="47"/>
      <c r="G39" s="47"/>
      <c r="H39" s="47"/>
      <c r="I39" s="47"/>
      <c r="J39" s="47"/>
      <c r="K39" s="60"/>
      <c r="L39" s="41" t="s">
        <v>3</v>
      </c>
      <c r="M39" s="157">
        <f>(P24+P25+P26) / P27 * 'Step 1'!O46</f>
        <v>3.3412491220530804E-2</v>
      </c>
      <c r="N39" s="66" t="s">
        <v>77</v>
      </c>
      <c r="O39" s="32"/>
      <c r="P39" s="32"/>
      <c r="Q39" s="32"/>
      <c r="R39" s="32"/>
      <c r="S39" s="32"/>
      <c r="T39" s="32"/>
      <c r="U39" s="32"/>
    </row>
    <row r="40" spans="1:21" x14ac:dyDescent="0.25">
      <c r="A40" s="110" t="str">
        <f>CONCATENATE("Vapor pressure of sulfur at ", D8, " °F  from Fig. 22-22 =")</f>
        <v>Vapor pressure of sulfur at 700 °F  from Fig. 22-22 =</v>
      </c>
      <c r="B40" s="173"/>
      <c r="C40" s="110"/>
      <c r="D40" s="47"/>
      <c r="E40" s="174">
        <v>0.30000000000000004</v>
      </c>
      <c r="F40" s="47" t="s">
        <v>108</v>
      </c>
      <c r="G40" s="47"/>
      <c r="H40" s="47"/>
      <c r="I40" s="47"/>
      <c r="J40" s="47"/>
      <c r="K40" s="60"/>
      <c r="L40" s="66" t="str">
        <f>CONCATENATE("Vapor pressure of sulfur at ", O8, " °F  from Fig. 22-22 =")</f>
        <v>Vapor pressure of sulfur at 700 °F  from Fig. 22-22 =</v>
      </c>
      <c r="M40" s="157"/>
      <c r="N40" s="66"/>
      <c r="O40" s="32"/>
      <c r="P40" s="158">
        <v>0.30000000000000004</v>
      </c>
      <c r="Q40" s="32" t="s">
        <v>108</v>
      </c>
      <c r="R40" s="32"/>
      <c r="S40" s="32"/>
      <c r="T40" s="32"/>
      <c r="U40" s="32"/>
    </row>
    <row r="41" spans="1:21" ht="15.75" thickBot="1" x14ac:dyDescent="0.3">
      <c r="A41" s="56"/>
      <c r="B41" s="173"/>
      <c r="C41" s="110"/>
      <c r="D41" s="47"/>
      <c r="E41" s="47"/>
      <c r="F41" s="47"/>
      <c r="G41" s="47"/>
      <c r="H41" s="47"/>
      <c r="I41" s="47"/>
      <c r="J41" s="47"/>
      <c r="K41" s="60"/>
      <c r="L41" s="41"/>
      <c r="M41" s="157"/>
      <c r="N41" s="66"/>
      <c r="O41" s="32"/>
      <c r="P41" s="32"/>
      <c r="Q41" s="32"/>
      <c r="R41" s="32"/>
      <c r="S41" s="32"/>
      <c r="T41" s="32"/>
      <c r="U41" s="32"/>
    </row>
    <row r="42" spans="1:21" ht="15.75" thickBot="1" x14ac:dyDescent="0.3">
      <c r="A42" s="175" t="str">
        <f>IF(E40&gt;B39,"No sulfur is condensed.","Sulfur condensation is thermodynamically possible.")</f>
        <v>No sulfur is condensed.</v>
      </c>
      <c r="B42" s="176"/>
      <c r="C42" s="176"/>
      <c r="D42" s="177"/>
      <c r="E42" s="177"/>
      <c r="F42" s="177"/>
      <c r="G42" s="178"/>
      <c r="H42" s="47"/>
      <c r="I42" s="47"/>
      <c r="J42" s="47"/>
      <c r="K42" s="60"/>
      <c r="L42" s="159" t="str">
        <f>IF(P40&gt;M39,"No sulfur is condensed.","Sulfur condensation is thermodynamically possible.")</f>
        <v>No sulfur is condensed.</v>
      </c>
      <c r="M42" s="160"/>
      <c r="N42" s="160"/>
      <c r="O42" s="161"/>
      <c r="P42" s="161"/>
      <c r="Q42" s="161"/>
      <c r="R42" s="162"/>
      <c r="S42" s="32"/>
      <c r="T42" s="32"/>
      <c r="U42" s="32"/>
    </row>
    <row r="43" spans="1:21" x14ac:dyDescent="0.25">
      <c r="A43" s="47"/>
      <c r="B43" s="49"/>
      <c r="C43" s="49"/>
      <c r="D43" s="47"/>
      <c r="E43" s="47"/>
      <c r="F43" s="47"/>
      <c r="G43" s="47"/>
      <c r="H43" s="47"/>
      <c r="I43" s="47"/>
      <c r="J43" s="47"/>
      <c r="L43" s="32"/>
      <c r="M43" s="34"/>
      <c r="N43" s="34"/>
      <c r="O43" s="32"/>
      <c r="P43" s="32"/>
      <c r="Q43" s="32"/>
      <c r="R43" s="32"/>
      <c r="S43" s="32"/>
      <c r="T43" s="32"/>
      <c r="U43" s="32"/>
    </row>
    <row r="45" spans="1:21" x14ac:dyDescent="0.25">
      <c r="A45" s="44" t="s">
        <v>307</v>
      </c>
    </row>
    <row r="46" spans="1:21" x14ac:dyDescent="0.25">
      <c r="A46" s="44" t="s">
        <v>303</v>
      </c>
    </row>
    <row r="47" spans="1:21" x14ac:dyDescent="0.25">
      <c r="A47" s="44" t="s">
        <v>304</v>
      </c>
    </row>
    <row r="48" spans="1:21" x14ac:dyDescent="0.25">
      <c r="A48" s="44" t="s">
        <v>305</v>
      </c>
    </row>
    <row r="49" spans="1:1" x14ac:dyDescent="0.25">
      <c r="A49" s="45" t="s">
        <v>306</v>
      </c>
    </row>
  </sheetData>
  <sheetProtection password="E156" sheet="1" objects="1" scenarios="1"/>
  <mergeCells count="4">
    <mergeCell ref="C15:D15"/>
    <mergeCell ref="F15:G15"/>
    <mergeCell ref="N15:O15"/>
    <mergeCell ref="Q15:R15"/>
  </mergeCells>
  <pageMargins left="0.7" right="0.7" top="0.75" bottom="0.75" header="0.51180555555555551" footer="0.51180555555555551"/>
  <pageSetup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U55"/>
  <sheetViews>
    <sheetView zoomScaleNormal="100" workbookViewId="0">
      <selection activeCell="C2" sqref="C2"/>
    </sheetView>
  </sheetViews>
  <sheetFormatPr defaultColWidth="8.7109375" defaultRowHeight="15" x14ac:dyDescent="0.25"/>
  <cols>
    <col min="1" max="1" width="21.42578125" style="28" customWidth="1"/>
    <col min="2" max="2" width="12.42578125" style="28" customWidth="1"/>
    <col min="3" max="3" width="12.7109375" style="28" customWidth="1"/>
    <col min="4" max="4" width="11.28515625" style="28" customWidth="1"/>
    <col min="5" max="5" width="8.7109375" style="28"/>
    <col min="6" max="6" width="9.42578125" style="28" customWidth="1"/>
    <col min="7" max="11" width="8.7109375" style="28"/>
    <col min="12" max="12" width="21.42578125" style="28" customWidth="1"/>
    <col min="13" max="13" width="12.42578125" style="28" customWidth="1"/>
    <col min="14" max="14" width="12.5703125" style="28" customWidth="1"/>
    <col min="15" max="15" width="11.140625" style="28" customWidth="1"/>
    <col min="16" max="16" width="8.7109375" style="28"/>
    <col min="17" max="17" width="9.28515625" style="28" customWidth="1"/>
    <col min="18" max="18" width="8.85546875" style="28" customWidth="1"/>
    <col min="19" max="16384" width="8.7109375" style="28"/>
  </cols>
  <sheetData>
    <row r="1" spans="1:21" x14ac:dyDescent="0.25">
      <c r="A1" s="27" t="s">
        <v>298</v>
      </c>
    </row>
    <row r="5" spans="1:21" ht="20.25" x14ac:dyDescent="0.3">
      <c r="A5" s="106" t="s">
        <v>275</v>
      </c>
      <c r="B5" s="49"/>
      <c r="C5" s="49"/>
      <c r="D5" s="47"/>
      <c r="E5" s="47"/>
      <c r="F5" s="47"/>
      <c r="G5" s="47"/>
      <c r="H5" s="47"/>
      <c r="I5" s="47"/>
      <c r="J5" s="47"/>
      <c r="K5" s="60"/>
      <c r="L5" s="61" t="s">
        <v>275</v>
      </c>
      <c r="M5" s="62"/>
      <c r="N5" s="62"/>
      <c r="O5" s="30"/>
      <c r="P5" s="30"/>
      <c r="Q5" s="30"/>
      <c r="R5" s="30"/>
      <c r="S5" s="30"/>
      <c r="T5" s="30"/>
      <c r="U5" s="30"/>
    </row>
    <row r="6" spans="1:21" x14ac:dyDescent="0.25">
      <c r="A6" s="47"/>
      <c r="B6" s="49"/>
      <c r="C6" s="49"/>
      <c r="D6" s="47"/>
      <c r="E6" s="47"/>
      <c r="F6" s="47"/>
      <c r="G6" s="47"/>
      <c r="H6" s="47"/>
      <c r="I6" s="47"/>
      <c r="J6" s="47"/>
      <c r="K6" s="60"/>
      <c r="L6" s="32"/>
      <c r="M6" s="34"/>
      <c r="N6" s="34"/>
      <c r="O6" s="32"/>
      <c r="P6" s="32"/>
      <c r="Q6" s="32"/>
      <c r="R6" s="32"/>
      <c r="S6" s="32"/>
      <c r="T6" s="32"/>
      <c r="U6" s="32"/>
    </row>
    <row r="7" spans="1:21" x14ac:dyDescent="0.25">
      <c r="A7" s="47" t="s">
        <v>109</v>
      </c>
      <c r="B7" s="49"/>
      <c r="C7" s="49"/>
      <c r="D7" s="117">
        <v>0.5</v>
      </c>
      <c r="E7" s="47" t="s">
        <v>74</v>
      </c>
      <c r="F7" s="56" t="s">
        <v>75</v>
      </c>
      <c r="G7" s="47">
        <f>'Step 1'!B46-D7</f>
        <v>18.599999999999998</v>
      </c>
      <c r="H7" s="47" t="s">
        <v>34</v>
      </c>
      <c r="I7" s="47"/>
      <c r="J7" s="47"/>
      <c r="K7" s="60"/>
      <c r="L7" s="32" t="s">
        <v>109</v>
      </c>
      <c r="M7" s="34"/>
      <c r="N7" s="34"/>
      <c r="O7" s="73">
        <v>0.5</v>
      </c>
      <c r="P7" s="32" t="s">
        <v>74</v>
      </c>
      <c r="Q7" s="41" t="s">
        <v>75</v>
      </c>
      <c r="R7" s="32">
        <f>'Step 1'!M46-O7</f>
        <v>18.599999999999998</v>
      </c>
      <c r="S7" s="32" t="s">
        <v>34</v>
      </c>
      <c r="T7" s="32"/>
      <c r="U7" s="32"/>
    </row>
    <row r="8" spans="1:21" x14ac:dyDescent="0.25">
      <c r="A8" s="47" t="s">
        <v>110</v>
      </c>
      <c r="B8" s="49"/>
      <c r="C8" s="49"/>
      <c r="D8" s="51">
        <v>350</v>
      </c>
      <c r="E8" s="47" t="s">
        <v>32</v>
      </c>
      <c r="F8" s="47"/>
      <c r="G8" s="47"/>
      <c r="H8" s="47"/>
      <c r="I8" s="47"/>
      <c r="J8" s="47"/>
      <c r="K8" s="60"/>
      <c r="L8" s="32" t="s">
        <v>110</v>
      </c>
      <c r="M8" s="34"/>
      <c r="N8" s="34"/>
      <c r="O8" s="36">
        <v>350</v>
      </c>
      <c r="P8" s="32" t="s">
        <v>32</v>
      </c>
      <c r="Q8" s="32"/>
      <c r="R8" s="32"/>
      <c r="S8" s="32"/>
      <c r="T8" s="32"/>
      <c r="U8" s="32"/>
    </row>
    <row r="9" spans="1:21" x14ac:dyDescent="0.25">
      <c r="A9" s="47" t="s">
        <v>224</v>
      </c>
      <c r="B9" s="49"/>
      <c r="C9" s="49"/>
      <c r="D9" s="47"/>
      <c r="E9" s="47"/>
      <c r="F9" s="195">
        <v>1.1000000000000001E-3</v>
      </c>
      <c r="G9" s="47" t="s">
        <v>111</v>
      </c>
      <c r="H9" s="47"/>
      <c r="I9" s="47"/>
      <c r="J9" s="47"/>
      <c r="K9" s="60"/>
      <c r="L9" s="32" t="s">
        <v>224</v>
      </c>
      <c r="M9" s="34"/>
      <c r="N9" s="34"/>
      <c r="O9" s="32"/>
      <c r="P9" s="32"/>
      <c r="Q9" s="179">
        <v>1.1000000000000001E-3</v>
      </c>
      <c r="R9" s="32" t="s">
        <v>111</v>
      </c>
      <c r="S9" s="32"/>
      <c r="T9" s="32"/>
      <c r="U9" s="32"/>
    </row>
    <row r="10" spans="1:21" x14ac:dyDescent="0.25">
      <c r="A10" s="47" t="s">
        <v>112</v>
      </c>
      <c r="B10" s="49"/>
      <c r="C10" s="49"/>
      <c r="D10" s="47"/>
      <c r="E10" s="47"/>
      <c r="F10" s="47"/>
      <c r="G10" s="47"/>
      <c r="H10" s="47"/>
      <c r="I10" s="47"/>
      <c r="J10" s="47"/>
      <c r="K10" s="60"/>
      <c r="L10" s="32" t="s">
        <v>112</v>
      </c>
      <c r="M10" s="34"/>
      <c r="N10" s="34"/>
      <c r="O10" s="32"/>
      <c r="P10" s="32"/>
      <c r="Q10" s="32"/>
      <c r="R10" s="32"/>
      <c r="S10" s="32"/>
      <c r="T10" s="32"/>
      <c r="U10" s="32"/>
    </row>
    <row r="11" spans="1:21" ht="16.5" x14ac:dyDescent="0.3">
      <c r="A11" s="47"/>
      <c r="B11" s="196">
        <v>0.14499999999999999</v>
      </c>
      <c r="C11" s="47" t="s">
        <v>263</v>
      </c>
      <c r="D11" s="47"/>
      <c r="E11" s="47"/>
      <c r="F11" s="47"/>
      <c r="G11" s="164" t="s">
        <v>99</v>
      </c>
      <c r="H11" s="47"/>
      <c r="I11" s="47"/>
      <c r="J11" s="47"/>
      <c r="K11" s="60"/>
      <c r="L11" s="32"/>
      <c r="M11" s="180">
        <v>0.14499999999999999</v>
      </c>
      <c r="N11" s="32" t="s">
        <v>263</v>
      </c>
      <c r="O11" s="32"/>
      <c r="P11" s="32"/>
      <c r="Q11" s="32"/>
      <c r="R11" s="147" t="s">
        <v>99</v>
      </c>
      <c r="S11" s="32"/>
      <c r="T11" s="32"/>
      <c r="U11" s="32"/>
    </row>
    <row r="12" spans="1:21" ht="16.5" x14ac:dyDescent="0.3">
      <c r="A12" s="47"/>
      <c r="B12" s="197">
        <v>0.85499999999999998</v>
      </c>
      <c r="C12" s="47" t="s">
        <v>266</v>
      </c>
      <c r="D12" s="47"/>
      <c r="E12" s="47"/>
      <c r="F12" s="47"/>
      <c r="G12" s="47"/>
      <c r="H12" s="47"/>
      <c r="I12" s="47"/>
      <c r="J12" s="47"/>
      <c r="K12" s="60"/>
      <c r="L12" s="32"/>
      <c r="M12" s="181">
        <v>0.85499999999999998</v>
      </c>
      <c r="N12" s="32" t="s">
        <v>264</v>
      </c>
      <c r="O12" s="32"/>
      <c r="P12" s="32"/>
      <c r="Q12" s="32"/>
      <c r="R12" s="32"/>
      <c r="S12" s="32"/>
      <c r="T12" s="32"/>
      <c r="U12" s="32"/>
    </row>
    <row r="13" spans="1:21" x14ac:dyDescent="0.25">
      <c r="A13" s="47"/>
      <c r="B13" s="198">
        <f>SUM(B11:B12)</f>
        <v>1</v>
      </c>
      <c r="C13" s="47"/>
      <c r="D13" s="47"/>
      <c r="E13" s="47"/>
      <c r="F13" s="47"/>
      <c r="G13" s="47"/>
      <c r="H13" s="47"/>
      <c r="I13" s="47"/>
      <c r="J13" s="47"/>
      <c r="K13" s="60"/>
      <c r="L13" s="32"/>
      <c r="M13" s="182">
        <f>SUM(M11:M12)</f>
        <v>1</v>
      </c>
      <c r="N13" s="32"/>
      <c r="O13" s="32"/>
      <c r="P13" s="32"/>
      <c r="Q13" s="32"/>
      <c r="R13" s="32"/>
      <c r="S13" s="32"/>
      <c r="T13" s="32"/>
      <c r="U13" s="32"/>
    </row>
    <row r="14" spans="1:21" x14ac:dyDescent="0.25">
      <c r="A14" s="47" t="s">
        <v>113</v>
      </c>
      <c r="B14" s="49"/>
      <c r="C14" s="49"/>
      <c r="D14" s="47"/>
      <c r="E14" s="47"/>
      <c r="F14" s="47"/>
      <c r="G14" s="47"/>
      <c r="H14" s="47"/>
      <c r="I14" s="47"/>
      <c r="J14" s="47"/>
      <c r="K14" s="60"/>
      <c r="L14" s="32" t="s">
        <v>113</v>
      </c>
      <c r="M14" s="34"/>
      <c r="N14" s="34"/>
      <c r="O14" s="32"/>
      <c r="P14" s="32"/>
      <c r="Q14" s="32"/>
      <c r="R14" s="32"/>
      <c r="S14" s="32"/>
      <c r="T14" s="32"/>
      <c r="U14" s="32"/>
    </row>
    <row r="15" spans="1:21" ht="16.5" x14ac:dyDescent="0.3">
      <c r="A15" s="47"/>
      <c r="B15" s="52">
        <f>(B11/B12*B16)</f>
        <v>3.8310552060422847</v>
      </c>
      <c r="C15" s="47" t="s">
        <v>114</v>
      </c>
      <c r="D15" s="47"/>
      <c r="E15" s="47"/>
      <c r="F15" s="47"/>
      <c r="G15" s="47"/>
      <c r="H15" s="47"/>
      <c r="I15" s="47"/>
      <c r="J15" s="47"/>
      <c r="K15" s="60"/>
      <c r="L15" s="32"/>
      <c r="M15" s="39">
        <f>(M11/M12*M16)</f>
        <v>3.8310552060422847</v>
      </c>
      <c r="N15" s="32" t="s">
        <v>114</v>
      </c>
      <c r="O15" s="32"/>
      <c r="P15" s="32"/>
      <c r="Q15" s="32"/>
      <c r="R15" s="32"/>
      <c r="S15" s="32"/>
      <c r="T15" s="32"/>
      <c r="U15" s="32"/>
    </row>
    <row r="16" spans="1:21" ht="16.5" x14ac:dyDescent="0.3">
      <c r="A16" s="47"/>
      <c r="B16" s="52">
        <f>((2*'Step 2'!B24) / (8+6*B11/B12))</f>
        <v>22.590015180456231</v>
      </c>
      <c r="C16" s="47" t="s">
        <v>115</v>
      </c>
      <c r="D16" s="47"/>
      <c r="E16" s="47"/>
      <c r="F16" s="47"/>
      <c r="G16" s="47"/>
      <c r="H16" s="47"/>
      <c r="I16" s="47"/>
      <c r="J16" s="47"/>
      <c r="K16" s="60"/>
      <c r="L16" s="32"/>
      <c r="M16" s="39">
        <f>((2*'Step 2'!M24) / (8+6*M11/M12))</f>
        <v>22.590015180456231</v>
      </c>
      <c r="N16" s="32" t="s">
        <v>115</v>
      </c>
      <c r="O16" s="32"/>
      <c r="P16" s="32"/>
      <c r="Q16" s="32"/>
      <c r="R16" s="32"/>
      <c r="S16" s="32"/>
      <c r="T16" s="32"/>
      <c r="U16" s="32"/>
    </row>
    <row r="17" spans="1:21" x14ac:dyDescent="0.25">
      <c r="A17" s="47" t="s">
        <v>116</v>
      </c>
      <c r="B17" s="49"/>
      <c r="C17" s="49"/>
      <c r="D17" s="47"/>
      <c r="E17" s="47"/>
      <c r="F17" s="47"/>
      <c r="G17" s="47"/>
      <c r="H17" s="47"/>
      <c r="I17" s="47"/>
      <c r="J17" s="47"/>
      <c r="K17" s="60"/>
      <c r="L17" s="32" t="s">
        <v>116</v>
      </c>
      <c r="M17" s="34"/>
      <c r="N17" s="34"/>
      <c r="O17" s="32"/>
      <c r="P17" s="32"/>
      <c r="Q17" s="32"/>
      <c r="R17" s="32"/>
      <c r="S17" s="32"/>
      <c r="T17" s="32"/>
      <c r="U17" s="32"/>
    </row>
    <row r="18" spans="1:21" x14ac:dyDescent="0.25">
      <c r="A18" s="56" t="s">
        <v>3</v>
      </c>
      <c r="B18" s="110" t="str">
        <f>CONCATENATE("(",F9,"*14.7 / (",G7," - ",F9,"*14.7)) * (",ROUND('Step 2'!E27,2)," - (",ROUND(B15,2)," + ",ROUND(B16,2),"))")</f>
        <v>(0.0011*14.7 / (18.6 - 0.0011*14.7)) * (1120 - (3.83 + 22.59))</v>
      </c>
      <c r="C18" s="49"/>
      <c r="D18" s="47"/>
      <c r="E18" s="47"/>
      <c r="F18" s="47"/>
      <c r="G18" s="47"/>
      <c r="H18" s="47"/>
      <c r="I18" s="47"/>
      <c r="J18" s="47"/>
      <c r="K18" s="60"/>
      <c r="L18" s="41" t="s">
        <v>3</v>
      </c>
      <c r="M18" s="66" t="str">
        <f>CONCATENATE("(",Q9,"*14.7 / (",R7," - ",Q9,"*14.7)) * (",ROUND('Step 2'!P27,2)," - (",ROUND(M15,2)," + ",ROUND(M16,2),"))")</f>
        <v>(0.0011*14.7 / (18.6 - 0.0011*14.7)) * (1120 - (3.83 + 22.59))</v>
      </c>
      <c r="N18" s="34"/>
      <c r="O18" s="32"/>
      <c r="P18" s="32"/>
      <c r="Q18" s="32"/>
      <c r="R18" s="32"/>
      <c r="S18" s="32"/>
      <c r="T18" s="32"/>
      <c r="U18" s="32"/>
    </row>
    <row r="19" spans="1:21" x14ac:dyDescent="0.25">
      <c r="A19" s="56" t="s">
        <v>3</v>
      </c>
      <c r="B19" s="127">
        <f>F9*14.7/(G7-'Step 3'!F9*14.7) * ('Step 2'!E27 - (B15+B16))</f>
        <v>0.95153708798254921</v>
      </c>
      <c r="C19" s="49" t="s">
        <v>86</v>
      </c>
      <c r="D19" s="47"/>
      <c r="E19" s="47"/>
      <c r="F19" s="47"/>
      <c r="G19" s="47"/>
      <c r="H19" s="47"/>
      <c r="I19" s="47"/>
      <c r="J19" s="47"/>
      <c r="K19" s="60"/>
      <c r="L19" s="41" t="s">
        <v>3</v>
      </c>
      <c r="M19" s="87">
        <f>Q9*14.7/(R7-'Step 3'!Q9*14.7) * ('Step 2'!P27 - (M15+M16))</f>
        <v>0.95153708798254921</v>
      </c>
      <c r="N19" s="34" t="s">
        <v>86</v>
      </c>
      <c r="O19" s="32"/>
      <c r="P19" s="32"/>
      <c r="Q19" s="32"/>
      <c r="R19" s="32"/>
      <c r="S19" s="32"/>
      <c r="T19" s="32"/>
      <c r="U19" s="32"/>
    </row>
    <row r="20" spans="1:21" x14ac:dyDescent="0.25">
      <c r="A20" s="56"/>
      <c r="B20" s="127"/>
      <c r="C20" s="49"/>
      <c r="D20" s="47"/>
      <c r="E20" s="47"/>
      <c r="F20" s="47"/>
      <c r="G20" s="47"/>
      <c r="H20" s="47"/>
      <c r="I20" s="47"/>
      <c r="J20" s="47"/>
      <c r="K20" s="60"/>
      <c r="L20" s="41"/>
      <c r="M20" s="87"/>
      <c r="N20" s="34"/>
      <c r="O20" s="32"/>
      <c r="P20" s="32"/>
      <c r="Q20" s="32"/>
      <c r="R20" s="32"/>
      <c r="S20" s="32"/>
      <c r="T20" s="32"/>
      <c r="U20" s="32"/>
    </row>
    <row r="21" spans="1:21" ht="16.5" x14ac:dyDescent="0.3">
      <c r="A21" s="56" t="s">
        <v>71</v>
      </c>
      <c r="B21" s="52">
        <f>(B11*B19)</f>
        <v>0.13797287775746964</v>
      </c>
      <c r="C21" s="110" t="s">
        <v>117</v>
      </c>
      <c r="D21" s="47"/>
      <c r="E21" s="47"/>
      <c r="F21" s="47"/>
      <c r="G21" s="47"/>
      <c r="H21" s="47"/>
      <c r="I21" s="47"/>
      <c r="J21" s="47"/>
      <c r="K21" s="60"/>
      <c r="L21" s="41" t="s">
        <v>71</v>
      </c>
      <c r="M21" s="39">
        <f>(M11*M19)</f>
        <v>0.13797287775746964</v>
      </c>
      <c r="N21" s="66" t="s">
        <v>117</v>
      </c>
      <c r="O21" s="32"/>
      <c r="P21" s="32"/>
      <c r="Q21" s="32"/>
      <c r="R21" s="32"/>
      <c r="S21" s="32"/>
      <c r="T21" s="32"/>
      <c r="U21" s="32"/>
    </row>
    <row r="22" spans="1:21" x14ac:dyDescent="0.25">
      <c r="A22" s="56"/>
      <c r="B22" s="58">
        <f>B15-B21</f>
        <v>3.6930823282848149</v>
      </c>
      <c r="C22" s="199" t="s">
        <v>118</v>
      </c>
      <c r="D22" s="47"/>
      <c r="E22" s="47"/>
      <c r="F22" s="47"/>
      <c r="G22" s="47"/>
      <c r="H22" s="47"/>
      <c r="I22" s="47"/>
      <c r="J22" s="47"/>
      <c r="K22" s="60"/>
      <c r="L22" s="41"/>
      <c r="M22" s="43">
        <f>M15-M21</f>
        <v>3.6930823282848149</v>
      </c>
      <c r="N22" s="183" t="s">
        <v>118</v>
      </c>
      <c r="O22" s="32"/>
      <c r="P22" s="32"/>
      <c r="Q22" s="32"/>
      <c r="R22" s="32"/>
      <c r="S22" s="32"/>
      <c r="T22" s="32"/>
      <c r="U22" s="32"/>
    </row>
    <row r="23" spans="1:21" ht="16.5" x14ac:dyDescent="0.3">
      <c r="A23" s="56" t="s">
        <v>72</v>
      </c>
      <c r="B23" s="52">
        <f>(B12*B19)</f>
        <v>0.81356421022507952</v>
      </c>
      <c r="C23" s="110" t="s">
        <v>117</v>
      </c>
      <c r="D23" s="47"/>
      <c r="E23" s="47"/>
      <c r="F23" s="47"/>
      <c r="G23" s="47"/>
      <c r="H23" s="47"/>
      <c r="I23" s="47"/>
      <c r="J23" s="47"/>
      <c r="K23" s="60"/>
      <c r="L23" s="41" t="s">
        <v>72</v>
      </c>
      <c r="M23" s="39">
        <f>(M12*M19)</f>
        <v>0.81356421022507952</v>
      </c>
      <c r="N23" s="66" t="s">
        <v>117</v>
      </c>
      <c r="O23" s="32"/>
      <c r="P23" s="32"/>
      <c r="Q23" s="32"/>
      <c r="R23" s="32"/>
      <c r="S23" s="32"/>
      <c r="T23" s="32"/>
      <c r="U23" s="32"/>
    </row>
    <row r="24" spans="1:21" x14ac:dyDescent="0.25">
      <c r="A24" s="47"/>
      <c r="B24" s="52">
        <f>B16-B23</f>
        <v>21.776450970231153</v>
      </c>
      <c r="C24" s="110" t="s">
        <v>118</v>
      </c>
      <c r="D24" s="47"/>
      <c r="E24" s="47"/>
      <c r="F24" s="47"/>
      <c r="G24" s="47"/>
      <c r="H24" s="47"/>
      <c r="I24" s="47"/>
      <c r="J24" s="47"/>
      <c r="K24" s="60"/>
      <c r="L24" s="32"/>
      <c r="M24" s="39">
        <f>M16-M23</f>
        <v>21.776450970231153</v>
      </c>
      <c r="N24" s="66" t="s">
        <v>118</v>
      </c>
      <c r="O24" s="32"/>
      <c r="P24" s="32"/>
      <c r="Q24" s="32"/>
      <c r="R24" s="32"/>
      <c r="S24" s="32"/>
      <c r="T24" s="32"/>
      <c r="U24" s="32"/>
    </row>
    <row r="25" spans="1:21" x14ac:dyDescent="0.25">
      <c r="A25" s="47"/>
      <c r="B25" s="49"/>
      <c r="C25" s="49"/>
      <c r="D25" s="47"/>
      <c r="E25" s="47"/>
      <c r="F25" s="47"/>
      <c r="G25" s="47"/>
      <c r="H25" s="47"/>
      <c r="I25" s="47"/>
      <c r="J25" s="47"/>
      <c r="K25" s="60"/>
      <c r="L25" s="32"/>
      <c r="M25" s="34"/>
      <c r="N25" s="34"/>
      <c r="O25" s="32"/>
      <c r="P25" s="32"/>
      <c r="Q25" s="32"/>
      <c r="R25" s="32"/>
      <c r="S25" s="32"/>
      <c r="T25" s="32"/>
      <c r="U25" s="32"/>
    </row>
    <row r="26" spans="1:21" x14ac:dyDescent="0.25">
      <c r="A26" s="47"/>
      <c r="B26" s="200" t="s">
        <v>119</v>
      </c>
      <c r="C26" s="201"/>
      <c r="D26" s="201"/>
      <c r="E26" s="47"/>
      <c r="F26" s="47"/>
      <c r="G26" s="47"/>
      <c r="H26" s="47"/>
      <c r="I26" s="47"/>
      <c r="J26" s="47"/>
      <c r="K26" s="60"/>
      <c r="L26" s="32"/>
      <c r="M26" s="185" t="s">
        <v>119</v>
      </c>
      <c r="N26" s="184"/>
      <c r="O26" s="184"/>
      <c r="P26" s="32"/>
      <c r="Q26" s="32"/>
      <c r="R26" s="32"/>
      <c r="S26" s="32"/>
      <c r="T26" s="32"/>
      <c r="U26" s="32"/>
    </row>
    <row r="27" spans="1:21" x14ac:dyDescent="0.25">
      <c r="A27" s="47"/>
      <c r="B27" s="49"/>
      <c r="C27" s="50" t="s">
        <v>85</v>
      </c>
      <c r="D27" s="169">
        <f>D8</f>
        <v>350</v>
      </c>
      <c r="E27" s="47" t="s">
        <v>32</v>
      </c>
      <c r="F27" s="47"/>
      <c r="G27" s="47"/>
      <c r="H27" s="47"/>
      <c r="I27" s="47"/>
      <c r="J27" s="47"/>
      <c r="K27" s="60"/>
      <c r="L27" s="32"/>
      <c r="M27" s="34"/>
      <c r="N27" s="35" t="s">
        <v>85</v>
      </c>
      <c r="O27" s="152">
        <f>O8</f>
        <v>350</v>
      </c>
      <c r="P27" s="32" t="s">
        <v>32</v>
      </c>
      <c r="Q27" s="32"/>
      <c r="R27" s="32"/>
      <c r="S27" s="32"/>
      <c r="T27" s="32"/>
      <c r="U27" s="32"/>
    </row>
    <row r="28" spans="1:21" x14ac:dyDescent="0.25">
      <c r="A28" s="47"/>
      <c r="B28" s="169" t="s">
        <v>86</v>
      </c>
      <c r="C28" s="169" t="s">
        <v>87</v>
      </c>
      <c r="D28" s="169" t="s">
        <v>83</v>
      </c>
      <c r="E28" s="47"/>
      <c r="F28" s="47"/>
      <c r="G28" s="47"/>
      <c r="H28" s="47"/>
      <c r="I28" s="47"/>
      <c r="J28" s="47"/>
      <c r="K28" s="60"/>
      <c r="L28" s="32"/>
      <c r="M28" s="152" t="s">
        <v>86</v>
      </c>
      <c r="N28" s="152" t="s">
        <v>87</v>
      </c>
      <c r="O28" s="152" t="s">
        <v>83</v>
      </c>
      <c r="P28" s="32"/>
      <c r="Q28" s="32"/>
      <c r="R28" s="32"/>
      <c r="S28" s="32"/>
      <c r="T28" s="32"/>
      <c r="U28" s="32"/>
    </row>
    <row r="29" spans="1:21" ht="16.5" x14ac:dyDescent="0.3">
      <c r="A29" s="47" t="s">
        <v>41</v>
      </c>
      <c r="B29" s="115">
        <f>'Step 2'!E18</f>
        <v>58.245978026970775</v>
      </c>
      <c r="C29" s="202">
        <f>IF(ROUNDDOWN(D27,-2)=ROUNDUP(D27,-2),VLOOKUP(D27,Enthalpy,19),VLOOKUP(ROUNDDOWN(D27,-2),Enthalpy,19)+(D27-ROUNDDOWN(D27,-2))/(ROUNDUP(D27,-2)-ROUNDDOWN(D27,-2))*(VLOOKUP(ROUNDUP(D27,-2),Enthalpy,19)-VLOOKUP(ROUNDDOWN(D27,-2),Enthalpy,19)))</f>
        <v>2614</v>
      </c>
      <c r="D29" s="145">
        <f t="shared" ref="D29:D34" si="0">(B29*C29)</f>
        <v>152254.98656250161</v>
      </c>
      <c r="E29" s="47"/>
      <c r="F29" s="203" t="s">
        <v>120</v>
      </c>
      <c r="G29" s="204"/>
      <c r="H29" s="205">
        <f>1-(B29+B33+2*B35+6*B21+8*B23)/'Example 22-1 Conditions'!C12</f>
        <v>0.67463649771668677</v>
      </c>
      <c r="I29" s="47"/>
      <c r="J29" s="47"/>
      <c r="K29" s="60"/>
      <c r="L29" s="32" t="s">
        <v>41</v>
      </c>
      <c r="M29" s="71">
        <f>'Step 2'!P18</f>
        <v>58.245978026970761</v>
      </c>
      <c r="N29" s="186">
        <f>IF(ROUNDDOWN(O27,-2)=ROUNDUP(O27,-2),VLOOKUP(O27,Enthalpy,19),VLOOKUP(ROUNDDOWN(O27,-2),Enthalpy,19)+(O27-ROUNDDOWN(O27,-2))/(ROUNDUP(O27,-2)-ROUNDDOWN(O27,-2))*(VLOOKUP(ROUNDUP(O27,-2),Enthalpy,19)-VLOOKUP(ROUNDDOWN(O27,-2),Enthalpy,19)))</f>
        <v>2614</v>
      </c>
      <c r="O29" s="105">
        <f t="shared" ref="O29:O34" si="1">(M29*N29)</f>
        <v>152254.98656250158</v>
      </c>
      <c r="P29" s="32"/>
      <c r="Q29" s="187" t="s">
        <v>120</v>
      </c>
      <c r="R29" s="188"/>
      <c r="S29" s="189">
        <f>1-(M29+M33+2*M35+6*M21+8*M23)/'Example 22-1 Conditions'!N12</f>
        <v>0.67463649771668677</v>
      </c>
      <c r="T29" s="32"/>
      <c r="U29" s="32"/>
    </row>
    <row r="30" spans="1:21" ht="16.5" x14ac:dyDescent="0.3">
      <c r="A30" s="47" t="s">
        <v>44</v>
      </c>
      <c r="B30" s="115">
        <f>'Step 2'!E19</f>
        <v>159.09563336735241</v>
      </c>
      <c r="C30" s="202">
        <f>IF(ROUNDDOWN(D27,-2)=ROUNDUP(D27,-2),VLOOKUP(D27,Enthalpy,14),VLOOKUP(ROUNDDOWN(D27,-2),Enthalpy,14)+(D27-ROUNDDOWN(D27,-2))/(ROUNDUP(D27,-2)-ROUNDDOWN(D27,-2))*(VLOOKUP(ROUNDUP(D27,-2),Enthalpy,14)-VLOOKUP(ROUNDDOWN(D27,-2),Enthalpy,14)))</f>
        <v>3050</v>
      </c>
      <c r="D30" s="145">
        <f t="shared" si="0"/>
        <v>485241.68177042482</v>
      </c>
      <c r="E30" s="47"/>
      <c r="F30" s="47"/>
      <c r="G30" s="47"/>
      <c r="H30" s="47"/>
      <c r="I30" s="47"/>
      <c r="J30" s="47"/>
      <c r="K30" s="60"/>
      <c r="L30" s="32" t="s">
        <v>44</v>
      </c>
      <c r="M30" s="71">
        <f>'Step 2'!P19</f>
        <v>159.09563336735241</v>
      </c>
      <c r="N30" s="186">
        <f>IF(ROUNDDOWN(O27,-2)=ROUNDUP(O27,-2),VLOOKUP(O27,Enthalpy,14),VLOOKUP(ROUNDDOWN(O27,-2),Enthalpy,14)+(O27-ROUNDDOWN(O27,-2))/(ROUNDUP(O27,-2)-ROUNDDOWN(O27,-2))*(VLOOKUP(ROUNDUP(O27,-2),Enthalpy,14)-VLOOKUP(ROUNDDOWN(O27,-2),Enthalpy,14)))</f>
        <v>3050</v>
      </c>
      <c r="O30" s="105">
        <f t="shared" si="1"/>
        <v>485241.68177042482</v>
      </c>
      <c r="P30" s="32"/>
      <c r="Q30" s="32"/>
      <c r="R30" s="32"/>
      <c r="S30" s="32"/>
      <c r="T30" s="32"/>
      <c r="U30" s="32"/>
    </row>
    <row r="31" spans="1:21" ht="16.5" x14ac:dyDescent="0.3">
      <c r="A31" s="47" t="s">
        <v>212</v>
      </c>
      <c r="B31" s="115">
        <f>'Step 2'!E20</f>
        <v>16.300223504340146</v>
      </c>
      <c r="C31" s="202">
        <f>IF(ROUNDDOWN(D27,-2)=ROUNDUP(D27,-2),VLOOKUP(D27,Enthalpy,12),VLOOKUP(ROUNDDOWN(D27,-2),Enthalpy,12)+(D27-ROUNDDOWN(D27,-2))/(ROUNDUP(D27,-2)-ROUNDDOWN(D27,-2))*(VLOOKUP(ROUNDUP(D27,-2),Enthalpy,12)-VLOOKUP(ROUNDDOWN(D27,-2),Enthalpy,12)))</f>
        <v>2217.5</v>
      </c>
      <c r="D31" s="145">
        <f t="shared" si="0"/>
        <v>36145.745620874273</v>
      </c>
      <c r="E31" s="47"/>
      <c r="F31" s="47"/>
      <c r="G31" s="47"/>
      <c r="H31" s="47"/>
      <c r="I31" s="47"/>
      <c r="J31" s="47"/>
      <c r="K31" s="60"/>
      <c r="L31" s="32" t="s">
        <v>212</v>
      </c>
      <c r="M31" s="71">
        <f>'Step 2'!P20</f>
        <v>16.300223504340146</v>
      </c>
      <c r="N31" s="186">
        <f>IF(ROUNDDOWN(O27,-2)=ROUNDUP(O27,-2),VLOOKUP(O27,Enthalpy,12),VLOOKUP(ROUNDDOWN(O27,-2),Enthalpy,12)+(O27-ROUNDDOWN(O27,-2))/(ROUNDUP(O27,-2)-ROUNDDOWN(O27,-2))*(VLOOKUP(ROUNDUP(O27,-2),Enthalpy,12)-VLOOKUP(ROUNDDOWN(O27,-2),Enthalpy,12)))</f>
        <v>2217.5</v>
      </c>
      <c r="O31" s="105">
        <f t="shared" si="1"/>
        <v>36145.745620874273</v>
      </c>
      <c r="P31" s="32"/>
      <c r="Q31" s="32"/>
      <c r="R31" s="32"/>
      <c r="S31" s="32"/>
      <c r="T31" s="32"/>
      <c r="U31" s="32"/>
    </row>
    <row r="32" spans="1:21" ht="16.5" x14ac:dyDescent="0.3">
      <c r="A32" s="47" t="s">
        <v>47</v>
      </c>
      <c r="B32" s="115">
        <f>'Step 2'!E21</f>
        <v>276.44480003921916</v>
      </c>
      <c r="C32" s="202">
        <f>IF(ROUNDDOWN(D27,-2)=ROUNDUP(D27,-2),VLOOKUP(D27,Enthalpy,15),VLOOKUP(ROUNDDOWN(D27,-2),Enthalpy,15)+(D27-ROUNDDOWN(D27,-2))/(ROUNDUP(D27,-2)-ROUNDDOWN(D27,-2))*(VLOOKUP(ROUNDUP(D27,-2),Enthalpy,15)-VLOOKUP(ROUNDDOWN(D27,-2),Enthalpy,15)))</f>
        <v>2651.5</v>
      </c>
      <c r="D32" s="145">
        <f t="shared" si="0"/>
        <v>732993.38730398961</v>
      </c>
      <c r="E32" s="47"/>
      <c r="F32" s="47"/>
      <c r="G32" s="47"/>
      <c r="H32" s="47"/>
      <c r="I32" s="47"/>
      <c r="J32" s="47"/>
      <c r="K32" s="60"/>
      <c r="L32" s="32" t="s">
        <v>47</v>
      </c>
      <c r="M32" s="71">
        <f>'Step 2'!P21</f>
        <v>276.44480003921922</v>
      </c>
      <c r="N32" s="186">
        <f>IF(ROUNDDOWN(O27,-2)=ROUNDUP(O27,-2),VLOOKUP(O27,Enthalpy,15),VLOOKUP(ROUNDDOWN(O27,-2),Enthalpy,15)+(O27-ROUNDDOWN(O27,-2))/(ROUNDUP(O27,-2)-ROUNDDOWN(O27,-2))*(VLOOKUP(ROUNDUP(O27,-2),Enthalpy,15)-VLOOKUP(ROUNDDOWN(O27,-2),Enthalpy,15)))</f>
        <v>2651.5</v>
      </c>
      <c r="O32" s="105">
        <f t="shared" si="1"/>
        <v>732993.38730398973</v>
      </c>
      <c r="P32" s="32"/>
      <c r="Q32" s="32"/>
      <c r="R32" s="32"/>
      <c r="S32" s="32"/>
      <c r="T32" s="32"/>
      <c r="U32" s="32"/>
    </row>
    <row r="33" spans="1:21" ht="16.5" x14ac:dyDescent="0.3">
      <c r="A33" s="47" t="s">
        <v>67</v>
      </c>
      <c r="B33" s="115">
        <f>'Step 2'!E22</f>
        <v>29.122989013485387</v>
      </c>
      <c r="C33" s="202">
        <f>IF(ROUNDDOWN(D27,-2)=ROUNDUP(D27,-2),VLOOKUP(D27,Enthalpy,17),VLOOKUP(ROUNDDOWN(D27,-2),Enthalpy,17)+(D27-ROUNDDOWN(D27,-2))/(ROUNDUP(D27,-2)-ROUNDDOWN(D27,-2))*(VLOOKUP(ROUNDUP(D27,-2),Enthalpy,17)-VLOOKUP(ROUNDDOWN(D27,-2),Enthalpy,17)))</f>
        <v>3272</v>
      </c>
      <c r="D33" s="145">
        <f t="shared" si="0"/>
        <v>95290.420052124187</v>
      </c>
      <c r="E33" s="47"/>
      <c r="F33" s="47"/>
      <c r="G33" s="47"/>
      <c r="H33" s="47"/>
      <c r="I33" s="47"/>
      <c r="J33" s="47"/>
      <c r="K33" s="60"/>
      <c r="L33" s="32" t="s">
        <v>67</v>
      </c>
      <c r="M33" s="71">
        <f>'Step 2'!P22</f>
        <v>29.12298901348538</v>
      </c>
      <c r="N33" s="186">
        <f>IF(ROUNDDOWN(O27,-2)=ROUNDUP(O27,-2),VLOOKUP(O27,Enthalpy,17),VLOOKUP(ROUNDDOWN(O27,-2),Enthalpy,17)+(O27-ROUNDDOWN(O27,-2))/(ROUNDUP(O27,-2)-ROUNDDOWN(O27,-2))*(VLOOKUP(ROUNDUP(O27,-2),Enthalpy,17)-VLOOKUP(ROUNDDOWN(O27,-2),Enthalpy,17)))</f>
        <v>3272</v>
      </c>
      <c r="O33" s="105">
        <f t="shared" si="1"/>
        <v>95290.420052124158</v>
      </c>
      <c r="P33" s="32"/>
      <c r="Q33" s="32"/>
      <c r="R33" s="32"/>
      <c r="S33" s="32"/>
      <c r="T33" s="32"/>
      <c r="U33" s="32"/>
    </row>
    <row r="34" spans="1:21" ht="16.5" x14ac:dyDescent="0.3">
      <c r="A34" s="47" t="s">
        <v>68</v>
      </c>
      <c r="B34" s="115">
        <f>'Step 2'!E23</f>
        <v>551.97957289408987</v>
      </c>
      <c r="C34" s="202">
        <f>IF(ROUNDDOWN(D27,-2)=ROUNDUP(D27,-2),VLOOKUP(D27,Enthalpy,9),VLOOKUP(ROUNDDOWN(D27,-2),Enthalpy,9)+(D27-ROUNDDOWN(D27,-2))/(ROUNDUP(D27,-2)-ROUNDDOWN(D27,-2))*(VLOOKUP(ROUNDUP(D27,-2),Enthalpy,9)-VLOOKUP(ROUNDDOWN(D27,-2),Enthalpy,9)))</f>
        <v>2225</v>
      </c>
      <c r="D34" s="145">
        <f t="shared" si="0"/>
        <v>1228154.54968935</v>
      </c>
      <c r="E34" s="47"/>
      <c r="F34" s="47"/>
      <c r="G34" s="47"/>
      <c r="H34" s="47"/>
      <c r="I34" s="47"/>
      <c r="J34" s="47"/>
      <c r="K34" s="60"/>
      <c r="L34" s="32" t="s">
        <v>68</v>
      </c>
      <c r="M34" s="71">
        <f>'Step 2'!P23</f>
        <v>551.97957289408987</v>
      </c>
      <c r="N34" s="186">
        <f>IF(ROUNDDOWN(O27,-2)=ROUNDUP(O27,-2),VLOOKUP(O27,Enthalpy,9),VLOOKUP(ROUNDDOWN(O27,-2),Enthalpy,9)+(O27-ROUNDDOWN(O27,-2))/(ROUNDUP(O27,-2)-ROUNDDOWN(O27,-2))*(VLOOKUP(ROUNDUP(O27,-2),Enthalpy,9)-VLOOKUP(ROUNDDOWN(O27,-2),Enthalpy,9)))</f>
        <v>2225</v>
      </c>
      <c r="O34" s="105">
        <f t="shared" si="1"/>
        <v>1228154.54968935</v>
      </c>
      <c r="P34" s="32"/>
      <c r="Q34" s="32"/>
      <c r="R34" s="32"/>
      <c r="S34" s="32"/>
      <c r="T34" s="32"/>
      <c r="U34" s="32"/>
    </row>
    <row r="35" spans="1:21" ht="16.5" x14ac:dyDescent="0.3">
      <c r="A35" s="206" t="s">
        <v>121</v>
      </c>
      <c r="B35" s="115"/>
      <c r="C35" s="138"/>
      <c r="D35" s="145"/>
      <c r="E35" s="47"/>
      <c r="F35" s="47"/>
      <c r="G35" s="47"/>
      <c r="H35" s="47"/>
      <c r="I35" s="47"/>
      <c r="J35" s="47"/>
      <c r="K35" s="60"/>
      <c r="L35" s="190" t="s">
        <v>121</v>
      </c>
      <c r="M35" s="71"/>
      <c r="N35" s="98"/>
      <c r="O35" s="105"/>
      <c r="P35" s="32"/>
      <c r="Q35" s="32"/>
      <c r="R35" s="32"/>
      <c r="S35" s="32"/>
      <c r="T35" s="32"/>
      <c r="U35" s="32"/>
    </row>
    <row r="36" spans="1:21" ht="16.5" x14ac:dyDescent="0.3">
      <c r="A36" s="206" t="s">
        <v>122</v>
      </c>
      <c r="B36" s="115">
        <f>B15</f>
        <v>3.8310552060422847</v>
      </c>
      <c r="C36" s="202">
        <f>IF(ROUNDDOWN(D27,-2)=ROUNDUP(D27,-2),VLOOKUP(D27,Enthalpy,22),VLOOKUP(ROUNDDOWN(D27,-2),Enthalpy,22)+(D27-ROUNDDOWN(D27,-2))/(ROUNDUP(D27,-2)-ROUNDDOWN(D27,-2))*(VLOOKUP(ROUNDUP(D27,-2),Enthalpy,22)-VLOOKUP(ROUNDDOWN(D27,-2),Enthalpy,22)))</f>
        <v>8975.5</v>
      </c>
      <c r="D36" s="145">
        <f>(B36*C36)</f>
        <v>34385.636001832529</v>
      </c>
      <c r="E36" s="47"/>
      <c r="F36" s="47"/>
      <c r="G36" s="47"/>
      <c r="H36" s="47"/>
      <c r="I36" s="47"/>
      <c r="J36" s="47"/>
      <c r="K36" s="60"/>
      <c r="L36" s="190" t="s">
        <v>122</v>
      </c>
      <c r="M36" s="71">
        <f>M15</f>
        <v>3.8310552060422847</v>
      </c>
      <c r="N36" s="186">
        <f>IF(ROUNDDOWN(O27,-2)=ROUNDUP(O27,-2),VLOOKUP(O27,Enthalpy,22),VLOOKUP(ROUNDDOWN(O27,-2),Enthalpy,22)+(O27-ROUNDDOWN(O27,-2))/(ROUNDUP(O27,-2)-ROUNDDOWN(O27,-2))*(VLOOKUP(ROUNDUP(O27,-2),Enthalpy,22)-VLOOKUP(ROUNDDOWN(O27,-2),Enthalpy,22)))</f>
        <v>8975.5</v>
      </c>
      <c r="O36" s="105">
        <f>(M36*N36)</f>
        <v>34385.636001832529</v>
      </c>
      <c r="P36" s="32"/>
      <c r="Q36" s="32"/>
      <c r="R36" s="32"/>
      <c r="S36" s="32"/>
      <c r="T36" s="32"/>
      <c r="U36" s="32"/>
    </row>
    <row r="37" spans="1:21" ht="16.5" x14ac:dyDescent="0.3">
      <c r="A37" s="206" t="s">
        <v>124</v>
      </c>
      <c r="B37" s="116">
        <f>B16</f>
        <v>22.590015180456231</v>
      </c>
      <c r="C37" s="202">
        <f>IF(ROUNDDOWN(D27,-2)=ROUNDUP(D27,-2),VLOOKUP(D27,Enthalpy,23),VLOOKUP(ROUNDDOWN(D27,-2),Enthalpy,23)+(D27-ROUNDDOWN(D27,-2))/(ROUNDUP(D27,-2)-ROUNDDOWN(D27,-2))*(VLOOKUP(ROUNDUP(D27,-2),Enthalpy,23)-VLOOKUP(ROUNDDOWN(D27,-2),Enthalpy,23)))</f>
        <v>12395</v>
      </c>
      <c r="D37" s="207">
        <f>(B37*C37)</f>
        <v>280003.23816175497</v>
      </c>
      <c r="E37" s="47"/>
      <c r="F37" s="47"/>
      <c r="G37" s="47"/>
      <c r="H37" s="47"/>
      <c r="I37" s="47"/>
      <c r="J37" s="47"/>
      <c r="K37" s="60"/>
      <c r="L37" s="190" t="s">
        <v>124</v>
      </c>
      <c r="M37" s="72">
        <f>M16</f>
        <v>22.590015180456231</v>
      </c>
      <c r="N37" s="186">
        <f>IF(ROUNDDOWN(O27,-2)=ROUNDUP(O27,-2),VLOOKUP(O27,Enthalpy,23),VLOOKUP(ROUNDDOWN(O27,-2),Enthalpy,23)+(O27-ROUNDDOWN(O27,-2))/(ROUNDUP(O27,-2)-ROUNDDOWN(O27,-2))*(VLOOKUP(ROUNDUP(O27,-2),Enthalpy,23)-VLOOKUP(ROUNDDOWN(O27,-2),Enthalpy,23)))</f>
        <v>12395</v>
      </c>
      <c r="O37" s="191">
        <f>(M37*N37)</f>
        <v>280003.23816175497</v>
      </c>
      <c r="P37" s="32"/>
      <c r="Q37" s="32"/>
      <c r="R37" s="32"/>
      <c r="S37" s="32"/>
      <c r="T37" s="32"/>
      <c r="U37" s="32"/>
    </row>
    <row r="38" spans="1:21" x14ac:dyDescent="0.25">
      <c r="A38" s="47"/>
      <c r="B38" s="115">
        <f>SUM(B29:B37)</f>
        <v>1117.6102672319564</v>
      </c>
      <c r="C38" s="49"/>
      <c r="D38" s="145">
        <f>SUM(D29:D37)</f>
        <v>3044469.6451628515</v>
      </c>
      <c r="E38" s="47"/>
      <c r="F38" s="47"/>
      <c r="G38" s="47"/>
      <c r="H38" s="47"/>
      <c r="I38" s="47"/>
      <c r="J38" s="47"/>
      <c r="K38" s="60"/>
      <c r="L38" s="32"/>
      <c r="M38" s="71">
        <f>SUM(M29:M37)</f>
        <v>1117.6102672319564</v>
      </c>
      <c r="N38" s="34"/>
      <c r="O38" s="105">
        <f>SUM(O29:O37)</f>
        <v>3044469.645162852</v>
      </c>
      <c r="P38" s="32"/>
      <c r="Q38" s="32"/>
      <c r="R38" s="32"/>
      <c r="S38" s="32"/>
      <c r="T38" s="32"/>
      <c r="U38" s="32"/>
    </row>
    <row r="39" spans="1:21" x14ac:dyDescent="0.25">
      <c r="A39" s="47"/>
      <c r="B39" s="56" t="s">
        <v>101</v>
      </c>
      <c r="C39" s="202">
        <f>'Step 2'!G27-D38</f>
        <v>3521172.6653862922</v>
      </c>
      <c r="D39" s="110" t="s">
        <v>83</v>
      </c>
      <c r="E39" s="47"/>
      <c r="F39" s="47"/>
      <c r="G39" s="47"/>
      <c r="H39" s="47"/>
      <c r="I39" s="47"/>
      <c r="J39" s="47"/>
      <c r="K39" s="60"/>
      <c r="L39" s="32"/>
      <c r="M39" s="41" t="s">
        <v>101</v>
      </c>
      <c r="N39" s="186">
        <f>'Step 2'!R27-O38</f>
        <v>3521172.6653862926</v>
      </c>
      <c r="O39" s="66" t="s">
        <v>83</v>
      </c>
      <c r="P39" s="32"/>
      <c r="Q39" s="32"/>
      <c r="R39" s="32"/>
      <c r="S39" s="32"/>
      <c r="T39" s="32"/>
      <c r="U39" s="32"/>
    </row>
    <row r="40" spans="1:21" x14ac:dyDescent="0.25">
      <c r="A40" s="47"/>
      <c r="B40" s="49"/>
      <c r="C40" s="49"/>
      <c r="D40" s="47"/>
      <c r="E40" s="47"/>
      <c r="F40" s="47"/>
      <c r="G40" s="47"/>
      <c r="H40" s="47"/>
      <c r="I40" s="47"/>
      <c r="J40" s="47"/>
      <c r="K40" s="60"/>
      <c r="L40" s="32"/>
      <c r="M40" s="34"/>
      <c r="N40" s="34"/>
      <c r="O40" s="32"/>
      <c r="P40" s="32"/>
      <c r="Q40" s="32"/>
      <c r="R40" s="32"/>
      <c r="S40" s="32"/>
      <c r="T40" s="32"/>
      <c r="U40" s="32"/>
    </row>
    <row r="41" spans="1:21" x14ac:dyDescent="0.25">
      <c r="A41" s="47" t="s">
        <v>223</v>
      </c>
      <c r="B41" s="49"/>
      <c r="C41" s="49"/>
      <c r="D41" s="47"/>
      <c r="E41" s="47"/>
      <c r="F41" s="47"/>
      <c r="G41" s="47"/>
      <c r="H41" s="47"/>
      <c r="I41" s="47"/>
      <c r="J41" s="47"/>
      <c r="K41" s="60"/>
      <c r="L41" s="32" t="s">
        <v>223</v>
      </c>
      <c r="M41" s="34"/>
      <c r="N41" s="34"/>
      <c r="O41" s="32"/>
      <c r="P41" s="32"/>
      <c r="Q41" s="32"/>
      <c r="R41" s="32"/>
      <c r="S41" s="32"/>
      <c r="T41" s="32"/>
      <c r="U41" s="32"/>
    </row>
    <row r="42" spans="1:21" ht="16.5" x14ac:dyDescent="0.3">
      <c r="A42" s="208" t="s">
        <v>126</v>
      </c>
      <c r="B42" s="174">
        <v>178.8</v>
      </c>
      <c r="C42" s="110" t="s">
        <v>127</v>
      </c>
      <c r="D42" s="145">
        <f>(B22*B42*6*32.065)</f>
        <v>127039.56511400234</v>
      </c>
      <c r="E42" s="47" t="s">
        <v>83</v>
      </c>
      <c r="F42" s="47"/>
      <c r="G42" s="47"/>
      <c r="H42" s="47"/>
      <c r="I42" s="47"/>
      <c r="J42" s="47"/>
      <c r="K42" s="60"/>
      <c r="L42" s="192" t="s">
        <v>126</v>
      </c>
      <c r="M42" s="158">
        <v>178.8</v>
      </c>
      <c r="N42" s="66" t="s">
        <v>127</v>
      </c>
      <c r="O42" s="105">
        <f>(M22*M42*6*32.065)</f>
        <v>127039.56511400234</v>
      </c>
      <c r="P42" s="32" t="s">
        <v>83</v>
      </c>
      <c r="Q42" s="32"/>
      <c r="R42" s="32"/>
      <c r="S42" s="32"/>
      <c r="T42" s="32"/>
      <c r="U42" s="32"/>
    </row>
    <row r="43" spans="1:21" ht="16.5" x14ac:dyDescent="0.3">
      <c r="A43" s="208" t="s">
        <v>128</v>
      </c>
      <c r="B43" s="174">
        <v>123.6</v>
      </c>
      <c r="C43" s="110" t="s">
        <v>127</v>
      </c>
      <c r="D43" s="145">
        <f>(B24*B43*8*32.065)</f>
        <v>690441.36707642465</v>
      </c>
      <c r="E43" s="47" t="s">
        <v>83</v>
      </c>
      <c r="F43" s="47"/>
      <c r="G43" s="47"/>
      <c r="H43" s="47"/>
      <c r="I43" s="47"/>
      <c r="J43" s="47"/>
      <c r="K43" s="60"/>
      <c r="L43" s="192" t="s">
        <v>128</v>
      </c>
      <c r="M43" s="158">
        <v>123.6</v>
      </c>
      <c r="N43" s="66" t="s">
        <v>127</v>
      </c>
      <c r="O43" s="105">
        <f>(M24*M43*8*32.065)</f>
        <v>690441.36707642465</v>
      </c>
      <c r="P43" s="32" t="s">
        <v>83</v>
      </c>
      <c r="Q43" s="32"/>
      <c r="R43" s="32"/>
      <c r="S43" s="32"/>
      <c r="T43" s="32"/>
      <c r="U43" s="32"/>
    </row>
    <row r="44" spans="1:21" x14ac:dyDescent="0.25">
      <c r="A44" s="47" t="s">
        <v>225</v>
      </c>
      <c r="B44" s="49"/>
      <c r="C44" s="110"/>
      <c r="D44" s="145"/>
      <c r="E44" s="47"/>
      <c r="F44" s="47"/>
      <c r="G44" s="47"/>
      <c r="H44" s="47"/>
      <c r="I44" s="47"/>
      <c r="J44" s="47"/>
      <c r="K44" s="60"/>
      <c r="L44" s="32" t="s">
        <v>225</v>
      </c>
      <c r="M44" s="34"/>
      <c r="N44" s="66"/>
      <c r="O44" s="105"/>
      <c r="P44" s="32"/>
      <c r="Q44" s="32"/>
      <c r="R44" s="32"/>
      <c r="S44" s="32"/>
      <c r="T44" s="32"/>
      <c r="U44" s="32"/>
    </row>
    <row r="45" spans="1:21" ht="16.5" x14ac:dyDescent="0.3">
      <c r="A45" s="208" t="s">
        <v>129</v>
      </c>
      <c r="B45" s="145">
        <f>'Step 2'!B31</f>
        <v>122500</v>
      </c>
      <c r="C45" s="110" t="s">
        <v>130</v>
      </c>
      <c r="D45" s="145">
        <f>((2*'Step 2'!E24 / (6+ 8*B12/B11)) *B45)</f>
        <v>663.7966941162374</v>
      </c>
      <c r="E45" s="47" t="s">
        <v>83</v>
      </c>
      <c r="F45" s="47"/>
      <c r="G45" s="47"/>
      <c r="H45" s="47"/>
      <c r="I45" s="47"/>
      <c r="J45" s="47"/>
      <c r="K45" s="60"/>
      <c r="L45" s="192" t="s">
        <v>129</v>
      </c>
      <c r="M45" s="193">
        <v>122500</v>
      </c>
      <c r="N45" s="66" t="s">
        <v>130</v>
      </c>
      <c r="O45" s="105">
        <f>((2*'Step 2'!P24 / (6+ 8*M12/M11)) *M45)</f>
        <v>663.79669411623752</v>
      </c>
      <c r="P45" s="32" t="s">
        <v>83</v>
      </c>
      <c r="Q45" s="32"/>
      <c r="R45" s="32"/>
      <c r="S45" s="32"/>
      <c r="T45" s="32"/>
      <c r="U45" s="32"/>
    </row>
    <row r="46" spans="1:21" ht="16.5" x14ac:dyDescent="0.3">
      <c r="A46" s="208" t="s">
        <v>131</v>
      </c>
      <c r="B46" s="145">
        <f>'Step 2'!B32</f>
        <v>177900</v>
      </c>
      <c r="C46" s="110" t="s">
        <v>130</v>
      </c>
      <c r="D46" s="145">
        <f>((2*'Step 2'!E24 / (8+ 6*B11/B12)) * B46)</f>
        <v>5684.2485157046149</v>
      </c>
      <c r="E46" s="47" t="s">
        <v>83</v>
      </c>
      <c r="F46" s="47"/>
      <c r="G46" s="47"/>
      <c r="H46" s="47"/>
      <c r="I46" s="47"/>
      <c r="J46" s="47"/>
      <c r="K46" s="60"/>
      <c r="L46" s="192" t="s">
        <v>131</v>
      </c>
      <c r="M46" s="193">
        <v>177900</v>
      </c>
      <c r="N46" s="66" t="s">
        <v>130</v>
      </c>
      <c r="O46" s="105">
        <f>((2*'Step 2'!P24 / (8+ 6*M11/M12)) * M46)</f>
        <v>5684.2485157046158</v>
      </c>
      <c r="P46" s="32" t="s">
        <v>83</v>
      </c>
      <c r="Q46" s="32"/>
      <c r="R46" s="32"/>
      <c r="S46" s="32"/>
      <c r="T46" s="32"/>
      <c r="U46" s="32"/>
    </row>
    <row r="47" spans="1:21" ht="15.75" thickBot="1" x14ac:dyDescent="0.3">
      <c r="A47" s="47"/>
      <c r="B47" s="49"/>
      <c r="C47" s="49"/>
      <c r="D47" s="47"/>
      <c r="E47" s="47"/>
      <c r="F47" s="47"/>
      <c r="G47" s="47"/>
      <c r="H47" s="47"/>
      <c r="I47" s="47"/>
      <c r="J47" s="47"/>
      <c r="K47" s="60"/>
      <c r="L47" s="32"/>
      <c r="M47" s="34"/>
      <c r="N47" s="34"/>
      <c r="O47" s="32"/>
      <c r="P47" s="32"/>
      <c r="Q47" s="32"/>
      <c r="R47" s="32"/>
      <c r="S47" s="32"/>
      <c r="T47" s="32"/>
      <c r="U47" s="32"/>
    </row>
    <row r="48" spans="1:21" ht="15.75" thickBot="1" x14ac:dyDescent="0.3">
      <c r="A48" s="47" t="s">
        <v>132</v>
      </c>
      <c r="B48" s="209">
        <f>C39+D42+D43+D45+D46</f>
        <v>4345001.6427865401</v>
      </c>
      <c r="C48" s="110" t="s">
        <v>83</v>
      </c>
      <c r="D48" s="47"/>
      <c r="E48" s="47"/>
      <c r="F48" s="47"/>
      <c r="G48" s="47"/>
      <c r="H48" s="47"/>
      <c r="I48" s="47"/>
      <c r="J48" s="47"/>
      <c r="K48" s="60"/>
      <c r="L48" s="32" t="s">
        <v>132</v>
      </c>
      <c r="M48" s="194">
        <f>N39+O42+O43+O45+O46</f>
        <v>4345001.642786541</v>
      </c>
      <c r="N48" s="66" t="s">
        <v>83</v>
      </c>
      <c r="O48" s="32"/>
      <c r="P48" s="32"/>
      <c r="Q48" s="32"/>
      <c r="R48" s="32"/>
      <c r="S48" s="32"/>
      <c r="T48" s="32"/>
      <c r="U48" s="32"/>
    </row>
    <row r="49" spans="1:21" x14ac:dyDescent="0.25">
      <c r="A49" s="47"/>
      <c r="B49" s="49"/>
      <c r="C49" s="49"/>
      <c r="D49" s="47"/>
      <c r="E49" s="47"/>
      <c r="F49" s="47"/>
      <c r="G49" s="47"/>
      <c r="H49" s="47"/>
      <c r="I49" s="47"/>
      <c r="J49" s="47"/>
      <c r="L49" s="32"/>
      <c r="M49" s="34"/>
      <c r="N49" s="34"/>
      <c r="O49" s="32"/>
      <c r="P49" s="32"/>
      <c r="Q49" s="32"/>
      <c r="R49" s="32"/>
      <c r="S49" s="32"/>
      <c r="T49" s="32"/>
      <c r="U49" s="32"/>
    </row>
    <row r="51" spans="1:21" x14ac:dyDescent="0.25">
      <c r="A51" s="44" t="s">
        <v>307</v>
      </c>
    </row>
    <row r="52" spans="1:21" x14ac:dyDescent="0.25">
      <c r="A52" s="44" t="s">
        <v>303</v>
      </c>
    </row>
    <row r="53" spans="1:21" x14ac:dyDescent="0.25">
      <c r="A53" s="44" t="s">
        <v>304</v>
      </c>
    </row>
    <row r="54" spans="1:21" x14ac:dyDescent="0.25">
      <c r="A54" s="44" t="s">
        <v>305</v>
      </c>
    </row>
    <row r="55" spans="1:21" x14ac:dyDescent="0.25">
      <c r="A55" s="45" t="s">
        <v>306</v>
      </c>
    </row>
  </sheetData>
  <sheetProtection password="E156" sheet="1" objects="1" scenarios="1"/>
  <mergeCells count="2">
    <mergeCell ref="B26:D26"/>
    <mergeCell ref="M26:O26"/>
  </mergeCells>
  <pageMargins left="0.7" right="0.7" top="0.75" bottom="0.75" header="0.51180555555555551" footer="0.51180555555555551"/>
  <pageSetup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41"/>
  <sheetViews>
    <sheetView zoomScale="90" zoomScaleNormal="90" workbookViewId="0">
      <selection activeCell="G3" sqref="G3"/>
    </sheetView>
  </sheetViews>
  <sheetFormatPr defaultColWidth="8.7109375" defaultRowHeight="15" x14ac:dyDescent="0.25"/>
  <cols>
    <col min="1" max="1" width="15.7109375" style="28" customWidth="1"/>
    <col min="2" max="2" width="16" style="28" customWidth="1"/>
    <col min="3" max="3" width="15.28515625" style="28" customWidth="1"/>
    <col min="4" max="4" width="12.85546875" style="28" customWidth="1"/>
    <col min="5" max="5" width="8.7109375" style="28"/>
    <col min="6" max="6" width="18.28515625" style="28" customWidth="1"/>
    <col min="7" max="11" width="8.7109375" style="28"/>
    <col min="12" max="12" width="15.7109375" style="28" customWidth="1"/>
    <col min="13" max="13" width="15.85546875" style="28" customWidth="1"/>
    <col min="14" max="14" width="15.42578125" style="28" customWidth="1"/>
    <col min="15" max="15" width="12.85546875" style="28" customWidth="1"/>
    <col min="16" max="16" width="8.7109375" style="28"/>
    <col min="17" max="17" width="18.28515625" style="28" customWidth="1"/>
    <col min="18" max="16384" width="8.7109375" style="28"/>
  </cols>
  <sheetData>
    <row r="1" spans="1:21" x14ac:dyDescent="0.25">
      <c r="A1" s="27" t="s">
        <v>298</v>
      </c>
    </row>
    <row r="5" spans="1:21" ht="20.25" x14ac:dyDescent="0.3">
      <c r="A5" s="106" t="s">
        <v>276</v>
      </c>
      <c r="B5" s="49"/>
      <c r="C5" s="49"/>
      <c r="D5" s="47"/>
      <c r="E5" s="47"/>
      <c r="F5" s="47"/>
      <c r="G5" s="47"/>
      <c r="H5" s="47"/>
      <c r="I5" s="47"/>
      <c r="J5" s="47"/>
      <c r="K5" s="60"/>
      <c r="L5" s="61" t="s">
        <v>276</v>
      </c>
      <c r="M5" s="62"/>
      <c r="N5" s="62"/>
      <c r="O5" s="30"/>
      <c r="P5" s="30"/>
      <c r="Q5" s="30"/>
      <c r="R5" s="30"/>
      <c r="S5" s="30"/>
      <c r="T5" s="30"/>
      <c r="U5" s="30"/>
    </row>
    <row r="6" spans="1:21" ht="36.75" customHeight="1" x14ac:dyDescent="0.25">
      <c r="A6" s="219" t="s">
        <v>133</v>
      </c>
      <c r="B6" s="220"/>
      <c r="C6" s="220"/>
      <c r="D6" s="220"/>
      <c r="E6" s="220"/>
      <c r="F6" s="220"/>
      <c r="G6" s="220"/>
      <c r="H6" s="47"/>
      <c r="I6" s="47"/>
      <c r="J6" s="47"/>
      <c r="K6" s="60"/>
      <c r="L6" s="211" t="s">
        <v>133</v>
      </c>
      <c r="M6" s="210"/>
      <c r="N6" s="210"/>
      <c r="O6" s="210"/>
      <c r="P6" s="210"/>
      <c r="Q6" s="210"/>
      <c r="R6" s="210"/>
      <c r="S6" s="32"/>
      <c r="T6" s="32"/>
      <c r="U6" s="32"/>
    </row>
    <row r="7" spans="1:21" ht="16.5" x14ac:dyDescent="0.3">
      <c r="A7" s="47" t="s">
        <v>134</v>
      </c>
      <c r="B7" s="221">
        <v>20</v>
      </c>
      <c r="C7" s="110" t="s">
        <v>286</v>
      </c>
      <c r="D7" s="110"/>
      <c r="E7" s="47"/>
      <c r="F7" s="47"/>
      <c r="G7" s="47"/>
      <c r="H7" s="47"/>
      <c r="I7" s="47"/>
      <c r="J7" s="47"/>
      <c r="K7" s="60"/>
      <c r="L7" s="32" t="s">
        <v>134</v>
      </c>
      <c r="M7" s="212">
        <f>'Step 3'!M29/'Step 1'!M32*100</f>
        <v>20.010613772515899</v>
      </c>
      <c r="N7" s="66" t="s">
        <v>286</v>
      </c>
      <c r="O7" s="66"/>
      <c r="P7" s="32"/>
      <c r="Q7" s="32"/>
      <c r="R7" s="32"/>
      <c r="S7" s="32"/>
      <c r="T7" s="32"/>
      <c r="U7" s="32"/>
    </row>
    <row r="8" spans="1:21" x14ac:dyDescent="0.25">
      <c r="A8" s="47"/>
      <c r="B8" s="49"/>
      <c r="C8" s="49"/>
      <c r="D8" s="47"/>
      <c r="E8" s="47"/>
      <c r="F8" s="47"/>
      <c r="G8" s="47"/>
      <c r="H8" s="47"/>
      <c r="I8" s="47"/>
      <c r="J8" s="47"/>
      <c r="K8" s="60"/>
      <c r="L8" s="32"/>
      <c r="M8" s="34"/>
      <c r="N8" s="34"/>
      <c r="O8" s="32"/>
      <c r="P8" s="32"/>
      <c r="Q8" s="32"/>
      <c r="R8" s="32"/>
      <c r="S8" s="32"/>
      <c r="T8" s="32"/>
      <c r="U8" s="32"/>
    </row>
    <row r="9" spans="1:21" ht="16.5" x14ac:dyDescent="0.3">
      <c r="A9" s="47" t="s">
        <v>135</v>
      </c>
      <c r="B9" s="49"/>
      <c r="C9" s="49" t="str">
        <f>CONCATENATE(ROUND('Step 3'!B21,2),"* 6 + ",ROUND('Step 3'!B23,2), " * 8 + ",ROUND(B7/100,2)," * ", ROUND('Example 22-1 Conditions'!C12,2), " = ")</f>
        <v xml:space="preserve">0.14* 6 + 0.81 * 8 + 0.2 * 291.08 = </v>
      </c>
      <c r="D9" s="49"/>
      <c r="E9" s="127">
        <f>(6*'Step 3'!B21 + 8*'Step 3'!B23 + B7/100 * 'Example 22-1 Conditions'!C12)</f>
        <v>65.551434892417404</v>
      </c>
      <c r="F9" s="47" t="s">
        <v>253</v>
      </c>
      <c r="G9" s="47"/>
      <c r="H9" s="47"/>
      <c r="I9" s="47"/>
      <c r="J9" s="47"/>
      <c r="K9" s="60"/>
      <c r="L9" s="32" t="s">
        <v>135</v>
      </c>
      <c r="M9" s="34"/>
      <c r="N9" s="34" t="str">
        <f>CONCATENATE(ROUND('Step 3'!M21,2),"* 6 + ",ROUND('Step 3'!M23,2), " * 8 + ",ROUND(M7/100,2)," * ", ROUND('Example 22-1 Conditions'!N12,2), " = ")</f>
        <v xml:space="preserve">0.14* 6 + 0.81 * 8 + 0.2 * 291.08 = </v>
      </c>
      <c r="O9" s="34"/>
      <c r="P9" s="87">
        <f>(6*'Step 3'!M21 + 8*'Step 3'!M23 + M7/100 * 'Example 22-1 Conditions'!N12)</f>
        <v>65.582328975316216</v>
      </c>
      <c r="Q9" s="32" t="s">
        <v>253</v>
      </c>
      <c r="R9" s="32"/>
      <c r="S9" s="32"/>
      <c r="T9" s="32"/>
      <c r="U9" s="32"/>
    </row>
    <row r="10" spans="1:21" x14ac:dyDescent="0.25">
      <c r="A10" s="47" t="s">
        <v>136</v>
      </c>
      <c r="B10" s="49"/>
      <c r="C10" s="49"/>
      <c r="D10" s="222">
        <v>1</v>
      </c>
      <c r="E10" s="47" t="s">
        <v>74</v>
      </c>
      <c r="F10" s="47"/>
      <c r="G10" s="47"/>
      <c r="H10" s="47"/>
      <c r="I10" s="47"/>
      <c r="J10" s="47"/>
      <c r="K10" s="60"/>
      <c r="L10" s="32" t="s">
        <v>136</v>
      </c>
      <c r="M10" s="34"/>
      <c r="N10" s="34"/>
      <c r="O10" s="213">
        <v>1</v>
      </c>
      <c r="P10" s="32" t="s">
        <v>74</v>
      </c>
      <c r="Q10" s="32"/>
      <c r="R10" s="32"/>
      <c r="S10" s="32"/>
      <c r="T10" s="32"/>
      <c r="U10" s="32"/>
    </row>
    <row r="11" spans="1:21" x14ac:dyDescent="0.25">
      <c r="A11" s="47" t="s">
        <v>137</v>
      </c>
      <c r="B11" s="223">
        <f>'Step 1'!B46 - 'Step 3'!D7 - 'Step 4'!D10</f>
        <v>17.599999999999998</v>
      </c>
      <c r="C11" s="47" t="s">
        <v>74</v>
      </c>
      <c r="D11" s="47"/>
      <c r="E11" s="47"/>
      <c r="F11" s="47"/>
      <c r="G11" s="47"/>
      <c r="H11" s="47"/>
      <c r="I11" s="47"/>
      <c r="J11" s="47"/>
      <c r="K11" s="60"/>
      <c r="L11" s="32" t="s">
        <v>137</v>
      </c>
      <c r="M11" s="214">
        <f>'Step 1'!M46 - 'Step 3'!O7 - 'Step 4'!O10</f>
        <v>17.599999999999998</v>
      </c>
      <c r="N11" s="32" t="s">
        <v>74</v>
      </c>
      <c r="O11" s="32"/>
      <c r="P11" s="32"/>
      <c r="Q11" s="32"/>
      <c r="R11" s="32"/>
      <c r="S11" s="32"/>
      <c r="T11" s="32"/>
      <c r="U11" s="32"/>
    </row>
    <row r="12" spans="1:21" ht="16.5" x14ac:dyDescent="0.3">
      <c r="A12" s="47" t="s">
        <v>138</v>
      </c>
      <c r="B12" s="49"/>
      <c r="C12" s="133" t="str">
        <f>CONCATENATE(ROUND(E9,2)," / ",ROUND('Step 3'!B29+'Step 3'!B30+'Step 3'!B32+'Step 3'!B33+'Step 3'!B34+'Step 3'!B21*6+'Step 3'!B23*8,2)," * ",ROUND(B11,2)," = ")</f>
        <v xml:space="preserve">65.55 / 1082.23 * 17.6 = </v>
      </c>
      <c r="D12" s="134"/>
      <c r="E12" s="127">
        <f>E9/('Step 3'!B29+'Step 3'!B30+'Step 3'!B32+'Step 3'!B33+'Step 3'!B34+'Step 3'!B21*6+'Step 3'!B23*8) * B11</f>
        <v>1.0660490271413796</v>
      </c>
      <c r="F12" s="47" t="s">
        <v>74</v>
      </c>
      <c r="G12" s="47"/>
      <c r="H12" s="47"/>
      <c r="I12" s="47"/>
      <c r="J12" s="47"/>
      <c r="K12" s="60"/>
      <c r="L12" s="32" t="s">
        <v>138</v>
      </c>
      <c r="M12" s="34"/>
      <c r="N12" s="93" t="str">
        <f>CONCATENATE(ROUND(P9,2)," / ",ROUND('Step 3'!M29+'Step 3'!M30+'Step 3'!M32+'Step 3'!M33+'Step 3'!M34+'Step 3'!M21*6+'Step 3'!M23*8,2)," * ",ROUND(M11,2)," = ")</f>
        <v xml:space="preserve">65.58 / 1082.23 * 17.6 = </v>
      </c>
      <c r="O12" s="92"/>
      <c r="P12" s="87">
        <f>P9/('Step 3'!M29+'Step 3'!M30+'Step 3'!M32+'Step 3'!M33+'Step 3'!M34+'Step 3'!M21*6+'Step 3'!M23*8) * M11</f>
        <v>1.066551451032981</v>
      </c>
      <c r="Q12" s="32" t="s">
        <v>74</v>
      </c>
      <c r="R12" s="32"/>
      <c r="S12" s="32"/>
      <c r="T12" s="32"/>
      <c r="U12" s="32"/>
    </row>
    <row r="13" spans="1:21" x14ac:dyDescent="0.25">
      <c r="A13" s="47"/>
      <c r="B13" s="56" t="s">
        <v>3</v>
      </c>
      <c r="C13" s="173">
        <f>E12*0.068</f>
        <v>7.249133384561382E-2</v>
      </c>
      <c r="D13" s="47" t="s">
        <v>111</v>
      </c>
      <c r="E13" s="47"/>
      <c r="F13" s="47"/>
      <c r="G13" s="47"/>
      <c r="H13" s="47"/>
      <c r="I13" s="47"/>
      <c r="J13" s="47"/>
      <c r="K13" s="60"/>
      <c r="L13" s="32"/>
      <c r="M13" s="41" t="s">
        <v>3</v>
      </c>
      <c r="N13" s="157">
        <f>P12*0.068</f>
        <v>7.2525498670242716E-2</v>
      </c>
      <c r="O13" s="32" t="s">
        <v>111</v>
      </c>
      <c r="P13" s="32"/>
      <c r="Q13" s="32"/>
      <c r="R13" s="32"/>
      <c r="S13" s="32"/>
      <c r="T13" s="32"/>
      <c r="U13" s="32"/>
    </row>
    <row r="14" spans="1:21" x14ac:dyDescent="0.25">
      <c r="A14" s="47" t="s">
        <v>226</v>
      </c>
      <c r="B14" s="49"/>
      <c r="C14" s="49"/>
      <c r="D14" s="47"/>
      <c r="E14" s="47"/>
      <c r="F14" s="195">
        <v>445</v>
      </c>
      <c r="G14" s="47" t="s">
        <v>32</v>
      </c>
      <c r="H14" s="47"/>
      <c r="I14" s="47"/>
      <c r="J14" s="47"/>
      <c r="K14" s="60"/>
      <c r="L14" s="32" t="s">
        <v>226</v>
      </c>
      <c r="M14" s="34"/>
      <c r="N14" s="34"/>
      <c r="O14" s="32"/>
      <c r="P14" s="32"/>
      <c r="Q14" s="179">
        <v>445</v>
      </c>
      <c r="R14" s="32" t="s">
        <v>32</v>
      </c>
      <c r="S14" s="32"/>
      <c r="T14" s="32"/>
      <c r="U14" s="32"/>
    </row>
    <row r="15" spans="1:21" x14ac:dyDescent="0.25">
      <c r="A15" s="47" t="s">
        <v>139</v>
      </c>
      <c r="B15" s="49"/>
      <c r="C15" s="49"/>
      <c r="D15" s="117">
        <v>30</v>
      </c>
      <c r="E15" s="47" t="s">
        <v>140</v>
      </c>
      <c r="F15" s="47"/>
      <c r="G15" s="47"/>
      <c r="H15" s="47"/>
      <c r="I15" s="47"/>
      <c r="J15" s="47"/>
      <c r="K15" s="60"/>
      <c r="L15" s="32" t="s">
        <v>139</v>
      </c>
      <c r="M15" s="34"/>
      <c r="N15" s="34"/>
      <c r="O15" s="73">
        <v>30</v>
      </c>
      <c r="P15" s="32" t="s">
        <v>140</v>
      </c>
      <c r="Q15" s="32"/>
      <c r="R15" s="32"/>
      <c r="S15" s="32"/>
      <c r="T15" s="32"/>
      <c r="U15" s="32"/>
    </row>
    <row r="16" spans="1:21" x14ac:dyDescent="0.25">
      <c r="A16" s="47" t="s">
        <v>141</v>
      </c>
      <c r="B16" s="49"/>
      <c r="C16" s="49"/>
      <c r="D16" s="56">
        <f>F14+D15</f>
        <v>475</v>
      </c>
      <c r="E16" s="47" t="s">
        <v>32</v>
      </c>
      <c r="F16" s="47"/>
      <c r="G16" s="47"/>
      <c r="H16" s="47"/>
      <c r="I16" s="47"/>
      <c r="J16" s="47"/>
      <c r="K16" s="60"/>
      <c r="L16" s="32" t="s">
        <v>141</v>
      </c>
      <c r="M16" s="34"/>
      <c r="N16" s="34"/>
      <c r="O16" s="41">
        <f>Q14+O15</f>
        <v>475</v>
      </c>
      <c r="P16" s="32" t="s">
        <v>32</v>
      </c>
      <c r="Q16" s="32"/>
      <c r="R16" s="32"/>
      <c r="S16" s="32"/>
      <c r="T16" s="32"/>
      <c r="U16" s="32"/>
    </row>
    <row r="17" spans="1:21" ht="16.5" x14ac:dyDescent="0.3">
      <c r="A17" s="47" t="s">
        <v>142</v>
      </c>
      <c r="B17" s="49"/>
      <c r="C17" s="196">
        <v>0.255</v>
      </c>
      <c r="D17" s="47" t="s">
        <v>263</v>
      </c>
      <c r="E17" s="47"/>
      <c r="F17" s="47"/>
      <c r="G17" s="164" t="s">
        <v>99</v>
      </c>
      <c r="H17" s="47"/>
      <c r="I17" s="47"/>
      <c r="J17" s="47"/>
      <c r="K17" s="60"/>
      <c r="L17" s="32" t="s">
        <v>142</v>
      </c>
      <c r="M17" s="34"/>
      <c r="N17" s="180">
        <v>0.255</v>
      </c>
      <c r="O17" s="32" t="s">
        <v>263</v>
      </c>
      <c r="P17" s="32"/>
      <c r="Q17" s="32"/>
      <c r="R17" s="147" t="s">
        <v>99</v>
      </c>
      <c r="S17" s="32"/>
      <c r="T17" s="32"/>
      <c r="U17" s="32"/>
    </row>
    <row r="18" spans="1:21" ht="16.5" x14ac:dyDescent="0.3">
      <c r="A18" s="47"/>
      <c r="B18" s="49"/>
      <c r="C18" s="197">
        <v>0.745</v>
      </c>
      <c r="D18" s="47" t="s">
        <v>266</v>
      </c>
      <c r="E18" s="47"/>
      <c r="F18" s="47"/>
      <c r="G18" s="47"/>
      <c r="H18" s="47"/>
      <c r="I18" s="47"/>
      <c r="J18" s="47"/>
      <c r="K18" s="60"/>
      <c r="L18" s="32"/>
      <c r="M18" s="34"/>
      <c r="N18" s="181">
        <v>0.745</v>
      </c>
      <c r="O18" s="32" t="s">
        <v>266</v>
      </c>
      <c r="P18" s="32"/>
      <c r="Q18" s="32"/>
      <c r="R18" s="32"/>
      <c r="S18" s="32"/>
      <c r="T18" s="32"/>
      <c r="U18" s="32"/>
    </row>
    <row r="19" spans="1:21" x14ac:dyDescent="0.25">
      <c r="A19" s="47"/>
      <c r="B19" s="49"/>
      <c r="C19" s="52">
        <f>SUM(C17:C18)</f>
        <v>1</v>
      </c>
      <c r="D19" s="47"/>
      <c r="E19" s="47"/>
      <c r="F19" s="47"/>
      <c r="G19" s="47"/>
      <c r="H19" s="47"/>
      <c r="I19" s="47"/>
      <c r="J19" s="47"/>
      <c r="K19" s="60"/>
      <c r="L19" s="32"/>
      <c r="M19" s="34"/>
      <c r="N19" s="39">
        <f>SUM(N17:N18)</f>
        <v>1</v>
      </c>
      <c r="O19" s="32"/>
      <c r="P19" s="32"/>
      <c r="Q19" s="32"/>
      <c r="R19" s="32"/>
      <c r="S19" s="32"/>
      <c r="T19" s="32"/>
      <c r="U19" s="32"/>
    </row>
    <row r="20" spans="1:21" x14ac:dyDescent="0.25">
      <c r="A20" s="47"/>
      <c r="B20" s="49"/>
      <c r="C20" s="52"/>
      <c r="D20" s="47"/>
      <c r="E20" s="47"/>
      <c r="F20" s="47"/>
      <c r="G20" s="47"/>
      <c r="H20" s="47"/>
      <c r="I20" s="47"/>
      <c r="J20" s="47"/>
      <c r="K20" s="60"/>
      <c r="L20" s="32"/>
      <c r="M20" s="34"/>
      <c r="N20" s="39"/>
      <c r="O20" s="32"/>
      <c r="P20" s="32"/>
      <c r="Q20" s="32"/>
      <c r="R20" s="32"/>
      <c r="S20" s="32"/>
      <c r="T20" s="32"/>
      <c r="U20" s="32"/>
    </row>
    <row r="21" spans="1:21" x14ac:dyDescent="0.25">
      <c r="A21" s="47"/>
      <c r="B21" s="49"/>
      <c r="C21" s="50" t="s">
        <v>85</v>
      </c>
      <c r="D21" s="224">
        <f>D16</f>
        <v>475</v>
      </c>
      <c r="E21" s="225" t="s">
        <v>85</v>
      </c>
      <c r="F21" s="169">
        <f>'Step 3'!D8</f>
        <v>350</v>
      </c>
      <c r="G21" s="47" t="s">
        <v>32</v>
      </c>
      <c r="H21" s="47"/>
      <c r="I21" s="47"/>
      <c r="J21" s="47"/>
      <c r="K21" s="60"/>
      <c r="L21" s="32"/>
      <c r="M21" s="34"/>
      <c r="N21" s="35" t="s">
        <v>85</v>
      </c>
      <c r="O21" s="215">
        <f>O16</f>
        <v>475</v>
      </c>
      <c r="P21" s="216" t="s">
        <v>85</v>
      </c>
      <c r="Q21" s="152">
        <f>'Step 3'!O8</f>
        <v>350</v>
      </c>
      <c r="R21" s="32" t="s">
        <v>32</v>
      </c>
      <c r="S21" s="32"/>
      <c r="T21" s="32"/>
      <c r="U21" s="32"/>
    </row>
    <row r="22" spans="1:21" x14ac:dyDescent="0.25">
      <c r="A22" s="47"/>
      <c r="B22" s="50" t="s">
        <v>86</v>
      </c>
      <c r="C22" s="50" t="s">
        <v>87</v>
      </c>
      <c r="D22" s="50" t="s">
        <v>83</v>
      </c>
      <c r="E22" s="226"/>
      <c r="F22" s="50" t="s">
        <v>83</v>
      </c>
      <c r="G22" s="47"/>
      <c r="H22" s="47"/>
      <c r="I22" s="47"/>
      <c r="J22" s="47"/>
      <c r="K22" s="60"/>
      <c r="L22" s="32"/>
      <c r="M22" s="35" t="s">
        <v>86</v>
      </c>
      <c r="N22" s="35" t="s">
        <v>87</v>
      </c>
      <c r="O22" s="35" t="s">
        <v>83</v>
      </c>
      <c r="P22" s="217"/>
      <c r="Q22" s="35" t="s">
        <v>83</v>
      </c>
      <c r="R22" s="32"/>
      <c r="S22" s="32"/>
      <c r="T22" s="32"/>
      <c r="U22" s="32"/>
    </row>
    <row r="23" spans="1:21" ht="16.5" x14ac:dyDescent="0.3">
      <c r="A23" s="47" t="s">
        <v>41</v>
      </c>
      <c r="B23" s="115">
        <f>'Step 3'!B29</f>
        <v>58.245978026970775</v>
      </c>
      <c r="C23" s="136">
        <f>IF(ROUNDDOWN(D21,-2)=ROUNDUP(D21,-2),VLOOKUP(D21,Enthalpy,19),VLOOKUP(ROUNDDOWN(D21,-2),Enthalpy,19)+(D21-ROUNDDOWN(D21,-2))/(ROUNDUP(D21,-2)-ROUNDDOWN(D21,-2))*(VLOOKUP(ROUNDUP(D21,-2),Enthalpy,19)-VLOOKUP(ROUNDDOWN(D21,-2),Enthalpy,19)))</f>
        <v>3700</v>
      </c>
      <c r="D23" s="136">
        <f t="shared" ref="D23:D28" si="0">(B23*C23)</f>
        <v>215510.11869979187</v>
      </c>
      <c r="E23" s="202">
        <f>IF(ROUNDDOWN(F21,-2)=ROUNDUP(F21,-2),VLOOKUP(F21,Enthalpy,19),VLOOKUP(ROUNDDOWN(F21,-2),Enthalpy,19)+(F21-ROUNDDOWN(F21,-2))/(ROUNDUP(F21,-2)-ROUNDDOWN(F21,-2))*(VLOOKUP(ROUNDUP(F21,-2),Enthalpy,19)-VLOOKUP(ROUNDDOWN(F21,-2),Enthalpy,19)))</f>
        <v>2614</v>
      </c>
      <c r="F23" s="136">
        <f>(B23*'Step 3'!C29)</f>
        <v>152254.98656250161</v>
      </c>
      <c r="G23" s="47"/>
      <c r="H23" s="47"/>
      <c r="I23" s="47"/>
      <c r="J23" s="47"/>
      <c r="K23" s="60"/>
      <c r="L23" s="32" t="s">
        <v>41</v>
      </c>
      <c r="M23" s="71">
        <f>'Step 3'!M29</f>
        <v>58.245978026970761</v>
      </c>
      <c r="N23" s="95">
        <f>IF(ROUNDDOWN(O21,-2)=ROUNDUP(O21,-2),VLOOKUP(O21,Enthalpy,19),VLOOKUP(ROUNDDOWN(O21,-2),Enthalpy,19)+(O21-ROUNDDOWN(O21,-2))/(ROUNDUP(O21,-2)-ROUNDDOWN(O21,-2))*(VLOOKUP(ROUNDUP(O21,-2),Enthalpy,19)-VLOOKUP(ROUNDDOWN(O21,-2),Enthalpy,19)))</f>
        <v>3700</v>
      </c>
      <c r="O23" s="95">
        <f t="shared" ref="O23:O28" si="1">(M23*N23)</f>
        <v>215510.11869979181</v>
      </c>
      <c r="P23" s="186">
        <f>IF(ROUNDDOWN(Q21,-2)=ROUNDUP(Q21,-2),VLOOKUP(Q21,Enthalpy,19),VLOOKUP(ROUNDDOWN(Q21,-2),Enthalpy,19)+(Q21-ROUNDDOWN(Q21,-2))/(ROUNDUP(Q21,-2)-ROUNDDOWN(Q21,-2))*(VLOOKUP(ROUNDUP(Q21,-2),Enthalpy,19)-VLOOKUP(ROUNDDOWN(Q21,-2),Enthalpy,19)))</f>
        <v>2614</v>
      </c>
      <c r="Q23" s="95">
        <f>(M23*'Step 3'!N29)</f>
        <v>152254.98656250158</v>
      </c>
      <c r="R23" s="32"/>
      <c r="S23" s="32"/>
      <c r="T23" s="32"/>
      <c r="U23" s="32"/>
    </row>
    <row r="24" spans="1:21" ht="16.5" x14ac:dyDescent="0.3">
      <c r="A24" s="47" t="s">
        <v>44</v>
      </c>
      <c r="B24" s="115">
        <f>'Step 3'!B30</f>
        <v>159.09563336735241</v>
      </c>
      <c r="C24" s="136">
        <f>IF(ROUNDDOWN(D21,-2)=ROUNDUP(D21,-2),VLOOKUP(D21,Enthalpy,14),VLOOKUP(ROUNDDOWN(D21,-2),Enthalpy,14)+(D21-ROUNDDOWN(D21,-2))/(ROUNDUP(D21,-2)-ROUNDDOWN(D21,-2))*(VLOOKUP(ROUNDUP(D21,-2),Enthalpy,14)-VLOOKUP(ROUNDDOWN(D21,-2),Enthalpy,14)))</f>
        <v>4367.75</v>
      </c>
      <c r="D24" s="136">
        <f t="shared" si="0"/>
        <v>694889.95264025347</v>
      </c>
      <c r="E24" s="202">
        <f>IF(ROUNDDOWN(F21,-2)=ROUNDUP(F21,-2),VLOOKUP(F21,Enthalpy,14),VLOOKUP(ROUNDDOWN(F21,-2),Enthalpy,14)+(F21-ROUNDDOWN(F21,-2))/(ROUNDUP(F21,-2)-ROUNDDOWN(F21,-2))*(VLOOKUP(ROUNDUP(F21,-2),Enthalpy,14)-VLOOKUP(ROUNDDOWN(F21,-2),Enthalpy,14)))</f>
        <v>3050</v>
      </c>
      <c r="F24" s="136">
        <f>(B24*'Step 3'!C30)</f>
        <v>485241.68177042482</v>
      </c>
      <c r="G24" s="47"/>
      <c r="H24" s="47"/>
      <c r="I24" s="47"/>
      <c r="J24" s="47"/>
      <c r="K24" s="60"/>
      <c r="L24" s="32" t="s">
        <v>44</v>
      </c>
      <c r="M24" s="71">
        <f>'Step 3'!M30</f>
        <v>159.09563336735241</v>
      </c>
      <c r="N24" s="95">
        <f>IF(ROUNDDOWN(O21,-2)=ROUNDUP(O21,-2),VLOOKUP(O21,Enthalpy,14),VLOOKUP(ROUNDDOWN(O21,-2),Enthalpy,14)+(O21-ROUNDDOWN(O21,-2))/(ROUNDUP(O21,-2)-ROUNDDOWN(O21,-2))*(VLOOKUP(ROUNDUP(O21,-2),Enthalpy,14)-VLOOKUP(ROUNDDOWN(O21,-2),Enthalpy,14)))</f>
        <v>4367.75</v>
      </c>
      <c r="O24" s="95">
        <f t="shared" si="1"/>
        <v>694889.95264025347</v>
      </c>
      <c r="P24" s="186">
        <f>IF(ROUNDDOWN(Q21,-2)=ROUNDUP(Q21,-2),VLOOKUP(Q21,Enthalpy,14),VLOOKUP(ROUNDDOWN(Q21,-2),Enthalpy,14)+(Q21-ROUNDDOWN(Q21,-2))/(ROUNDUP(Q21,-2)-ROUNDDOWN(Q21,-2))*(VLOOKUP(ROUNDUP(Q21,-2),Enthalpy,14)-VLOOKUP(ROUNDDOWN(Q21,-2),Enthalpy,14)))</f>
        <v>3050</v>
      </c>
      <c r="Q24" s="95">
        <f>(M24*'Step 3'!N30)</f>
        <v>485241.68177042482</v>
      </c>
      <c r="R24" s="32"/>
      <c r="S24" s="32"/>
      <c r="T24" s="32"/>
      <c r="U24" s="32"/>
    </row>
    <row r="25" spans="1:21" ht="16.5" x14ac:dyDescent="0.3">
      <c r="A25" s="47" t="s">
        <v>212</v>
      </c>
      <c r="B25" s="115">
        <f>'Step 3'!B31</f>
        <v>16.300223504340146</v>
      </c>
      <c r="C25" s="136">
        <f>IF(ROUNDDOWN(D21,-2)=ROUNDUP(D21,-2),VLOOKUP(D21,Enthalpy,12),VLOOKUP(ROUNDDOWN(D21,-2),Enthalpy,12)+(D21-ROUNDDOWN(D21,-2))/(ROUNDUP(D21,-2)-ROUNDDOWN(D21,-2))*(VLOOKUP(ROUNDUP(D21,-2),Enthalpy,12)-VLOOKUP(ROUNDDOWN(D21,-2),Enthalpy,12)))</f>
        <v>3087</v>
      </c>
      <c r="D25" s="136">
        <f t="shared" si="0"/>
        <v>50318.789957898029</v>
      </c>
      <c r="E25" s="202">
        <f>IF(ROUNDDOWN(F21,-2)=ROUNDUP(F21,-2),VLOOKUP(F21,Enthalpy,12),VLOOKUP(ROUNDDOWN(F21,-2),Enthalpy,12)+(F21-ROUNDDOWN(F21,-2))/(ROUNDUP(F21,-2)-ROUNDDOWN(F21,-2))*(VLOOKUP(ROUNDUP(F21,-2),Enthalpy,12)-VLOOKUP(ROUNDDOWN(F21,-2),Enthalpy,12)))</f>
        <v>2217.5</v>
      </c>
      <c r="F25" s="136">
        <f>(B25*'Step 3'!C31)</f>
        <v>36145.745620874273</v>
      </c>
      <c r="G25" s="47"/>
      <c r="H25" s="47"/>
      <c r="I25" s="47"/>
      <c r="J25" s="47"/>
      <c r="K25" s="60"/>
      <c r="L25" s="32" t="s">
        <v>212</v>
      </c>
      <c r="M25" s="71">
        <f>'Step 3'!M31</f>
        <v>16.300223504340146</v>
      </c>
      <c r="N25" s="95">
        <f>IF(ROUNDDOWN(O21,-2)=ROUNDUP(O21,-2),VLOOKUP(O21,Enthalpy,12),VLOOKUP(ROUNDDOWN(O21,-2),Enthalpy,12)+(O21-ROUNDDOWN(O21,-2))/(ROUNDUP(O21,-2)-ROUNDDOWN(O21,-2))*(VLOOKUP(ROUNDUP(O21,-2),Enthalpy,12)-VLOOKUP(ROUNDDOWN(O21,-2),Enthalpy,12)))</f>
        <v>3087</v>
      </c>
      <c r="O25" s="95">
        <f t="shared" si="1"/>
        <v>50318.789957898029</v>
      </c>
      <c r="P25" s="186">
        <f>IF(ROUNDDOWN(Q21,-2)=ROUNDUP(Q21,-2),VLOOKUP(Q21,Enthalpy,12),VLOOKUP(ROUNDDOWN(Q21,-2),Enthalpy,12)+(Q21-ROUNDDOWN(Q21,-2))/(ROUNDUP(Q21,-2)-ROUNDDOWN(Q21,-2))*(VLOOKUP(ROUNDUP(Q21,-2),Enthalpy,12)-VLOOKUP(ROUNDDOWN(Q21,-2),Enthalpy,12)))</f>
        <v>2217.5</v>
      </c>
      <c r="Q25" s="95">
        <f>(M25*'Step 3'!N31)</f>
        <v>36145.745620874273</v>
      </c>
      <c r="R25" s="32"/>
      <c r="S25" s="32"/>
      <c r="T25" s="32"/>
      <c r="U25" s="32"/>
    </row>
    <row r="26" spans="1:21" ht="16.5" x14ac:dyDescent="0.3">
      <c r="A26" s="47" t="s">
        <v>47</v>
      </c>
      <c r="B26" s="115">
        <f>'Step 3'!B32</f>
        <v>276.44480003921916</v>
      </c>
      <c r="C26" s="136">
        <f>IF(ROUNDDOWN(D21,-2)=ROUNDUP(D21,-2),VLOOKUP(D21,Enthalpy,15),VLOOKUP(ROUNDDOWN(D21,-2),Enthalpy,15)+(D21-ROUNDDOWN(D21,-2))/(ROUNDUP(D21,-2)-ROUNDDOWN(D21,-2))*(VLOOKUP(ROUNDUP(D21,-2),Enthalpy,15)-VLOOKUP(ROUNDDOWN(D21,-2),Enthalpy,15)))</f>
        <v>3714.75</v>
      </c>
      <c r="D26" s="136">
        <f t="shared" si="0"/>
        <v>1026923.3209456893</v>
      </c>
      <c r="E26" s="202">
        <f>IF(ROUNDDOWN(F21,-2)=ROUNDUP(F21,-2),VLOOKUP(F21,Enthalpy,15),VLOOKUP(ROUNDDOWN(F21,-2),Enthalpy,15)+(F21-ROUNDDOWN(F21,-2))/(ROUNDUP(F21,-2)-ROUNDDOWN(F21,-2))*(VLOOKUP(ROUNDUP(F21,-2),Enthalpy,15)-VLOOKUP(ROUNDDOWN(F21,-2),Enthalpy,15)))</f>
        <v>2651.5</v>
      </c>
      <c r="F26" s="136">
        <f>(B26*'Step 3'!C32)</f>
        <v>732993.38730398961</v>
      </c>
      <c r="G26" s="47"/>
      <c r="H26" s="47"/>
      <c r="I26" s="47"/>
      <c r="J26" s="47"/>
      <c r="K26" s="60"/>
      <c r="L26" s="32" t="s">
        <v>47</v>
      </c>
      <c r="M26" s="71">
        <f>'Step 3'!M32</f>
        <v>276.44480003921922</v>
      </c>
      <c r="N26" s="95">
        <f>IF(ROUNDDOWN(O21,-2)=ROUNDUP(O21,-2),VLOOKUP(O21,Enthalpy,15),VLOOKUP(ROUNDDOWN(O21,-2),Enthalpy,15)+(O21-ROUNDDOWN(O21,-2))/(ROUNDUP(O21,-2)-ROUNDDOWN(O21,-2))*(VLOOKUP(ROUNDUP(O21,-2),Enthalpy,15)-VLOOKUP(ROUNDDOWN(O21,-2),Enthalpy,15)))</f>
        <v>3714.75</v>
      </c>
      <c r="O26" s="95">
        <f t="shared" si="1"/>
        <v>1026923.3209456896</v>
      </c>
      <c r="P26" s="186">
        <f>IF(ROUNDDOWN(Q21,-2)=ROUNDUP(Q21,-2),VLOOKUP(Q21,Enthalpy,15),VLOOKUP(ROUNDDOWN(Q21,-2),Enthalpy,15)+(Q21-ROUNDDOWN(Q21,-2))/(ROUNDUP(Q21,-2)-ROUNDDOWN(Q21,-2))*(VLOOKUP(ROUNDUP(Q21,-2),Enthalpy,15)-VLOOKUP(ROUNDDOWN(Q21,-2),Enthalpy,15)))</f>
        <v>2651.5</v>
      </c>
      <c r="Q26" s="95">
        <f>(M26*'Step 3'!N32)</f>
        <v>732993.38730398973</v>
      </c>
      <c r="R26" s="32"/>
      <c r="S26" s="32"/>
      <c r="T26" s="32"/>
      <c r="U26" s="32"/>
    </row>
    <row r="27" spans="1:21" ht="16.5" x14ac:dyDescent="0.3">
      <c r="A27" s="47" t="s">
        <v>67</v>
      </c>
      <c r="B27" s="115">
        <f>'Step 3'!B33</f>
        <v>29.122989013485387</v>
      </c>
      <c r="C27" s="136">
        <f>IF(ROUNDDOWN(D21,-2)=ROUNDUP(D21,-2),VLOOKUP(D21,Enthalpy,17),VLOOKUP(ROUNDDOWN(D21,-2),Enthalpy,17)+(D21-ROUNDDOWN(D21,-2))/(ROUNDUP(D21,-2)-ROUNDDOWN(D21,-2))*(VLOOKUP(ROUNDUP(D21,-2),Enthalpy,17)-VLOOKUP(ROUNDDOWN(D21,-2),Enthalpy,17)))</f>
        <v>4676.75</v>
      </c>
      <c r="D27" s="136">
        <f t="shared" si="0"/>
        <v>136200.93886881779</v>
      </c>
      <c r="E27" s="202">
        <f>IF(ROUNDDOWN(F21,-2)=ROUNDUP(F21,-2),VLOOKUP(F21,Enthalpy,17),VLOOKUP(ROUNDDOWN(F21,-2),Enthalpy,17)+(F21-ROUNDDOWN(F21,-2))/(ROUNDUP(F21,-2)-ROUNDDOWN(F21,-2))*(VLOOKUP(ROUNDUP(F21,-2),Enthalpy,17)-VLOOKUP(ROUNDDOWN(F21,-2),Enthalpy,17)))</f>
        <v>3272</v>
      </c>
      <c r="F27" s="136">
        <f>(B27*'Step 3'!C33)</f>
        <v>95290.420052124187</v>
      </c>
      <c r="G27" s="47"/>
      <c r="H27" s="47"/>
      <c r="I27" s="47"/>
      <c r="J27" s="47"/>
      <c r="K27" s="60"/>
      <c r="L27" s="32" t="s">
        <v>67</v>
      </c>
      <c r="M27" s="71">
        <f>'Step 3'!M33</f>
        <v>29.12298901348538</v>
      </c>
      <c r="N27" s="95">
        <f>IF(ROUNDDOWN(O21,-2)=ROUNDUP(O21,-2),VLOOKUP(O21,Enthalpy,17),VLOOKUP(ROUNDDOWN(O21,-2),Enthalpy,17)+(O21-ROUNDDOWN(O21,-2))/(ROUNDUP(O21,-2)-ROUNDDOWN(O21,-2))*(VLOOKUP(ROUNDUP(O21,-2),Enthalpy,17)-VLOOKUP(ROUNDDOWN(O21,-2),Enthalpy,17)))</f>
        <v>4676.75</v>
      </c>
      <c r="O27" s="95">
        <f t="shared" si="1"/>
        <v>136200.93886881776</v>
      </c>
      <c r="P27" s="186">
        <f>IF(ROUNDDOWN(Q21,-2)=ROUNDUP(Q21,-2),VLOOKUP(Q21,Enthalpy,17),VLOOKUP(ROUNDDOWN(Q21,-2),Enthalpy,17)+(Q21-ROUNDDOWN(Q21,-2))/(ROUNDUP(Q21,-2)-ROUNDDOWN(Q21,-2))*(VLOOKUP(ROUNDUP(Q21,-2),Enthalpy,17)-VLOOKUP(ROUNDDOWN(Q21,-2),Enthalpy,17)))</f>
        <v>3272</v>
      </c>
      <c r="Q27" s="95">
        <f>(M27*'Step 3'!N33)</f>
        <v>95290.420052124158</v>
      </c>
      <c r="R27" s="32"/>
      <c r="S27" s="32"/>
      <c r="T27" s="32"/>
      <c r="U27" s="32"/>
    </row>
    <row r="28" spans="1:21" ht="16.5" x14ac:dyDescent="0.3">
      <c r="A28" s="47" t="s">
        <v>68</v>
      </c>
      <c r="B28" s="115">
        <f>'Step 3'!B34</f>
        <v>551.97957289408987</v>
      </c>
      <c r="C28" s="136">
        <f>IF(ROUNDDOWN(D21,-2)=ROUNDUP(D21,-2),VLOOKUP(D21,Enthalpy,9),VLOOKUP(ROUNDDOWN(D21,-2),Enthalpy,9)+(D21-ROUNDDOWN(D21,-2))/(ROUNDUP(D21,-2)-ROUNDDOWN(D21,-2))*(VLOOKUP(ROUNDUP(D21,-2),Enthalpy,9)-VLOOKUP(ROUNDDOWN(D21,-2),Enthalpy,9)))</f>
        <v>3108</v>
      </c>
      <c r="D28" s="136">
        <f t="shared" si="0"/>
        <v>1715552.5125548313</v>
      </c>
      <c r="E28" s="202">
        <f>IF(ROUNDDOWN(F21,-2)=ROUNDUP(F21,-2),VLOOKUP(F21,Enthalpy,9),VLOOKUP(ROUNDDOWN(F21,-2),Enthalpy,9)+(F21-ROUNDDOWN(F21,-2))/(ROUNDUP(F21,-2)-ROUNDDOWN(F21,-2))*(VLOOKUP(ROUNDUP(F21,-2),Enthalpy,9)-VLOOKUP(ROUNDDOWN(F21,-2),Enthalpy,9)))</f>
        <v>2225</v>
      </c>
      <c r="F28" s="136">
        <f>(B28*'Step 3'!C34)</f>
        <v>1228154.54968935</v>
      </c>
      <c r="G28" s="47"/>
      <c r="H28" s="47"/>
      <c r="I28" s="47"/>
      <c r="J28" s="47"/>
      <c r="K28" s="60"/>
      <c r="L28" s="32" t="s">
        <v>68</v>
      </c>
      <c r="M28" s="71">
        <f>'Step 3'!M34</f>
        <v>551.97957289408987</v>
      </c>
      <c r="N28" s="95">
        <f>IF(ROUNDDOWN(O21,-2)=ROUNDUP(O21,-2),VLOOKUP(O21,Enthalpy,9),VLOOKUP(ROUNDDOWN(O21,-2),Enthalpy,9)+(O21-ROUNDDOWN(O21,-2))/(ROUNDUP(O21,-2)-ROUNDDOWN(O21,-2))*(VLOOKUP(ROUNDUP(O21,-2),Enthalpy,9)-VLOOKUP(ROUNDDOWN(O21,-2),Enthalpy,9)))</f>
        <v>3108</v>
      </c>
      <c r="O28" s="95">
        <f t="shared" si="1"/>
        <v>1715552.5125548313</v>
      </c>
      <c r="P28" s="186">
        <f>IF(ROUNDDOWN(Q21,-2)=ROUNDUP(Q21,-2),VLOOKUP(Q21,Enthalpy,9),VLOOKUP(ROUNDDOWN(Q21,-2),Enthalpy,9)+(Q21-ROUNDDOWN(Q21,-2))/(ROUNDUP(Q21,-2)-ROUNDDOWN(Q21,-2))*(VLOOKUP(ROUNDUP(Q21,-2),Enthalpy,9)-VLOOKUP(ROUNDDOWN(Q21,-2),Enthalpy,9)))</f>
        <v>2225</v>
      </c>
      <c r="Q28" s="95">
        <f>(M28*'Step 3'!N34)</f>
        <v>1228154.54968935</v>
      </c>
      <c r="R28" s="32"/>
      <c r="S28" s="32"/>
      <c r="T28" s="32"/>
      <c r="U28" s="32"/>
    </row>
    <row r="29" spans="1:21" ht="16.5" x14ac:dyDescent="0.3">
      <c r="A29" s="206" t="s">
        <v>121</v>
      </c>
      <c r="B29" s="115"/>
      <c r="C29" s="136"/>
      <c r="D29" s="136"/>
      <c r="E29" s="138"/>
      <c r="F29" s="136"/>
      <c r="G29" s="47"/>
      <c r="H29" s="47"/>
      <c r="I29" s="47"/>
      <c r="J29" s="47"/>
      <c r="K29" s="60"/>
      <c r="L29" s="190" t="s">
        <v>121</v>
      </c>
      <c r="M29" s="71"/>
      <c r="N29" s="95"/>
      <c r="O29" s="95"/>
      <c r="P29" s="98"/>
      <c r="Q29" s="95"/>
      <c r="R29" s="32"/>
      <c r="S29" s="32"/>
      <c r="T29" s="32"/>
      <c r="U29" s="32"/>
    </row>
    <row r="30" spans="1:21" ht="16.5" x14ac:dyDescent="0.3">
      <c r="A30" s="206" t="s">
        <v>123</v>
      </c>
      <c r="B30" s="115">
        <f>ROUND(C17*('Step 3'!B21+'Step 3'!B23),2)</f>
        <v>0.24</v>
      </c>
      <c r="C30" s="136">
        <f>IF(ROUNDDOWN(D21,-2)=ROUNDUP(D21,-2),VLOOKUP(D21,Enthalpy,22),VLOOKUP(ROUNDDOWN(D21,-2),Enthalpy,22)+(D21-ROUNDDOWN(D21,-2))/(ROUNDUP(D21,-2)-ROUNDDOWN(D21,-2))*(VLOOKUP(ROUNDUP(D21,-2),Enthalpy,22)-VLOOKUP(ROUNDDOWN(D21,-2),Enthalpy,22)))</f>
        <v>12692.5</v>
      </c>
      <c r="D30" s="136">
        <f>(B30*C30)</f>
        <v>3046.2</v>
      </c>
      <c r="E30" s="202">
        <f>IF(ROUNDDOWN(F21,-2)=ROUNDUP(F21,-2),VLOOKUP(F21,Enthalpy,22),VLOOKUP(ROUNDDOWN(F21,-2),Enthalpy,22)+(F21-ROUNDDOWN(F21,-2))/(ROUNDUP(F21,-2)-ROUNDDOWN(F21,-2))*(VLOOKUP(ROUNDUP(F21,-2),Enthalpy,22)-VLOOKUP(ROUNDDOWN(F21,-2),Enthalpy,22)))</f>
        <v>8975.5</v>
      </c>
      <c r="F30" s="136">
        <f>('Step 3'!B21*'Step 3'!C36)</f>
        <v>1238.3755643121688</v>
      </c>
      <c r="G30" s="47"/>
      <c r="H30" s="47"/>
      <c r="I30" s="47"/>
      <c r="J30" s="47"/>
      <c r="K30" s="60"/>
      <c r="L30" s="190" t="s">
        <v>123</v>
      </c>
      <c r="M30" s="71">
        <f>ROUND(N17*('Step 3'!M21+'Step 3'!M23),2)</f>
        <v>0.24</v>
      </c>
      <c r="N30" s="95">
        <f>IF(ROUNDDOWN(O21,-2)=ROUNDUP(O21,-2),VLOOKUP(O21,Enthalpy,22),VLOOKUP(ROUNDDOWN(O21,-2),Enthalpy,22)+(O21-ROUNDDOWN(O21,-2))/(ROUNDUP(O21,-2)-ROUNDDOWN(O21,-2))*(VLOOKUP(ROUNDUP(O21,-2),Enthalpy,22)-VLOOKUP(ROUNDDOWN(O21,-2),Enthalpy,22)))</f>
        <v>12692.5</v>
      </c>
      <c r="O30" s="95">
        <f>(M30*N30)</f>
        <v>3046.2</v>
      </c>
      <c r="P30" s="186">
        <f>IF(ROUNDDOWN(Q21,-2)=ROUNDUP(Q21,-2),VLOOKUP(Q21,Enthalpy,22),VLOOKUP(ROUNDDOWN(Q21,-2),Enthalpy,22)+(Q21-ROUNDDOWN(Q21,-2))/(ROUNDUP(Q21,-2)-ROUNDDOWN(Q21,-2))*(VLOOKUP(ROUNDUP(Q21,-2),Enthalpy,22)-VLOOKUP(ROUNDDOWN(Q21,-2),Enthalpy,22)))</f>
        <v>8975.5</v>
      </c>
      <c r="Q30" s="95">
        <f>('Step 3'!M21*'Step 3'!N36)</f>
        <v>1238.3755643121688</v>
      </c>
      <c r="R30" s="32"/>
      <c r="S30" s="32"/>
      <c r="T30" s="32"/>
      <c r="U30" s="32"/>
    </row>
    <row r="31" spans="1:21" ht="16.5" x14ac:dyDescent="0.3">
      <c r="A31" s="206" t="s">
        <v>125</v>
      </c>
      <c r="B31" s="116">
        <f>ROUND(C18*('Step 3'!B21+'Step 3'!B23),2)</f>
        <v>0.71</v>
      </c>
      <c r="C31" s="136">
        <f>IF(ROUNDDOWN(D21,-2)=ROUNDUP(D21,-2),VLOOKUP(D21,Enthalpy,23),VLOOKUP(ROUNDDOWN(D21,-2),Enthalpy,23)+(D21-ROUNDDOWN(D21,-2))/(ROUNDUP(D21,-2)-ROUNDDOWN(D21,-2))*(VLOOKUP(ROUNDUP(D21,-2),Enthalpy,23)-VLOOKUP(ROUNDDOWN(D21,-2),Enthalpy,23)))</f>
        <v>17542.5</v>
      </c>
      <c r="D31" s="143">
        <f>(B31*C31)</f>
        <v>12455.174999999999</v>
      </c>
      <c r="E31" s="202">
        <f>IF(ROUNDDOWN(F21,-2)=ROUNDUP(F21,-2),VLOOKUP(F21,Enthalpy,23),VLOOKUP(ROUNDDOWN(F21,-2),Enthalpy,23)+(F21-ROUNDDOWN(F21,-2))/(ROUNDUP(F21,-2)-ROUNDDOWN(F21,-2))*(VLOOKUP(ROUNDUP(F21,-2),Enthalpy,23)-VLOOKUP(ROUNDDOWN(F21,-2),Enthalpy,23)))</f>
        <v>12395</v>
      </c>
      <c r="F31" s="143">
        <f>('Step 3'!B23*'Step 3'!C37)</f>
        <v>10084.128385739861</v>
      </c>
      <c r="G31" s="47"/>
      <c r="H31" s="47"/>
      <c r="I31" s="47"/>
      <c r="J31" s="47"/>
      <c r="K31" s="60"/>
      <c r="L31" s="190" t="s">
        <v>125</v>
      </c>
      <c r="M31" s="72">
        <f>ROUND(N18*('Step 3'!M21+'Step 3'!M23),2)</f>
        <v>0.71</v>
      </c>
      <c r="N31" s="95">
        <f>IF(ROUNDDOWN(O21,-2)=ROUNDUP(O21,-2),VLOOKUP(O21,Enthalpy,23),VLOOKUP(ROUNDDOWN(O21,-2),Enthalpy,23)+(O21-ROUNDDOWN(O21,-2))/(ROUNDUP(O21,-2)-ROUNDDOWN(O21,-2))*(VLOOKUP(ROUNDUP(O21,-2),Enthalpy,23)-VLOOKUP(ROUNDDOWN(O21,-2),Enthalpy,23)))</f>
        <v>17542.5</v>
      </c>
      <c r="O31" s="103">
        <f>(M31*N31)</f>
        <v>12455.174999999999</v>
      </c>
      <c r="P31" s="186">
        <f>IF(ROUNDDOWN(Q21,-2)=ROUNDUP(Q21,-2),VLOOKUP(Q21,Enthalpy,23),VLOOKUP(ROUNDDOWN(Q21,-2),Enthalpy,23)+(Q21-ROUNDDOWN(Q21,-2))/(ROUNDUP(Q21,-2)-ROUNDDOWN(Q21,-2))*(VLOOKUP(ROUNDUP(Q21,-2),Enthalpy,23)-VLOOKUP(ROUNDDOWN(Q21,-2),Enthalpy,23)))</f>
        <v>12395</v>
      </c>
      <c r="Q31" s="103">
        <f>('Step 3'!M23*'Step 3'!N37)</f>
        <v>10084.128385739861</v>
      </c>
      <c r="R31" s="32"/>
      <c r="S31" s="32"/>
      <c r="T31" s="32"/>
      <c r="U31" s="32"/>
    </row>
    <row r="32" spans="1:21" x14ac:dyDescent="0.25">
      <c r="A32" s="47"/>
      <c r="B32" s="227">
        <f>SUM(B23:B31)</f>
        <v>1092.1391968454579</v>
      </c>
      <c r="C32" s="228"/>
      <c r="D32" s="229">
        <f>SUM(D23:D31)</f>
        <v>3854897.0086672818</v>
      </c>
      <c r="E32" s="228"/>
      <c r="F32" s="229">
        <f>SUM(F23:F31)</f>
        <v>2741403.2749493164</v>
      </c>
      <c r="G32" s="47"/>
      <c r="H32" s="47"/>
      <c r="I32" s="47"/>
      <c r="J32" s="47"/>
      <c r="K32" s="60"/>
      <c r="L32" s="32"/>
      <c r="M32" s="71">
        <f>SUM(M23:M31)</f>
        <v>1092.1391968454579</v>
      </c>
      <c r="N32" s="218"/>
      <c r="O32" s="193">
        <f>SUM(O23:O31)</f>
        <v>3854897.0086672823</v>
      </c>
      <c r="P32" s="218"/>
      <c r="Q32" s="193">
        <f>SUM(Q23:Q31)</f>
        <v>2741403.2749493169</v>
      </c>
      <c r="R32" s="32"/>
      <c r="S32" s="32"/>
      <c r="T32" s="32"/>
      <c r="U32" s="32"/>
    </row>
    <row r="33" spans="1:21" ht="15.75" thickBot="1" x14ac:dyDescent="0.3">
      <c r="A33" s="47"/>
      <c r="B33" s="49"/>
      <c r="C33" s="49"/>
      <c r="D33" s="47"/>
      <c r="E33" s="47"/>
      <c r="F33" s="47"/>
      <c r="G33" s="47"/>
      <c r="H33" s="47"/>
      <c r="I33" s="47"/>
      <c r="J33" s="47"/>
      <c r="K33" s="60"/>
      <c r="L33" s="32"/>
      <c r="M33" s="34"/>
      <c r="N33" s="34"/>
      <c r="O33" s="32"/>
      <c r="P33" s="32"/>
      <c r="Q33" s="32"/>
      <c r="R33" s="32"/>
      <c r="S33" s="32"/>
      <c r="T33" s="32"/>
      <c r="U33" s="32"/>
    </row>
    <row r="34" spans="1:21" ht="15.75" thickBot="1" x14ac:dyDescent="0.3">
      <c r="A34" s="47"/>
      <c r="B34" s="56" t="s">
        <v>145</v>
      </c>
      <c r="C34" s="172">
        <f>D32-F32</f>
        <v>1113493.7337179654</v>
      </c>
      <c r="D34" s="110" t="s">
        <v>83</v>
      </c>
      <c r="E34" s="47"/>
      <c r="F34" s="47"/>
      <c r="G34" s="47"/>
      <c r="H34" s="47"/>
      <c r="I34" s="47"/>
      <c r="J34" s="47"/>
      <c r="L34" s="32"/>
      <c r="M34" s="41" t="s">
        <v>145</v>
      </c>
      <c r="N34" s="156">
        <f>O32-Q32</f>
        <v>1113493.7337179654</v>
      </c>
      <c r="O34" s="66" t="s">
        <v>83</v>
      </c>
      <c r="P34" s="32"/>
      <c r="Q34" s="32"/>
      <c r="R34" s="32"/>
      <c r="S34" s="32"/>
      <c r="T34" s="32"/>
      <c r="U34" s="32"/>
    </row>
    <row r="35" spans="1:21" x14ac:dyDescent="0.25">
      <c r="A35" s="47"/>
      <c r="B35" s="49"/>
      <c r="C35" s="49"/>
      <c r="D35" s="47"/>
      <c r="E35" s="47"/>
      <c r="F35" s="47"/>
      <c r="G35" s="47"/>
      <c r="H35" s="47"/>
      <c r="I35" s="47"/>
      <c r="J35" s="47"/>
      <c r="L35" s="32"/>
      <c r="M35" s="34"/>
      <c r="N35" s="34"/>
      <c r="O35" s="32"/>
      <c r="P35" s="32"/>
      <c r="Q35" s="32"/>
      <c r="R35" s="32"/>
      <c r="S35" s="32"/>
      <c r="T35" s="32"/>
      <c r="U35" s="32"/>
    </row>
    <row r="37" spans="1:21" x14ac:dyDescent="0.25">
      <c r="A37" s="44" t="s">
        <v>307</v>
      </c>
    </row>
    <row r="38" spans="1:21" x14ac:dyDescent="0.25">
      <c r="A38" s="44" t="s">
        <v>303</v>
      </c>
    </row>
    <row r="39" spans="1:21" x14ac:dyDescent="0.25">
      <c r="A39" s="44" t="s">
        <v>304</v>
      </c>
    </row>
    <row r="40" spans="1:21" x14ac:dyDescent="0.25">
      <c r="A40" s="44" t="s">
        <v>305</v>
      </c>
    </row>
    <row r="41" spans="1:21" x14ac:dyDescent="0.25">
      <c r="A41" s="45" t="s">
        <v>306</v>
      </c>
    </row>
  </sheetData>
  <sheetProtection password="E156" sheet="1" objects="1" scenarios="1"/>
  <mergeCells count="4">
    <mergeCell ref="A6:G6"/>
    <mergeCell ref="L6:R6"/>
    <mergeCell ref="C12:D12"/>
    <mergeCell ref="N12:O12"/>
  </mergeCells>
  <pageMargins left="0.7" right="0.7" top="0.75" bottom="0.75" header="0.51180555555555551" footer="0.51180555555555551"/>
  <pageSetup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5"/>
  <sheetViews>
    <sheetView zoomScaleNormal="100" workbookViewId="0">
      <selection activeCell="D2" sqref="D2"/>
    </sheetView>
  </sheetViews>
  <sheetFormatPr defaultRowHeight="15" x14ac:dyDescent="0.25"/>
  <cols>
    <col min="1" max="1" width="14.85546875" style="230" customWidth="1"/>
    <col min="2" max="2" width="14.140625" style="230" customWidth="1"/>
    <col min="3" max="3" width="15.28515625" style="230" customWidth="1"/>
    <col min="4" max="4" width="15.5703125" style="230" customWidth="1"/>
    <col min="5" max="5" width="15.28515625" style="230" customWidth="1"/>
    <col min="6" max="6" width="12.42578125" style="230" customWidth="1"/>
    <col min="7" max="11" width="9.140625" style="230"/>
    <col min="12" max="12" width="14.85546875" style="230" customWidth="1"/>
    <col min="13" max="13" width="14.140625" style="230" customWidth="1"/>
    <col min="14" max="14" width="15.140625" style="230" customWidth="1"/>
    <col min="15" max="15" width="15.42578125" style="230" customWidth="1"/>
    <col min="16" max="16" width="15.28515625" style="230" customWidth="1"/>
    <col min="17" max="17" width="12" style="230" customWidth="1"/>
    <col min="18" max="21" width="9" style="230" customWidth="1"/>
    <col min="22" max="16384" width="9.140625" style="230"/>
  </cols>
  <sheetData>
    <row r="1" spans="1:21" x14ac:dyDescent="0.25">
      <c r="A1" s="27" t="s">
        <v>298</v>
      </c>
    </row>
    <row r="5" spans="1:21" ht="20.25" x14ac:dyDescent="0.3">
      <c r="A5" s="106" t="s">
        <v>277</v>
      </c>
      <c r="B5" s="49"/>
      <c r="C5" s="49"/>
      <c r="D5" s="47"/>
      <c r="E5" s="47"/>
      <c r="F5" s="47"/>
      <c r="G5" s="47"/>
      <c r="H5" s="47"/>
      <c r="I5" s="47"/>
      <c r="J5" s="47"/>
      <c r="K5" s="60"/>
      <c r="L5" s="231" t="s">
        <v>277</v>
      </c>
      <c r="M5" s="62"/>
      <c r="N5" s="62"/>
      <c r="O5" s="30"/>
      <c r="P5" s="30"/>
      <c r="Q5" s="30"/>
      <c r="R5" s="30"/>
      <c r="S5" s="30"/>
      <c r="T5" s="30"/>
      <c r="U5" s="30"/>
    </row>
    <row r="6" spans="1:21" ht="30" customHeight="1" x14ac:dyDescent="0.25">
      <c r="A6" s="119" t="s">
        <v>146</v>
      </c>
      <c r="B6" s="120"/>
      <c r="C6" s="120"/>
      <c r="D6" s="120"/>
      <c r="E6" s="120"/>
      <c r="F6" s="120"/>
      <c r="G6" s="120"/>
      <c r="H6" s="47"/>
      <c r="I6" s="47"/>
      <c r="J6" s="47"/>
      <c r="K6" s="60"/>
      <c r="L6" s="76" t="s">
        <v>146</v>
      </c>
      <c r="M6" s="75"/>
      <c r="N6" s="75"/>
      <c r="O6" s="75"/>
      <c r="P6" s="75"/>
      <c r="Q6" s="75"/>
      <c r="R6" s="75"/>
      <c r="S6" s="32"/>
      <c r="T6" s="32"/>
      <c r="U6" s="32"/>
    </row>
    <row r="7" spans="1:21" ht="16.5" x14ac:dyDescent="0.3">
      <c r="A7" s="47" t="s">
        <v>297</v>
      </c>
      <c r="B7" s="49"/>
      <c r="C7" s="49"/>
      <c r="D7" s="47"/>
      <c r="E7" s="47"/>
      <c r="F7" s="47"/>
      <c r="G7" s="47"/>
      <c r="H7" s="47"/>
      <c r="I7" s="47"/>
      <c r="J7" s="47"/>
      <c r="K7" s="60"/>
      <c r="L7" s="32" t="s">
        <v>297</v>
      </c>
      <c r="M7" s="34"/>
      <c r="N7" s="34"/>
      <c r="O7" s="32"/>
      <c r="P7" s="32"/>
      <c r="Q7" s="32"/>
      <c r="R7" s="32"/>
      <c r="S7" s="32"/>
      <c r="T7" s="32"/>
      <c r="U7" s="32"/>
    </row>
    <row r="8" spans="1:21" ht="16.5" x14ac:dyDescent="0.3">
      <c r="A8" s="47" t="s">
        <v>147</v>
      </c>
      <c r="B8" s="49"/>
      <c r="C8" s="49"/>
      <c r="D8" s="47"/>
      <c r="E8" s="47"/>
      <c r="F8" s="47"/>
      <c r="G8" s="47"/>
      <c r="H8" s="47"/>
      <c r="I8" s="47"/>
      <c r="J8" s="47"/>
      <c r="K8" s="60"/>
      <c r="L8" s="32" t="s">
        <v>147</v>
      </c>
      <c r="M8" s="34"/>
      <c r="N8" s="34"/>
      <c r="O8" s="32"/>
      <c r="P8" s="32"/>
      <c r="Q8" s="32"/>
      <c r="R8" s="32"/>
      <c r="S8" s="32"/>
      <c r="T8" s="32"/>
      <c r="U8" s="32"/>
    </row>
    <row r="9" spans="1:21" ht="16.5" x14ac:dyDescent="0.3">
      <c r="A9" s="47"/>
      <c r="B9" s="47" t="s">
        <v>148</v>
      </c>
      <c r="C9" s="49"/>
      <c r="D9" s="47"/>
      <c r="E9" s="47"/>
      <c r="F9" s="47"/>
      <c r="G9" s="47"/>
      <c r="H9" s="47"/>
      <c r="I9" s="47"/>
      <c r="J9" s="47"/>
      <c r="K9" s="60"/>
      <c r="L9" s="32"/>
      <c r="M9" s="32" t="s">
        <v>148</v>
      </c>
      <c r="N9" s="34"/>
      <c r="O9" s="32"/>
      <c r="P9" s="32"/>
      <c r="Q9" s="32"/>
      <c r="R9" s="32"/>
      <c r="S9" s="32"/>
      <c r="T9" s="32"/>
      <c r="U9" s="32"/>
    </row>
    <row r="10" spans="1:21" x14ac:dyDescent="0.25">
      <c r="A10" s="47"/>
      <c r="B10" s="47" t="s">
        <v>149</v>
      </c>
      <c r="C10" s="49"/>
      <c r="D10" s="47"/>
      <c r="E10" s="47"/>
      <c r="F10" s="47"/>
      <c r="G10" s="47"/>
      <c r="H10" s="47"/>
      <c r="I10" s="47"/>
      <c r="J10" s="47"/>
      <c r="K10" s="60"/>
      <c r="L10" s="32"/>
      <c r="M10" s="32" t="s">
        <v>149</v>
      </c>
      <c r="N10" s="34"/>
      <c r="O10" s="32"/>
      <c r="P10" s="32"/>
      <c r="Q10" s="32"/>
      <c r="R10" s="32"/>
      <c r="S10" s="32"/>
      <c r="T10" s="32"/>
      <c r="U10" s="32"/>
    </row>
    <row r="11" spans="1:21" x14ac:dyDescent="0.25">
      <c r="A11" s="56" t="s">
        <v>150</v>
      </c>
      <c r="B11" s="49" t="s">
        <v>3</v>
      </c>
      <c r="C11" s="251">
        <v>-46470</v>
      </c>
      <c r="D11" s="47" t="s">
        <v>53</v>
      </c>
      <c r="E11" s="164" t="s">
        <v>231</v>
      </c>
      <c r="F11" s="47"/>
      <c r="G11" s="47"/>
      <c r="H11" s="47"/>
      <c r="I11" s="47"/>
      <c r="J11" s="47"/>
      <c r="K11" s="60"/>
      <c r="L11" s="41" t="s">
        <v>150</v>
      </c>
      <c r="M11" s="34" t="s">
        <v>3</v>
      </c>
      <c r="N11" s="232">
        <v>-46470</v>
      </c>
      <c r="O11" s="32" t="s">
        <v>53</v>
      </c>
      <c r="P11" s="147" t="s">
        <v>231</v>
      </c>
      <c r="Q11" s="32"/>
      <c r="R11" s="32"/>
      <c r="S11" s="32"/>
      <c r="T11" s="32"/>
      <c r="U11" s="32"/>
    </row>
    <row r="12" spans="1:21" x14ac:dyDescent="0.25">
      <c r="A12" s="47"/>
      <c r="B12" s="49"/>
      <c r="C12" s="49"/>
      <c r="D12" s="47"/>
      <c r="E12" s="47"/>
      <c r="F12" s="47"/>
      <c r="G12" s="47"/>
      <c r="H12" s="47"/>
      <c r="I12" s="47"/>
      <c r="J12" s="47"/>
      <c r="K12" s="60"/>
      <c r="L12" s="32"/>
      <c r="M12" s="34"/>
      <c r="N12" s="34"/>
      <c r="O12" s="32"/>
      <c r="P12" s="32"/>
      <c r="Q12" s="32"/>
      <c r="R12" s="32"/>
      <c r="S12" s="32"/>
      <c r="T12" s="32"/>
      <c r="U12" s="32"/>
    </row>
    <row r="13" spans="1:21" x14ac:dyDescent="0.25">
      <c r="A13" s="47"/>
      <c r="B13" s="56" t="str">
        <f>CONCATENATE("Feed Gas @ ", 'Step 4'!D16, "°F")</f>
        <v>Feed Gas @ 475°F</v>
      </c>
      <c r="C13" s="133" t="s">
        <v>151</v>
      </c>
      <c r="D13" s="134"/>
      <c r="E13" s="47"/>
      <c r="F13" s="47"/>
      <c r="G13" s="47"/>
      <c r="H13" s="47"/>
      <c r="I13" s="47"/>
      <c r="J13" s="47"/>
      <c r="K13" s="60"/>
      <c r="L13" s="32"/>
      <c r="M13" s="41" t="str">
        <f>CONCATENATE("Feed Gas @ ", 'Step 4'!O16, "°F")</f>
        <v>Feed Gas @ 475°F</v>
      </c>
      <c r="N13" s="93" t="s">
        <v>151</v>
      </c>
      <c r="O13" s="92"/>
      <c r="P13" s="32"/>
      <c r="Q13" s="32"/>
      <c r="R13" s="32"/>
      <c r="S13" s="32"/>
      <c r="T13" s="32"/>
      <c r="U13" s="32"/>
    </row>
    <row r="14" spans="1:21" x14ac:dyDescent="0.25">
      <c r="A14" s="47"/>
      <c r="B14" s="169" t="s">
        <v>86</v>
      </c>
      <c r="C14" s="252" t="s">
        <v>86</v>
      </c>
      <c r="D14" s="253"/>
      <c r="E14" s="47"/>
      <c r="F14" s="47"/>
      <c r="G14" s="47"/>
      <c r="H14" s="47"/>
      <c r="I14" s="47"/>
      <c r="J14" s="47"/>
      <c r="K14" s="60"/>
      <c r="L14" s="32"/>
      <c r="M14" s="152" t="s">
        <v>86</v>
      </c>
      <c r="N14" s="234" t="s">
        <v>86</v>
      </c>
      <c r="O14" s="233"/>
      <c r="P14" s="32"/>
      <c r="Q14" s="32"/>
      <c r="R14" s="32"/>
      <c r="S14" s="32"/>
      <c r="T14" s="32"/>
      <c r="U14" s="32"/>
    </row>
    <row r="15" spans="1:21" ht="16.5" x14ac:dyDescent="0.3">
      <c r="A15" s="47" t="s">
        <v>41</v>
      </c>
      <c r="B15" s="127">
        <f>'Step 4'!B23</f>
        <v>58.245978026970775</v>
      </c>
      <c r="C15" s="198">
        <f t="shared" ref="C15:C20" si="0">B15</f>
        <v>58.245978026970775</v>
      </c>
      <c r="D15" s="47" t="s">
        <v>152</v>
      </c>
      <c r="E15" s="47"/>
      <c r="F15" s="47"/>
      <c r="G15" s="47"/>
      <c r="H15" s="47"/>
      <c r="I15" s="47"/>
      <c r="J15" s="47"/>
      <c r="K15" s="60"/>
      <c r="L15" s="32" t="s">
        <v>41</v>
      </c>
      <c r="M15" s="87">
        <f>'Step 4'!M23</f>
        <v>58.245978026970761</v>
      </c>
      <c r="N15" s="182">
        <f t="shared" ref="N15:N20" si="1">M15</f>
        <v>58.245978026970761</v>
      </c>
      <c r="O15" s="32" t="s">
        <v>152</v>
      </c>
      <c r="P15" s="32"/>
      <c r="Q15" s="32"/>
      <c r="R15" s="32"/>
      <c r="S15" s="32"/>
      <c r="T15" s="32"/>
      <c r="U15" s="32"/>
    </row>
    <row r="16" spans="1:21" ht="16.5" x14ac:dyDescent="0.3">
      <c r="A16" s="47" t="s">
        <v>44</v>
      </c>
      <c r="B16" s="127">
        <f>'Step 4'!B24</f>
        <v>159.09563336735241</v>
      </c>
      <c r="C16" s="198">
        <f t="shared" si="0"/>
        <v>159.09563336735241</v>
      </c>
      <c r="D16" s="47"/>
      <c r="E16" s="47"/>
      <c r="F16" s="47"/>
      <c r="G16" s="47"/>
      <c r="H16" s="47"/>
      <c r="I16" s="47"/>
      <c r="J16" s="47"/>
      <c r="K16" s="60"/>
      <c r="L16" s="32" t="s">
        <v>44</v>
      </c>
      <c r="M16" s="87">
        <f>'Step 4'!M24</f>
        <v>159.09563336735241</v>
      </c>
      <c r="N16" s="182">
        <f t="shared" si="1"/>
        <v>159.09563336735241</v>
      </c>
      <c r="O16" s="32"/>
      <c r="P16" s="32"/>
      <c r="Q16" s="32"/>
      <c r="R16" s="32"/>
      <c r="S16" s="32"/>
      <c r="T16" s="32"/>
      <c r="U16" s="32"/>
    </row>
    <row r="17" spans="1:21" ht="16.5" x14ac:dyDescent="0.3">
      <c r="A17" s="47" t="s">
        <v>212</v>
      </c>
      <c r="B17" s="127">
        <f>'Step 4'!B25</f>
        <v>16.300223504340146</v>
      </c>
      <c r="C17" s="198">
        <f t="shared" si="0"/>
        <v>16.300223504340146</v>
      </c>
      <c r="D17" s="47"/>
      <c r="E17" s="47"/>
      <c r="F17" s="47"/>
      <c r="G17" s="47"/>
      <c r="H17" s="47"/>
      <c r="I17" s="47"/>
      <c r="J17" s="47"/>
      <c r="K17" s="60"/>
      <c r="L17" s="32" t="s">
        <v>212</v>
      </c>
      <c r="M17" s="87">
        <f>'Step 4'!M25</f>
        <v>16.300223504340146</v>
      </c>
      <c r="N17" s="182">
        <f t="shared" si="1"/>
        <v>16.300223504340146</v>
      </c>
      <c r="O17" s="32"/>
      <c r="P17" s="32"/>
      <c r="Q17" s="32"/>
      <c r="R17" s="32"/>
      <c r="S17" s="32"/>
      <c r="T17" s="32"/>
      <c r="U17" s="32"/>
    </row>
    <row r="18" spans="1:21" ht="16.5" x14ac:dyDescent="0.3">
      <c r="A18" s="47" t="s">
        <v>47</v>
      </c>
      <c r="B18" s="127">
        <f>'Step 4'!B26</f>
        <v>276.44480003921916</v>
      </c>
      <c r="C18" s="198">
        <f t="shared" si="0"/>
        <v>276.44480003921916</v>
      </c>
      <c r="D18" s="47" t="s">
        <v>153</v>
      </c>
      <c r="E18" s="47"/>
      <c r="F18" s="47"/>
      <c r="G18" s="47"/>
      <c r="H18" s="47"/>
      <c r="I18" s="47"/>
      <c r="J18" s="47"/>
      <c r="K18" s="60"/>
      <c r="L18" s="32" t="s">
        <v>47</v>
      </c>
      <c r="M18" s="87">
        <f>'Step 4'!M26</f>
        <v>276.44480003921922</v>
      </c>
      <c r="N18" s="182">
        <f t="shared" si="1"/>
        <v>276.44480003921922</v>
      </c>
      <c r="O18" s="32" t="s">
        <v>153</v>
      </c>
      <c r="P18" s="32"/>
      <c r="Q18" s="32"/>
      <c r="R18" s="32"/>
      <c r="S18" s="32"/>
      <c r="T18" s="32"/>
      <c r="U18" s="32"/>
    </row>
    <row r="19" spans="1:21" ht="16.5" x14ac:dyDescent="0.3">
      <c r="A19" s="47" t="s">
        <v>67</v>
      </c>
      <c r="B19" s="127">
        <f>'Step 4'!B27</f>
        <v>29.122989013485387</v>
      </c>
      <c r="C19" s="198">
        <f t="shared" si="0"/>
        <v>29.122989013485387</v>
      </c>
      <c r="D19" s="47" t="s">
        <v>154</v>
      </c>
      <c r="E19" s="47"/>
      <c r="F19" s="47"/>
      <c r="G19" s="47"/>
      <c r="H19" s="47"/>
      <c r="I19" s="47"/>
      <c r="J19" s="47"/>
      <c r="K19" s="60"/>
      <c r="L19" s="32" t="s">
        <v>67</v>
      </c>
      <c r="M19" s="87">
        <f>'Step 4'!M27</f>
        <v>29.12298901348538</v>
      </c>
      <c r="N19" s="182">
        <f t="shared" si="1"/>
        <v>29.12298901348538</v>
      </c>
      <c r="O19" s="32" t="s">
        <v>154</v>
      </c>
      <c r="P19" s="32"/>
      <c r="Q19" s="32"/>
      <c r="R19" s="32"/>
      <c r="S19" s="32"/>
      <c r="T19" s="32"/>
      <c r="U19" s="32"/>
    </row>
    <row r="20" spans="1:21" ht="16.5" x14ac:dyDescent="0.3">
      <c r="A20" s="47" t="s">
        <v>68</v>
      </c>
      <c r="B20" s="127">
        <f>'Step 4'!B28</f>
        <v>551.97957289408987</v>
      </c>
      <c r="C20" s="198">
        <f t="shared" si="0"/>
        <v>551.97957289408987</v>
      </c>
      <c r="D20" s="47"/>
      <c r="E20" s="47"/>
      <c r="F20" s="47"/>
      <c r="G20" s="47"/>
      <c r="H20" s="47"/>
      <c r="I20" s="47"/>
      <c r="J20" s="47"/>
      <c r="K20" s="60"/>
      <c r="L20" s="32" t="s">
        <v>68</v>
      </c>
      <c r="M20" s="87">
        <f>'Step 4'!M28</f>
        <v>551.97957289408987</v>
      </c>
      <c r="N20" s="182">
        <f t="shared" si="1"/>
        <v>551.97957289408987</v>
      </c>
      <c r="O20" s="32"/>
      <c r="P20" s="32"/>
      <c r="Q20" s="32"/>
      <c r="R20" s="32"/>
      <c r="S20" s="32"/>
      <c r="T20" s="32"/>
      <c r="U20" s="32"/>
    </row>
    <row r="21" spans="1:21" ht="16.5" x14ac:dyDescent="0.3">
      <c r="A21" s="47" t="s">
        <v>71</v>
      </c>
      <c r="B21" s="127">
        <f>'Step 4'!B30</f>
        <v>0.24</v>
      </c>
      <c r="C21" s="47"/>
      <c r="D21" s="47"/>
      <c r="E21" s="47"/>
      <c r="F21" s="47"/>
      <c r="G21" s="47"/>
      <c r="H21" s="47"/>
      <c r="I21" s="47"/>
      <c r="J21" s="47"/>
      <c r="K21" s="60"/>
      <c r="L21" s="32" t="s">
        <v>71</v>
      </c>
      <c r="M21" s="87">
        <f>'Step 4'!M30</f>
        <v>0.24</v>
      </c>
      <c r="N21" s="32"/>
      <c r="O21" s="32"/>
      <c r="P21" s="32"/>
      <c r="Q21" s="32"/>
      <c r="R21" s="32"/>
      <c r="S21" s="32"/>
      <c r="T21" s="32"/>
      <c r="U21" s="32"/>
    </row>
    <row r="22" spans="1:21" ht="16.5" x14ac:dyDescent="0.3">
      <c r="A22" s="47" t="s">
        <v>72</v>
      </c>
      <c r="B22" s="254">
        <f>'Step 4'!B31</f>
        <v>0.71</v>
      </c>
      <c r="C22" s="255">
        <f>(B22+B21*6/8)</f>
        <v>0.8899999999999999</v>
      </c>
      <c r="D22" s="111" t="s">
        <v>155</v>
      </c>
      <c r="E22" s="47"/>
      <c r="F22" s="47"/>
      <c r="G22" s="47"/>
      <c r="H22" s="47"/>
      <c r="I22" s="47"/>
      <c r="J22" s="47"/>
      <c r="K22" s="60"/>
      <c r="L22" s="32" t="s">
        <v>72</v>
      </c>
      <c r="M22" s="235">
        <f>'Step 4'!M31</f>
        <v>0.71</v>
      </c>
      <c r="N22" s="236">
        <f>(M22+M21*6/8)</f>
        <v>0.8899999999999999</v>
      </c>
      <c r="O22" s="67" t="s">
        <v>155</v>
      </c>
      <c r="P22" s="32"/>
      <c r="Q22" s="32"/>
      <c r="R22" s="32"/>
      <c r="S22" s="32"/>
      <c r="T22" s="32"/>
      <c r="U22" s="32"/>
    </row>
    <row r="23" spans="1:21" x14ac:dyDescent="0.25">
      <c r="A23" s="47"/>
      <c r="B23" s="127">
        <f>SUM(B15:B22)</f>
        <v>1092.1391968454579</v>
      </c>
      <c r="C23" s="198">
        <f>SUM(C15:C22)</f>
        <v>1092.079196845458</v>
      </c>
      <c r="D23" s="47" t="s">
        <v>156</v>
      </c>
      <c r="E23" s="47"/>
      <c r="F23" s="47"/>
      <c r="G23" s="47"/>
      <c r="H23" s="47"/>
      <c r="I23" s="47"/>
      <c r="J23" s="47"/>
      <c r="K23" s="60"/>
      <c r="L23" s="32"/>
      <c r="M23" s="87">
        <f>SUM(M15:M22)</f>
        <v>1092.1391968454579</v>
      </c>
      <c r="N23" s="182">
        <f>SUM(N15:N22)</f>
        <v>1092.079196845458</v>
      </c>
      <c r="O23" s="32" t="s">
        <v>156</v>
      </c>
      <c r="P23" s="32"/>
      <c r="Q23" s="32"/>
      <c r="R23" s="32"/>
      <c r="S23" s="32"/>
      <c r="T23" s="32"/>
      <c r="U23" s="32"/>
    </row>
    <row r="24" spans="1:21" x14ac:dyDescent="0.25">
      <c r="A24" s="47"/>
      <c r="B24" s="49"/>
      <c r="C24" s="49"/>
      <c r="D24" s="47"/>
      <c r="E24" s="47"/>
      <c r="F24" s="47"/>
      <c r="G24" s="47"/>
      <c r="H24" s="47"/>
      <c r="I24" s="47"/>
      <c r="J24" s="47"/>
      <c r="K24" s="60"/>
      <c r="L24" s="32"/>
      <c r="M24" s="34"/>
      <c r="N24" s="34"/>
      <c r="O24" s="32"/>
      <c r="P24" s="32"/>
      <c r="Q24" s="32"/>
      <c r="R24" s="32"/>
      <c r="S24" s="32"/>
      <c r="T24" s="32"/>
      <c r="U24" s="32"/>
    </row>
    <row r="25" spans="1:21" x14ac:dyDescent="0.25">
      <c r="A25" s="47" t="s">
        <v>78</v>
      </c>
      <c r="B25" s="49"/>
      <c r="C25" s="49"/>
      <c r="D25" s="47"/>
      <c r="E25" s="47"/>
      <c r="F25" s="47"/>
      <c r="G25" s="47"/>
      <c r="H25" s="47"/>
      <c r="I25" s="47"/>
      <c r="J25" s="47"/>
      <c r="K25" s="60"/>
      <c r="L25" s="32" t="s">
        <v>78</v>
      </c>
      <c r="M25" s="34"/>
      <c r="N25" s="34"/>
      <c r="O25" s="32"/>
      <c r="P25" s="32"/>
      <c r="Q25" s="32"/>
      <c r="R25" s="32"/>
      <c r="S25" s="32"/>
      <c r="T25" s="32"/>
      <c r="U25" s="32"/>
    </row>
    <row r="26" spans="1:21" ht="18.75" x14ac:dyDescent="0.3">
      <c r="A26" s="47" t="s">
        <v>232</v>
      </c>
      <c r="B26" s="49"/>
      <c r="C26" s="49"/>
      <c r="D26" s="47"/>
      <c r="E26" s="47"/>
      <c r="F26" s="47"/>
      <c r="G26" s="47"/>
      <c r="H26" s="47"/>
      <c r="I26" s="47"/>
      <c r="J26" s="47"/>
      <c r="K26" s="60"/>
      <c r="L26" s="32" t="s">
        <v>232</v>
      </c>
      <c r="M26" s="34"/>
      <c r="N26" s="34"/>
      <c r="O26" s="32"/>
      <c r="P26" s="32"/>
      <c r="Q26" s="32"/>
      <c r="R26" s="32"/>
      <c r="S26" s="32"/>
      <c r="T26" s="32"/>
      <c r="U26" s="32"/>
    </row>
    <row r="27" spans="1:21" x14ac:dyDescent="0.25">
      <c r="A27" s="110" t="str">
        <f>CONCATENATE("= ( [",ROUND(C18,2)," + y]^2[",ROUND(C22,2)," + 3/16 y]^3/8 ) / ( [",ROUND(C15,2)," - y]^2[",ROUND(C19,2)," - 1/2 y] ) * ( ",ROUND('Step 4'!B11 *0.068,1)," / [",ROUND(C23,2)," - .3125 y] )^-5/8")</f>
        <v>= ( [276.44 + y]^2[0.89 + 3/16 y]^3/8 ) / ( [58.25 - y]^2[29.12 - 1/2 y] ) * ( 1.2 / [1092.08 - .3125 y] )^-5/8</v>
      </c>
      <c r="B27" s="110"/>
      <c r="C27" s="49"/>
      <c r="D27" s="47"/>
      <c r="E27" s="47"/>
      <c r="F27" s="47"/>
      <c r="G27" s="47"/>
      <c r="H27" s="47"/>
      <c r="I27" s="47"/>
      <c r="J27" s="47"/>
      <c r="K27" s="60"/>
      <c r="L27" s="66" t="str">
        <f>CONCATENATE("= ( [",ROUND(N18,2)," + y]^2[",ROUND(N22,2)," + 3/16 y]^3/8 ) / ( [",ROUND(N15,2)," - y]^2[",ROUND(N19,2)," - 1/2 y] ) * ( ",ROUND('Step 4'!M11 *0.068,1)," / [",ROUND(N23,2)," - .3125 y] )^-5/8")</f>
        <v>= ( [276.44 + y]^2[0.89 + 3/16 y]^3/8 ) / ( [58.25 - y]^2[29.12 - 1/2 y] ) * ( 1.2 / [1092.08 - .3125 y] )^-5/8</v>
      </c>
      <c r="M27" s="66"/>
      <c r="N27" s="34"/>
      <c r="O27" s="32"/>
      <c r="P27" s="32"/>
      <c r="Q27" s="32"/>
      <c r="R27" s="32"/>
      <c r="S27" s="32"/>
      <c r="T27" s="32"/>
      <c r="U27" s="32"/>
    </row>
    <row r="28" spans="1:21" x14ac:dyDescent="0.25">
      <c r="A28" s="110" t="s">
        <v>254</v>
      </c>
      <c r="B28" s="110"/>
      <c r="C28" s="49"/>
      <c r="D28" s="47"/>
      <c r="E28" s="47"/>
      <c r="F28" s="47"/>
      <c r="G28" s="47"/>
      <c r="H28" s="47"/>
      <c r="I28" s="47"/>
      <c r="J28" s="47"/>
      <c r="K28" s="60"/>
      <c r="L28" s="66" t="s">
        <v>254</v>
      </c>
      <c r="M28" s="66"/>
      <c r="N28" s="34"/>
      <c r="O28" s="32"/>
      <c r="P28" s="32"/>
      <c r="Q28" s="32"/>
      <c r="R28" s="32"/>
      <c r="S28" s="32"/>
      <c r="T28" s="32"/>
      <c r="U28" s="32"/>
    </row>
    <row r="29" spans="1:21" x14ac:dyDescent="0.25">
      <c r="A29" s="47" t="s">
        <v>291</v>
      </c>
      <c r="B29" s="49"/>
      <c r="C29" s="49"/>
      <c r="D29" s="47"/>
      <c r="E29" s="47"/>
      <c r="F29" s="47"/>
      <c r="G29" s="47"/>
      <c r="H29" s="47"/>
      <c r="I29" s="47"/>
      <c r="J29" s="47"/>
      <c r="K29" s="60"/>
      <c r="L29" s="32" t="s">
        <v>227</v>
      </c>
      <c r="M29" s="34"/>
      <c r="N29" s="34"/>
      <c r="O29" s="32"/>
      <c r="P29" s="32"/>
      <c r="Q29" s="32"/>
      <c r="R29" s="32"/>
      <c r="S29" s="32"/>
      <c r="T29" s="32"/>
      <c r="U29" s="32"/>
    </row>
    <row r="30" spans="1:21" ht="18.75" x14ac:dyDescent="0.3">
      <c r="A30" s="47" t="s">
        <v>157</v>
      </c>
      <c r="B30" s="49"/>
      <c r="C30" s="49"/>
      <c r="D30" s="47"/>
      <c r="E30" s="47"/>
      <c r="F30" s="47"/>
      <c r="G30" s="164" t="s">
        <v>229</v>
      </c>
      <c r="H30" s="47"/>
      <c r="I30" s="47"/>
      <c r="J30" s="47"/>
      <c r="K30" s="60"/>
      <c r="L30" s="32" t="s">
        <v>157</v>
      </c>
      <c r="M30" s="34"/>
      <c r="N30" s="34"/>
      <c r="O30" s="32"/>
      <c r="P30" s="32"/>
      <c r="Q30" s="32"/>
      <c r="R30" s="147" t="s">
        <v>229</v>
      </c>
      <c r="S30" s="32"/>
      <c r="T30" s="32"/>
      <c r="U30" s="32"/>
    </row>
    <row r="31" spans="1:21" x14ac:dyDescent="0.25">
      <c r="A31" s="47"/>
      <c r="B31" s="49"/>
      <c r="C31" s="49"/>
      <c r="D31" s="47"/>
      <c r="E31" s="47"/>
      <c r="F31" s="47"/>
      <c r="G31" s="164"/>
      <c r="H31" s="47"/>
      <c r="I31" s="47"/>
      <c r="J31" s="47"/>
      <c r="K31" s="60"/>
      <c r="L31" s="32"/>
      <c r="M31" s="34"/>
      <c r="N31" s="34"/>
      <c r="O31" s="32"/>
      <c r="P31" s="32"/>
      <c r="Q31" s="32"/>
      <c r="R31" s="147"/>
      <c r="S31" s="32"/>
      <c r="T31" s="32"/>
      <c r="U31" s="32"/>
    </row>
    <row r="32" spans="1:21" ht="60.75" x14ac:dyDescent="0.3">
      <c r="A32" s="47"/>
      <c r="B32" s="256" t="s">
        <v>255</v>
      </c>
      <c r="C32" s="256" t="s">
        <v>80</v>
      </c>
      <c r="D32" s="256" t="s">
        <v>235</v>
      </c>
      <c r="E32" s="256" t="s">
        <v>236</v>
      </c>
      <c r="F32" s="47"/>
      <c r="G32" s="47"/>
      <c r="H32" s="47"/>
      <c r="I32" s="47"/>
      <c r="J32" s="47"/>
      <c r="K32" s="60"/>
      <c r="L32" s="32"/>
      <c r="M32" s="237" t="s">
        <v>255</v>
      </c>
      <c r="N32" s="237" t="s">
        <v>80</v>
      </c>
      <c r="O32" s="237" t="s">
        <v>235</v>
      </c>
      <c r="P32" s="237" t="s">
        <v>236</v>
      </c>
      <c r="Q32" s="32"/>
      <c r="R32" s="32"/>
      <c r="S32" s="32"/>
      <c r="T32" s="32"/>
      <c r="U32" s="32"/>
    </row>
    <row r="33" spans="1:21" x14ac:dyDescent="0.25">
      <c r="A33" s="47"/>
      <c r="B33" s="257">
        <v>39.840159892615105</v>
      </c>
      <c r="C33" s="202">
        <f>( (C18+B33)^2 * (C22+3/16*B33)^(3/8) ) / ( (C15-B33)^2 * (C19-B33/2) ) * ('Step 4'!B11 *0.068 / (C23-0.3125*B33) )^(-5/8)</f>
        <v>5002.4501934868713</v>
      </c>
      <c r="D33" s="258">
        <v>585</v>
      </c>
      <c r="E33" s="259">
        <f>1143-90.19*LN(C33)+3.108*LN(C33)^2-0.04539*LN(C33)^3</f>
        <v>572.22896959615525</v>
      </c>
      <c r="F33" s="130" t="s">
        <v>256</v>
      </c>
      <c r="G33" s="121"/>
      <c r="H33" s="121"/>
      <c r="I33" s="121"/>
      <c r="J33" s="47"/>
      <c r="K33" s="60"/>
      <c r="L33" s="32"/>
      <c r="M33" s="238">
        <v>39.840159822955563</v>
      </c>
      <c r="N33" s="186">
        <f>( (N18+M33)^2 * (N22+3/16*M33)^(3/8) ) / ( (N15-M33)^2 * (N19-M33/2) ) * ('Step 4'!M11 *0.068 / (N23-0.3125*M33) )^(-5/8)</f>
        <v>5002.4501316180649</v>
      </c>
      <c r="O33" s="239">
        <v>585</v>
      </c>
      <c r="P33" s="240">
        <f>1143-90.19*LN(N33)+3.108*LN(N33)^2-0.04539*LN(N33)^3</f>
        <v>572.22897017896253</v>
      </c>
      <c r="Q33" s="241" t="s">
        <v>268</v>
      </c>
      <c r="R33" s="77"/>
      <c r="S33" s="77"/>
      <c r="T33" s="77"/>
      <c r="U33" s="32"/>
    </row>
    <row r="34" spans="1:21" x14ac:dyDescent="0.25">
      <c r="A34" s="132" t="s">
        <v>233</v>
      </c>
      <c r="B34" s="49"/>
      <c r="C34" s="49"/>
      <c r="D34" s="47"/>
      <c r="E34" s="47"/>
      <c r="F34" s="121"/>
      <c r="G34" s="121"/>
      <c r="H34" s="121"/>
      <c r="I34" s="121"/>
      <c r="J34" s="47"/>
      <c r="K34" s="60"/>
      <c r="L34" s="91" t="s">
        <v>233</v>
      </c>
      <c r="M34" s="34"/>
      <c r="N34" s="34"/>
      <c r="O34" s="32"/>
      <c r="P34" s="32"/>
      <c r="Q34" s="77"/>
      <c r="R34" s="77"/>
      <c r="S34" s="77"/>
      <c r="T34" s="77"/>
      <c r="U34" s="32"/>
    </row>
    <row r="35" spans="1:21" x14ac:dyDescent="0.25">
      <c r="A35" s="260" t="s">
        <v>82</v>
      </c>
      <c r="B35" s="261">
        <f>ROUND(D54-C58,2)</f>
        <v>0</v>
      </c>
      <c r="C35" s="262" t="s">
        <v>83</v>
      </c>
      <c r="D35" s="263" t="s">
        <v>258</v>
      </c>
      <c r="E35" s="262"/>
      <c r="F35" s="121"/>
      <c r="G35" s="121"/>
      <c r="H35" s="121"/>
      <c r="I35" s="121"/>
      <c r="J35" s="47"/>
      <c r="K35" s="60"/>
      <c r="L35" s="242" t="s">
        <v>82</v>
      </c>
      <c r="M35" s="243">
        <f>ROUND(O54-N58,2)</f>
        <v>0.01</v>
      </c>
      <c r="N35" s="244" t="s">
        <v>83</v>
      </c>
      <c r="O35" s="245" t="s">
        <v>258</v>
      </c>
      <c r="P35" s="244"/>
      <c r="Q35" s="77"/>
      <c r="R35" s="77"/>
      <c r="S35" s="77"/>
      <c r="T35" s="77"/>
      <c r="U35" s="32"/>
    </row>
    <row r="36" spans="1:21" x14ac:dyDescent="0.25">
      <c r="A36" s="260"/>
      <c r="B36" s="261"/>
      <c r="C36" s="262"/>
      <c r="D36" s="263"/>
      <c r="E36" s="262"/>
      <c r="F36" s="121"/>
      <c r="G36" s="121"/>
      <c r="H36" s="121"/>
      <c r="I36" s="121"/>
      <c r="J36" s="47"/>
      <c r="K36" s="60"/>
      <c r="L36" s="242"/>
      <c r="M36" s="243"/>
      <c r="N36" s="244"/>
      <c r="O36" s="245"/>
      <c r="P36" s="244"/>
      <c r="Q36" s="77"/>
      <c r="R36" s="77"/>
      <c r="S36" s="77"/>
      <c r="T36" s="77"/>
      <c r="U36" s="32"/>
    </row>
    <row r="37" spans="1:21" x14ac:dyDescent="0.25">
      <c r="A37" s="264" t="s">
        <v>158</v>
      </c>
      <c r="B37" s="264"/>
      <c r="C37" s="265"/>
      <c r="D37" s="47"/>
      <c r="E37" s="47"/>
      <c r="F37" s="121"/>
      <c r="G37" s="121"/>
      <c r="H37" s="121"/>
      <c r="I37" s="121"/>
      <c r="J37" s="47"/>
      <c r="K37" s="60"/>
      <c r="L37" s="246" t="s">
        <v>158</v>
      </c>
      <c r="M37" s="246"/>
      <c r="N37" s="62"/>
      <c r="O37" s="32"/>
      <c r="P37" s="32"/>
      <c r="Q37" s="77"/>
      <c r="R37" s="77"/>
      <c r="S37" s="77"/>
      <c r="T37" s="77"/>
      <c r="U37" s="32"/>
    </row>
    <row r="38" spans="1:21" ht="16.5" x14ac:dyDescent="0.3">
      <c r="A38" s="264"/>
      <c r="B38" s="196">
        <v>0.35</v>
      </c>
      <c r="C38" s="47" t="s">
        <v>143</v>
      </c>
      <c r="D38" s="47"/>
      <c r="E38" s="47"/>
      <c r="F38" s="121"/>
      <c r="G38" s="121"/>
      <c r="H38" s="121"/>
      <c r="I38" s="121"/>
      <c r="J38" s="47"/>
      <c r="K38" s="60"/>
      <c r="L38" s="246"/>
      <c r="M38" s="180">
        <v>0.35</v>
      </c>
      <c r="N38" s="32" t="s">
        <v>143</v>
      </c>
      <c r="O38" s="32"/>
      <c r="P38" s="32"/>
      <c r="Q38" s="77"/>
      <c r="R38" s="77"/>
      <c r="S38" s="77"/>
      <c r="T38" s="77"/>
      <c r="U38" s="32"/>
    </row>
    <row r="39" spans="1:21" ht="16.5" x14ac:dyDescent="0.3">
      <c r="A39" s="266"/>
      <c r="B39" s="197">
        <v>0.65</v>
      </c>
      <c r="C39" s="47" t="s">
        <v>144</v>
      </c>
      <c r="D39" s="47"/>
      <c r="E39" s="47"/>
      <c r="F39" s="121"/>
      <c r="G39" s="121"/>
      <c r="H39" s="121"/>
      <c r="I39" s="121"/>
      <c r="J39" s="47"/>
      <c r="K39" s="60"/>
      <c r="L39" s="247"/>
      <c r="M39" s="181">
        <v>0.65</v>
      </c>
      <c r="N39" s="32" t="s">
        <v>144</v>
      </c>
      <c r="O39" s="32"/>
      <c r="P39" s="32"/>
      <c r="Q39" s="77"/>
      <c r="R39" s="77"/>
      <c r="S39" s="77"/>
      <c r="T39" s="77"/>
      <c r="U39" s="32"/>
    </row>
    <row r="40" spans="1:21" x14ac:dyDescent="0.25">
      <c r="A40" s="47"/>
      <c r="B40" s="198">
        <f>SUM(B38:B39)</f>
        <v>1</v>
      </c>
      <c r="C40" s="47"/>
      <c r="D40" s="47"/>
      <c r="E40" s="47"/>
      <c r="F40" s="121"/>
      <c r="G40" s="121"/>
      <c r="H40" s="121"/>
      <c r="I40" s="121"/>
      <c r="J40" s="47"/>
      <c r="K40" s="60"/>
      <c r="L40" s="32"/>
      <c r="M40" s="182">
        <f>SUM(M38:M39)</f>
        <v>1</v>
      </c>
      <c r="N40" s="32"/>
      <c r="O40" s="32"/>
      <c r="P40" s="32"/>
      <c r="Q40" s="77"/>
      <c r="R40" s="77"/>
      <c r="S40" s="77"/>
      <c r="T40" s="77"/>
      <c r="U40" s="32"/>
    </row>
    <row r="41" spans="1:21" x14ac:dyDescent="0.25">
      <c r="A41" s="267" t="s">
        <v>159</v>
      </c>
      <c r="B41" s="268"/>
      <c r="C41" s="268"/>
      <c r="D41" s="268"/>
      <c r="E41" s="268"/>
      <c r="F41" s="268"/>
      <c r="G41" s="268"/>
      <c r="H41" s="47"/>
      <c r="I41" s="47"/>
      <c r="J41" s="47"/>
      <c r="K41" s="60"/>
      <c r="L41" s="249" t="s">
        <v>159</v>
      </c>
      <c r="M41" s="248"/>
      <c r="N41" s="248"/>
      <c r="O41" s="248"/>
      <c r="P41" s="248"/>
      <c r="Q41" s="248"/>
      <c r="R41" s="248"/>
      <c r="S41" s="32"/>
      <c r="T41" s="32"/>
      <c r="U41" s="32"/>
    </row>
    <row r="42" spans="1:21" x14ac:dyDescent="0.25">
      <c r="A42" s="56"/>
      <c r="B42" s="110"/>
      <c r="C42" s="49"/>
      <c r="D42" s="47"/>
      <c r="E42" s="47"/>
      <c r="F42" s="47"/>
      <c r="G42" s="47"/>
      <c r="H42" s="47"/>
      <c r="I42" s="47"/>
      <c r="J42" s="47"/>
      <c r="K42" s="60"/>
      <c r="L42" s="41"/>
      <c r="M42" s="66"/>
      <c r="N42" s="34"/>
      <c r="O42" s="32"/>
      <c r="P42" s="32"/>
      <c r="Q42" s="32"/>
      <c r="R42" s="32"/>
      <c r="S42" s="32"/>
      <c r="T42" s="32"/>
      <c r="U42" s="32"/>
    </row>
    <row r="43" spans="1:21" ht="15" customHeight="1" x14ac:dyDescent="0.25">
      <c r="A43" s="47"/>
      <c r="B43" s="56" t="s">
        <v>160</v>
      </c>
      <c r="C43" s="50" t="s">
        <v>85</v>
      </c>
      <c r="D43" s="143">
        <f>E33</f>
        <v>572.22896959615525</v>
      </c>
      <c r="E43" s="47" t="s">
        <v>32</v>
      </c>
      <c r="F43" s="47"/>
      <c r="G43" s="47"/>
      <c r="H43" s="47"/>
      <c r="I43" s="47"/>
      <c r="J43" s="47"/>
      <c r="K43" s="60"/>
      <c r="L43" s="32"/>
      <c r="M43" s="41" t="s">
        <v>160</v>
      </c>
      <c r="N43" s="35" t="s">
        <v>85</v>
      </c>
      <c r="O43" s="103">
        <f>P33</f>
        <v>572.22897017896253</v>
      </c>
      <c r="P43" s="32" t="s">
        <v>32</v>
      </c>
      <c r="Q43" s="32"/>
      <c r="R43" s="32"/>
      <c r="S43" s="32"/>
      <c r="T43" s="32"/>
      <c r="U43" s="32"/>
    </row>
    <row r="44" spans="1:21" x14ac:dyDescent="0.25">
      <c r="A44" s="47"/>
      <c r="B44" s="50" t="s">
        <v>86</v>
      </c>
      <c r="C44" s="50" t="s">
        <v>87</v>
      </c>
      <c r="D44" s="50" t="s">
        <v>83</v>
      </c>
      <c r="E44" s="47"/>
      <c r="F44" s="47"/>
      <c r="G44" s="47"/>
      <c r="H44" s="47"/>
      <c r="I44" s="47"/>
      <c r="J44" s="47"/>
      <c r="K44" s="60"/>
      <c r="L44" s="32"/>
      <c r="M44" s="35" t="s">
        <v>86</v>
      </c>
      <c r="N44" s="35" t="s">
        <v>87</v>
      </c>
      <c r="O44" s="35" t="s">
        <v>83</v>
      </c>
      <c r="P44" s="32"/>
      <c r="Q44" s="32"/>
      <c r="R44" s="32"/>
      <c r="S44" s="32"/>
      <c r="T44" s="32"/>
      <c r="U44" s="32"/>
    </row>
    <row r="45" spans="1:21" ht="16.5" x14ac:dyDescent="0.3">
      <c r="A45" s="47" t="s">
        <v>41</v>
      </c>
      <c r="B45" s="115">
        <f>C15-B33</f>
        <v>18.40581813435567</v>
      </c>
      <c r="C45" s="136">
        <f>IF(ROUNDDOWN(D43,-2)=ROUNDUP(D43,-2),VLOOKUP(D43,Enthalpy,19),VLOOKUP(ROUNDDOWN(D43,-2),Enthalpy,19)+(D43-ROUNDDOWN(D43,-2))/(ROUNDUP(D43,-2)-ROUNDDOWN(D43,-2))*(VLOOKUP(ROUNDUP(D43,-2),Enthalpy,19)-VLOOKUP(ROUNDDOWN(D43,-2),Enthalpy,19)))</f>
        <v>4578.0059130209747</v>
      </c>
      <c r="D45" s="136">
        <f t="shared" ref="D45:D50" si="2">(B45*C45)</f>
        <v>84261.944253068941</v>
      </c>
      <c r="E45" s="47"/>
      <c r="F45" s="47"/>
      <c r="G45" s="47"/>
      <c r="H45" s="47"/>
      <c r="I45" s="47"/>
      <c r="J45" s="47"/>
      <c r="K45" s="60"/>
      <c r="L45" s="32" t="s">
        <v>41</v>
      </c>
      <c r="M45" s="71">
        <f>N15-M33</f>
        <v>18.405818204015198</v>
      </c>
      <c r="N45" s="95">
        <f>IF(ROUNDDOWN(O43,-2)=ROUNDUP(O43,-2),VLOOKUP(O43,Enthalpy,19),VLOOKUP(ROUNDDOWN(O43,-2),Enthalpy,19)+(O43-ROUNDDOWN(O43,-2))/(ROUNDUP(O43,-2)-ROUNDDOWN(O43,-2))*(VLOOKUP(ROUNDUP(O43,-2),Enthalpy,19)-VLOOKUP(ROUNDDOWN(O43,-2),Enthalpy,19)))</f>
        <v>4578.0059183303483</v>
      </c>
      <c r="O45" s="95">
        <f t="shared" ref="O45:O50" si="3">(M45*N45)</f>
        <v>84261.944669694043</v>
      </c>
      <c r="P45" s="32"/>
      <c r="Q45" s="32"/>
      <c r="R45" s="32"/>
      <c r="S45" s="32"/>
      <c r="T45" s="32"/>
      <c r="U45" s="32"/>
    </row>
    <row r="46" spans="1:21" ht="16.5" x14ac:dyDescent="0.3">
      <c r="A46" s="47" t="s">
        <v>44</v>
      </c>
      <c r="B46" s="115">
        <f>C16</f>
        <v>159.09563336735241</v>
      </c>
      <c r="C46" s="136">
        <f>IF(ROUNDDOWN(D43,-2)=ROUNDUP(D43,-2),VLOOKUP(D43,Enthalpy,14),VLOOKUP(ROUNDDOWN(D43,-2),Enthalpy,14)+(D43-ROUNDDOWN(D43,-2))/(ROUNDUP(D43,-2)-ROUNDDOWN(D43,-2))*(VLOOKUP(ROUNDUP(D43,-2),Enthalpy,14)-VLOOKUP(ROUNDDOWN(D43,-2),Enthalpy,14)))</f>
        <v>5430.2409552536692</v>
      </c>
      <c r="D46" s="136">
        <f t="shared" si="2"/>
        <v>863927.62411341921</v>
      </c>
      <c r="E46" s="47"/>
      <c r="F46" s="47"/>
      <c r="G46" s="47"/>
      <c r="H46" s="47"/>
      <c r="I46" s="47"/>
      <c r="J46" s="47"/>
      <c r="K46" s="60"/>
      <c r="L46" s="32" t="s">
        <v>44</v>
      </c>
      <c r="M46" s="71">
        <f>N16</f>
        <v>159.09563336735241</v>
      </c>
      <c r="N46" s="95">
        <f>IF(ROUNDDOWN(O43,-2)=ROUNDUP(O43,-2),VLOOKUP(O43,Enthalpy,14),VLOOKUP(ROUNDDOWN(O43,-2),Enthalpy,14)+(O43-ROUNDDOWN(O43,-2))/(ROUNDUP(O43,-2)-ROUNDDOWN(O43,-2))*(VLOOKUP(ROUNDUP(O43,-2),Enthalpy,14)-VLOOKUP(ROUNDDOWN(O43,-2),Enthalpy,14)))</f>
        <v>5430.2409616703771</v>
      </c>
      <c r="O46" s="95">
        <f t="shared" si="3"/>
        <v>863927.6251342895</v>
      </c>
      <c r="P46" s="32"/>
      <c r="Q46" s="32"/>
      <c r="R46" s="32"/>
      <c r="S46" s="32"/>
      <c r="T46" s="32"/>
      <c r="U46" s="32"/>
    </row>
    <row r="47" spans="1:21" ht="16.5" x14ac:dyDescent="0.3">
      <c r="A47" s="47" t="s">
        <v>212</v>
      </c>
      <c r="B47" s="115">
        <f>C17</f>
        <v>16.300223504340146</v>
      </c>
      <c r="C47" s="136">
        <f>IF(ROUNDDOWN(D43,-2)=ROUNDUP(D43,-2),VLOOKUP(D43,Enthalpy,12),VLOOKUP(ROUNDDOWN(D43,-2),Enthalpy,12)+(D43-ROUNDDOWN(D43,-2))/(ROUNDUP(D43,-2)-ROUNDDOWN(D43,-2))*(VLOOKUP(ROUNDUP(D43,-2),Enthalpy,12)-VLOOKUP(ROUNDDOWN(D43,-2),Enthalpy,12)))</f>
        <v>3762.991338693279</v>
      </c>
      <c r="D47" s="136">
        <f t="shared" si="2"/>
        <v>61337.599865596574</v>
      </c>
      <c r="E47" s="47"/>
      <c r="F47" s="47"/>
      <c r="G47" s="47"/>
      <c r="H47" s="47"/>
      <c r="I47" s="47"/>
      <c r="J47" s="47"/>
      <c r="K47" s="60"/>
      <c r="L47" s="32" t="s">
        <v>212</v>
      </c>
      <c r="M47" s="71">
        <f>N17</f>
        <v>16.300223504340146</v>
      </c>
      <c r="N47" s="95">
        <f>IF(ROUNDDOWN(O43,-2)=ROUNDUP(O43,-2),VLOOKUP(O43,Enthalpy,12),VLOOKUP(ROUNDDOWN(O43,-2),Enthalpy,12)+(O43-ROUNDDOWN(O43,-2))/(ROUNDUP(O43,-2)-ROUNDDOWN(O43,-2))*(VLOOKUP(ROUNDUP(O43,-2),Enthalpy,12)-VLOOKUP(ROUNDDOWN(O43,-2),Enthalpy,12)))</f>
        <v>3762.9913427437896</v>
      </c>
      <c r="O47" s="95">
        <f t="shared" si="3"/>
        <v>61337.599931620804</v>
      </c>
      <c r="P47" s="32"/>
      <c r="Q47" s="32"/>
      <c r="R47" s="32"/>
      <c r="S47" s="32"/>
      <c r="T47" s="32"/>
      <c r="U47" s="32"/>
    </row>
    <row r="48" spans="1:21" ht="16.5" x14ac:dyDescent="0.3">
      <c r="A48" s="47" t="s">
        <v>47</v>
      </c>
      <c r="B48" s="115">
        <f>C18+B33</f>
        <v>316.28495993183424</v>
      </c>
      <c r="C48" s="136">
        <f>IF(ROUNDDOWN(D43,-2)=ROUNDUP(D43,-2),VLOOKUP(D43,Enthalpy,15),VLOOKUP(ROUNDDOWN(D43,-2),Enthalpy,15)+(D43-ROUNDDOWN(D43,-2))/(ROUNDUP(D43,-2)-ROUNDDOWN(D43,-2))*(VLOOKUP(ROUNDUP(D43,-2),Enthalpy,15)-VLOOKUP(ROUNDDOWN(D43,-2),Enthalpy,15)))</f>
        <v>4549.891428222897</v>
      </c>
      <c r="D48" s="136">
        <f t="shared" si="2"/>
        <v>1439062.2280696752</v>
      </c>
      <c r="E48" s="47"/>
      <c r="F48" s="47"/>
      <c r="G48" s="47"/>
      <c r="H48" s="47"/>
      <c r="I48" s="47"/>
      <c r="J48" s="47"/>
      <c r="K48" s="60"/>
      <c r="L48" s="32" t="s">
        <v>47</v>
      </c>
      <c r="M48" s="71">
        <f>N18+M33</f>
        <v>316.28495986217479</v>
      </c>
      <c r="N48" s="95">
        <f>IF(ROUNDDOWN(O43,-2)=ROUNDUP(O43,-2),VLOOKUP(O43,Enthalpy,15),VLOOKUP(ROUNDDOWN(O43,-2),Enthalpy,15)+(O43-ROUNDDOWN(O43,-2))/(ROUNDUP(O43,-2)-ROUNDDOWN(O43,-2))*(VLOOKUP(ROUNDUP(O43,-2),Enthalpy,15)-VLOOKUP(ROUNDDOWN(O43,-2),Enthalpy,15)))</f>
        <v>4549.8914332408676</v>
      </c>
      <c r="O48" s="95">
        <f t="shared" si="3"/>
        <v>1439062.2293398408</v>
      </c>
      <c r="P48" s="32"/>
      <c r="Q48" s="32"/>
      <c r="R48" s="32"/>
      <c r="S48" s="32"/>
      <c r="T48" s="32"/>
      <c r="U48" s="32"/>
    </row>
    <row r="49" spans="1:21" ht="16.5" x14ac:dyDescent="0.3">
      <c r="A49" s="47" t="s">
        <v>67</v>
      </c>
      <c r="B49" s="115">
        <f>C19-B33/2</f>
        <v>9.2029090671778349</v>
      </c>
      <c r="C49" s="136">
        <f>IF(ROUNDDOWN(D43,-2)=ROUNDUP(D43,-2),VLOOKUP(D43,Enthalpy,17),VLOOKUP(ROUNDDOWN(D43,-2),Enthalpy,17)+(D43-ROUNDDOWN(D43,-2))/(ROUNDUP(D43,-2)-ROUNDDOWN(D43,-2))*(VLOOKUP(ROUNDUP(D43,-2),Enthalpy,17)-VLOOKUP(ROUNDDOWN(D43,-2),Enthalpy,17)))</f>
        <v>5801.0229164032853</v>
      </c>
      <c r="D49" s="136">
        <f t="shared" si="2"/>
        <v>53386.286396274205</v>
      </c>
      <c r="E49" s="47"/>
      <c r="F49" s="47"/>
      <c r="G49" s="47"/>
      <c r="H49" s="47"/>
      <c r="I49" s="47"/>
      <c r="J49" s="47"/>
      <c r="K49" s="60"/>
      <c r="L49" s="32" t="s">
        <v>67</v>
      </c>
      <c r="M49" s="71">
        <f>N19-M33/2</f>
        <v>9.2029091020075988</v>
      </c>
      <c r="N49" s="95">
        <f>IF(ROUNDDOWN(O43,-2)=ROUNDUP(O43,-2),VLOOKUP(O43,Enthalpy,17),VLOOKUP(ROUNDDOWN(O43,-2),Enthalpy,17)+(O43-ROUNDDOWN(O43,-2))/(ROUNDUP(O43,-2)-ROUNDDOWN(O43,-2))*(VLOOKUP(ROUNDUP(O43,-2),Enthalpy,17)-VLOOKUP(ROUNDDOWN(O43,-2),Enthalpy,17)))</f>
        <v>5801.0229231813337</v>
      </c>
      <c r="O49" s="95">
        <f t="shared" si="3"/>
        <v>53386.286660700222</v>
      </c>
      <c r="P49" s="32"/>
      <c r="Q49" s="32"/>
      <c r="R49" s="32"/>
      <c r="S49" s="32"/>
      <c r="T49" s="32"/>
      <c r="U49" s="32"/>
    </row>
    <row r="50" spans="1:21" ht="16.5" x14ac:dyDescent="0.3">
      <c r="A50" s="47" t="s">
        <v>68</v>
      </c>
      <c r="B50" s="115">
        <f>C20</f>
        <v>551.97957289408987</v>
      </c>
      <c r="C50" s="136">
        <f>IF(ROUNDDOWN(D43,-2)=ROUNDUP(D43,-2),VLOOKUP(D43,Enthalpy,9),VLOOKUP(ROUNDDOWN(D43,-2),Enthalpy,9)+(D43-ROUNDDOWN(D43,-2))/(ROUNDUP(D43,-2)-ROUNDDOWN(D43,-2))*(VLOOKUP(ROUNDUP(D43,-2),Enthalpy,9)-VLOOKUP(ROUNDDOWN(D43,-2),Enthalpy,9)))</f>
        <v>3800.7148429165486</v>
      </c>
      <c r="D50" s="136">
        <f t="shared" si="2"/>
        <v>2097916.9556853045</v>
      </c>
      <c r="E50" s="47"/>
      <c r="F50" s="47"/>
      <c r="G50" s="47"/>
      <c r="H50" s="47"/>
      <c r="I50" s="47"/>
      <c r="J50" s="47"/>
      <c r="K50" s="60"/>
      <c r="L50" s="32" t="s">
        <v>68</v>
      </c>
      <c r="M50" s="71">
        <f>N20</f>
        <v>551.97957289408987</v>
      </c>
      <c r="N50" s="95">
        <f>IF(ROUNDDOWN(O43,-2)=ROUNDUP(O43,-2),VLOOKUP(O43,Enthalpy,9),VLOOKUP(ROUNDDOWN(O43,-2),Enthalpy,9)+(O43-ROUNDDOWN(O43,-2))/(ROUNDUP(O43,-2)-ROUNDDOWN(O43,-2))*(VLOOKUP(ROUNDUP(O43,-2),Enthalpy,9)-VLOOKUP(ROUNDDOWN(O43,-2),Enthalpy,9)))</f>
        <v>3800.7148470777925</v>
      </c>
      <c r="O50" s="95">
        <f t="shared" si="3"/>
        <v>2097916.9579822258</v>
      </c>
      <c r="P50" s="32"/>
      <c r="Q50" s="32"/>
      <c r="R50" s="32"/>
      <c r="S50" s="32"/>
      <c r="T50" s="32"/>
      <c r="U50" s="32"/>
    </row>
    <row r="51" spans="1:21" ht="16.5" x14ac:dyDescent="0.3">
      <c r="A51" s="206" t="s">
        <v>121</v>
      </c>
      <c r="B51" s="115"/>
      <c r="C51" s="136"/>
      <c r="D51" s="136"/>
      <c r="E51" s="47"/>
      <c r="F51" s="47"/>
      <c r="G51" s="47"/>
      <c r="H51" s="47"/>
      <c r="I51" s="47"/>
      <c r="J51" s="47"/>
      <c r="K51" s="60"/>
      <c r="L51" s="190" t="s">
        <v>121</v>
      </c>
      <c r="M51" s="71"/>
      <c r="N51" s="95"/>
      <c r="O51" s="95"/>
      <c r="P51" s="32"/>
      <c r="Q51" s="32"/>
      <c r="R51" s="32"/>
      <c r="S51" s="32"/>
      <c r="T51" s="32"/>
      <c r="U51" s="32"/>
    </row>
    <row r="52" spans="1:21" ht="16.5" x14ac:dyDescent="0.3">
      <c r="A52" s="206" t="s">
        <v>123</v>
      </c>
      <c r="B52" s="115"/>
      <c r="C52" s="56"/>
      <c r="D52" s="56"/>
      <c r="E52" s="47"/>
      <c r="F52" s="47"/>
      <c r="G52" s="47"/>
      <c r="H52" s="47"/>
      <c r="I52" s="47"/>
      <c r="J52" s="47"/>
      <c r="K52" s="60"/>
      <c r="L52" s="190" t="s">
        <v>123</v>
      </c>
      <c r="M52" s="71"/>
      <c r="N52" s="41"/>
      <c r="O52" s="41"/>
      <c r="P52" s="32"/>
      <c r="Q52" s="32"/>
      <c r="R52" s="32"/>
      <c r="S52" s="32"/>
      <c r="T52" s="32"/>
      <c r="U52" s="32"/>
    </row>
    <row r="53" spans="1:21" ht="16.5" x14ac:dyDescent="0.3">
      <c r="A53" s="206" t="s">
        <v>125</v>
      </c>
      <c r="B53" s="116">
        <f>C22+3/16*B33</f>
        <v>8.3600299798653328</v>
      </c>
      <c r="C53" s="136">
        <f>IF(ROUNDDOWN(D43,-2)=ROUNDUP(D43,-2),VLOOKUP(D43,Enthalpy,23),VLOOKUP(ROUNDDOWN(D43,-2),Enthalpy,23)+(D43-ROUNDDOWN(D43,-2))/(ROUNDUP(D43,-2)-ROUNDDOWN(D43,-2))*(VLOOKUP(ROUNDUP(D43,-2),Enthalpy,23)-VLOOKUP(ROUNDDOWN(D43,-2),Enthalpy,23)))</f>
        <v>21613.616723038522</v>
      </c>
      <c r="D53" s="143">
        <f>(B53*C53)</f>
        <v>180690.48377792074</v>
      </c>
      <c r="E53" s="47"/>
      <c r="F53" s="47"/>
      <c r="G53" s="47"/>
      <c r="H53" s="47"/>
      <c r="I53" s="47"/>
      <c r="J53" s="47"/>
      <c r="K53" s="60"/>
      <c r="L53" s="190" t="s">
        <v>125</v>
      </c>
      <c r="M53" s="72">
        <f>N22+3/16*M33</f>
        <v>8.3600299668041682</v>
      </c>
      <c r="N53" s="95">
        <f>IF(ROUNDDOWN(O43,-2)=ROUNDUP(O43,-2),VLOOKUP(O43,Enthalpy,23),VLOOKUP(ROUNDDOWN(O43,-2),Enthalpy,23)+(O43-ROUNDDOWN(O43,-2))/(ROUNDUP(O43,-2)-ROUNDDOWN(O43,-2))*(VLOOKUP(ROUNDUP(O43,-2),Enthalpy,23)-VLOOKUP(ROUNDDOWN(O43,-2),Enthalpy,23)))</f>
        <v>21613.616747516426</v>
      </c>
      <c r="O53" s="103">
        <f>(M53*N53)</f>
        <v>180690.48370025776</v>
      </c>
      <c r="P53" s="32"/>
      <c r="Q53" s="32"/>
      <c r="R53" s="32"/>
      <c r="S53" s="32"/>
      <c r="T53" s="32"/>
      <c r="U53" s="32"/>
    </row>
    <row r="54" spans="1:21" x14ac:dyDescent="0.25">
      <c r="A54" s="47"/>
      <c r="B54" s="115">
        <f>SUM(B45:B53)</f>
        <v>1079.6291468790155</v>
      </c>
      <c r="C54" s="56"/>
      <c r="D54" s="136">
        <f>SUM(D45:D53)</f>
        <v>4780583.1221612589</v>
      </c>
      <c r="E54" s="47"/>
      <c r="F54" s="47"/>
      <c r="G54" s="47"/>
      <c r="H54" s="47"/>
      <c r="I54" s="47"/>
      <c r="J54" s="47"/>
      <c r="K54" s="60"/>
      <c r="L54" s="32"/>
      <c r="M54" s="71">
        <f>SUM(M45:M53)</f>
        <v>1079.6291469007842</v>
      </c>
      <c r="N54" s="41"/>
      <c r="O54" s="95">
        <f>SUM(O45:O53)</f>
        <v>4780583.1274186289</v>
      </c>
      <c r="P54" s="32"/>
      <c r="Q54" s="32"/>
      <c r="R54" s="32"/>
      <c r="S54" s="32"/>
      <c r="T54" s="32"/>
      <c r="U54" s="32"/>
    </row>
    <row r="55" spans="1:21" x14ac:dyDescent="0.25">
      <c r="A55" s="164" t="s">
        <v>161</v>
      </c>
      <c r="B55" s="49"/>
      <c r="C55" s="49"/>
      <c r="D55" s="47"/>
      <c r="E55" s="47"/>
      <c r="F55" s="47"/>
      <c r="G55" s="47"/>
      <c r="H55" s="47"/>
      <c r="I55" s="47"/>
      <c r="J55" s="47"/>
      <c r="K55" s="60"/>
      <c r="L55" s="147" t="s">
        <v>161</v>
      </c>
      <c r="M55" s="34"/>
      <c r="N55" s="34"/>
      <c r="O55" s="32"/>
      <c r="P55" s="32"/>
      <c r="Q55" s="32"/>
      <c r="R55" s="32"/>
      <c r="S55" s="32"/>
      <c r="T55" s="32"/>
      <c r="U55" s="32"/>
    </row>
    <row r="56" spans="1:21" x14ac:dyDescent="0.25">
      <c r="A56" s="56" t="s">
        <v>162</v>
      </c>
      <c r="B56" s="49" t="s">
        <v>3</v>
      </c>
      <c r="C56" s="136">
        <f>'Step 4'!D32</f>
        <v>3854897.0086672818</v>
      </c>
      <c r="D56" s="47" t="s">
        <v>83</v>
      </c>
      <c r="E56" s="47"/>
      <c r="F56" s="47"/>
      <c r="G56" s="47"/>
      <c r="H56" s="47"/>
      <c r="I56" s="47"/>
      <c r="J56" s="47"/>
      <c r="K56" s="60"/>
      <c r="L56" s="41" t="s">
        <v>162</v>
      </c>
      <c r="M56" s="34" t="s">
        <v>3</v>
      </c>
      <c r="N56" s="95">
        <f>'Step 4'!O32</f>
        <v>3854897.0086672823</v>
      </c>
      <c r="O56" s="32" t="s">
        <v>83</v>
      </c>
      <c r="P56" s="32"/>
      <c r="Q56" s="32"/>
      <c r="R56" s="32"/>
      <c r="S56" s="32"/>
      <c r="T56" s="32"/>
      <c r="U56" s="32"/>
    </row>
    <row r="57" spans="1:21" x14ac:dyDescent="0.25">
      <c r="A57" s="56" t="s">
        <v>93</v>
      </c>
      <c r="B57" s="49" t="s">
        <v>3</v>
      </c>
      <c r="C57" s="143">
        <f>B33/2*(-C11)</f>
        <v>925686.11510491197</v>
      </c>
      <c r="D57" s="47" t="s">
        <v>83</v>
      </c>
      <c r="E57" s="47"/>
      <c r="F57" s="47"/>
      <c r="G57" s="47"/>
      <c r="H57" s="47"/>
      <c r="I57" s="47"/>
      <c r="J57" s="47"/>
      <c r="K57" s="60"/>
      <c r="L57" s="41" t="s">
        <v>93</v>
      </c>
      <c r="M57" s="34" t="s">
        <v>3</v>
      </c>
      <c r="N57" s="103">
        <f>M33/2*(-N11)</f>
        <v>925686.11348637252</v>
      </c>
      <c r="O57" s="32" t="s">
        <v>83</v>
      </c>
      <c r="P57" s="32"/>
      <c r="Q57" s="32"/>
      <c r="R57" s="32"/>
      <c r="S57" s="32"/>
      <c r="T57" s="32"/>
      <c r="U57" s="32"/>
    </row>
    <row r="58" spans="1:21" x14ac:dyDescent="0.25">
      <c r="A58" s="56" t="s">
        <v>163</v>
      </c>
      <c r="B58" s="49" t="s">
        <v>3</v>
      </c>
      <c r="C58" s="136">
        <f>C56+C57</f>
        <v>4780583.1237721937</v>
      </c>
      <c r="D58" s="47" t="s">
        <v>83</v>
      </c>
      <c r="E58" s="47"/>
      <c r="F58" s="47"/>
      <c r="G58" s="47"/>
      <c r="H58" s="47"/>
      <c r="I58" s="47"/>
      <c r="J58" s="47"/>
      <c r="K58" s="60"/>
      <c r="L58" s="41" t="s">
        <v>163</v>
      </c>
      <c r="M58" s="34" t="s">
        <v>3</v>
      </c>
      <c r="N58" s="95">
        <f>N56+N57</f>
        <v>4780583.1221536547</v>
      </c>
      <c r="O58" s="32" t="s">
        <v>83</v>
      </c>
      <c r="P58" s="32"/>
      <c r="Q58" s="32"/>
      <c r="R58" s="32"/>
      <c r="S58" s="32"/>
      <c r="T58" s="32"/>
      <c r="U58" s="32"/>
    </row>
    <row r="59" spans="1:21" x14ac:dyDescent="0.25">
      <c r="A59" s="56"/>
      <c r="B59" s="49"/>
      <c r="C59" s="269"/>
      <c r="D59" s="47"/>
      <c r="E59" s="47"/>
      <c r="F59" s="47"/>
      <c r="G59" s="47"/>
      <c r="H59" s="47"/>
      <c r="I59" s="47"/>
      <c r="J59" s="47"/>
      <c r="K59" s="60"/>
      <c r="L59" s="41"/>
      <c r="M59" s="34"/>
      <c r="N59" s="250"/>
      <c r="O59" s="32"/>
      <c r="P59" s="32"/>
      <c r="Q59" s="32"/>
      <c r="R59" s="32"/>
      <c r="S59" s="32"/>
      <c r="T59" s="32"/>
      <c r="U59" s="32"/>
    </row>
    <row r="61" spans="1:21" x14ac:dyDescent="0.25">
      <c r="A61" s="44" t="s">
        <v>307</v>
      </c>
    </row>
    <row r="62" spans="1:21" x14ac:dyDescent="0.25">
      <c r="A62" s="44" t="s">
        <v>303</v>
      </c>
    </row>
    <row r="63" spans="1:21" x14ac:dyDescent="0.25">
      <c r="A63" s="44" t="s">
        <v>304</v>
      </c>
    </row>
    <row r="64" spans="1:21" x14ac:dyDescent="0.25">
      <c r="A64" s="44" t="s">
        <v>305</v>
      </c>
    </row>
    <row r="65" spans="1:1" x14ac:dyDescent="0.25">
      <c r="A65" s="45" t="s">
        <v>306</v>
      </c>
    </row>
  </sheetData>
  <sheetProtection password="E156" sheet="1" objects="1" scenarios="1"/>
  <mergeCells count="10">
    <mergeCell ref="L41:R41"/>
    <mergeCell ref="A41:G41"/>
    <mergeCell ref="A6:G6"/>
    <mergeCell ref="L6:R6"/>
    <mergeCell ref="C13:D13"/>
    <mergeCell ref="N13:O13"/>
    <mergeCell ref="C14:D14"/>
    <mergeCell ref="N14:O14"/>
    <mergeCell ref="F33:I40"/>
    <mergeCell ref="Q33:T40"/>
  </mergeCells>
  <pageMargins left="0.7" right="0.7" top="0.75" bottom="0.75" header="0.51180555555555551" footer="0.51180555555555551"/>
  <pageSetup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U44"/>
  <sheetViews>
    <sheetView zoomScaleNormal="100" workbookViewId="0">
      <selection activeCell="D3" sqref="D3"/>
    </sheetView>
  </sheetViews>
  <sheetFormatPr defaultColWidth="8.7109375" defaultRowHeight="15" x14ac:dyDescent="0.25"/>
  <cols>
    <col min="1" max="1" width="21.42578125" style="28" customWidth="1"/>
    <col min="2" max="2" width="12.42578125" style="28" customWidth="1"/>
    <col min="3" max="3" width="12.7109375" style="28" customWidth="1"/>
    <col min="4" max="4" width="11.28515625" style="28" customWidth="1"/>
    <col min="5" max="5" width="8.7109375" style="28"/>
    <col min="6" max="6" width="9.7109375" style="28" customWidth="1"/>
    <col min="7" max="11" width="8.7109375" style="28"/>
    <col min="12" max="12" width="21.42578125" style="28" customWidth="1"/>
    <col min="13" max="13" width="11.42578125" style="28" customWidth="1"/>
    <col min="14" max="14" width="12.5703125" style="28" customWidth="1"/>
    <col min="15" max="15" width="11.140625" style="28" customWidth="1"/>
    <col min="16" max="16" width="8.7109375" style="28"/>
    <col min="17" max="17" width="9.7109375" style="28" customWidth="1"/>
    <col min="18" max="16384" width="8.7109375" style="28"/>
  </cols>
  <sheetData>
    <row r="1" spans="1:21" x14ac:dyDescent="0.25">
      <c r="A1" s="27" t="s">
        <v>298</v>
      </c>
    </row>
    <row r="5" spans="1:21" ht="24" x14ac:dyDescent="0.3">
      <c r="A5" s="106" t="s">
        <v>278</v>
      </c>
      <c r="B5" s="49"/>
      <c r="C5" s="49"/>
      <c r="D5" s="47"/>
      <c r="E5" s="47"/>
      <c r="F5" s="47"/>
      <c r="G5" s="47"/>
      <c r="H5" s="47"/>
      <c r="I5" s="47"/>
      <c r="J5" s="47"/>
      <c r="K5" s="60"/>
      <c r="L5" s="270" t="s">
        <v>278</v>
      </c>
      <c r="M5" s="34"/>
      <c r="N5" s="34"/>
      <c r="O5" s="32"/>
      <c r="P5" s="32"/>
      <c r="Q5" s="32"/>
      <c r="R5" s="32"/>
      <c r="S5" s="32"/>
      <c r="T5" s="32"/>
      <c r="U5" s="32"/>
    </row>
    <row r="6" spans="1:21" x14ac:dyDescent="0.25">
      <c r="A6" s="47"/>
      <c r="B6" s="49"/>
      <c r="C6" s="49"/>
      <c r="D6" s="47"/>
      <c r="E6" s="47"/>
      <c r="F6" s="47"/>
      <c r="G6" s="47"/>
      <c r="H6" s="47"/>
      <c r="I6" s="47"/>
      <c r="J6" s="47"/>
      <c r="K6" s="60"/>
      <c r="L6" s="32"/>
      <c r="M6" s="34"/>
      <c r="N6" s="34"/>
      <c r="O6" s="32"/>
      <c r="P6" s="32"/>
      <c r="Q6" s="32"/>
      <c r="R6" s="32"/>
      <c r="S6" s="32"/>
      <c r="T6" s="32"/>
      <c r="U6" s="32"/>
    </row>
    <row r="7" spans="1:21" x14ac:dyDescent="0.25">
      <c r="A7" s="47" t="s">
        <v>109</v>
      </c>
      <c r="B7" s="49"/>
      <c r="C7" s="49"/>
      <c r="D7" s="117">
        <v>0.5</v>
      </c>
      <c r="E7" s="47" t="s">
        <v>74</v>
      </c>
      <c r="F7" s="56" t="s">
        <v>75</v>
      </c>
      <c r="G7" s="47">
        <f>'Step 4'!B11-D7</f>
        <v>17.099999999999998</v>
      </c>
      <c r="H7" s="47" t="s">
        <v>34</v>
      </c>
      <c r="I7" s="47"/>
      <c r="J7" s="47"/>
      <c r="K7" s="60"/>
      <c r="L7" s="32" t="s">
        <v>109</v>
      </c>
      <c r="M7" s="34"/>
      <c r="N7" s="34"/>
      <c r="O7" s="73">
        <v>0.5</v>
      </c>
      <c r="P7" s="32" t="s">
        <v>74</v>
      </c>
      <c r="Q7" s="41" t="s">
        <v>75</v>
      </c>
      <c r="R7" s="32">
        <f>'Step 4'!M11-O7</f>
        <v>17.099999999999998</v>
      </c>
      <c r="S7" s="32" t="s">
        <v>34</v>
      </c>
      <c r="T7" s="32"/>
      <c r="U7" s="32"/>
    </row>
    <row r="8" spans="1:21" x14ac:dyDescent="0.25">
      <c r="A8" s="47" t="s">
        <v>110</v>
      </c>
      <c r="B8" s="49"/>
      <c r="C8" s="49"/>
      <c r="D8" s="51">
        <v>325</v>
      </c>
      <c r="E8" s="47" t="s">
        <v>32</v>
      </c>
      <c r="F8" s="47"/>
      <c r="G8" s="47"/>
      <c r="H8" s="47"/>
      <c r="I8" s="47"/>
      <c r="J8" s="47"/>
      <c r="K8" s="60"/>
      <c r="L8" s="32" t="s">
        <v>110</v>
      </c>
      <c r="M8" s="34"/>
      <c r="N8" s="34"/>
      <c r="O8" s="36">
        <v>325</v>
      </c>
      <c r="P8" s="32" t="s">
        <v>32</v>
      </c>
      <c r="Q8" s="32"/>
      <c r="R8" s="32"/>
      <c r="S8" s="32"/>
      <c r="T8" s="32"/>
      <c r="U8" s="32"/>
    </row>
    <row r="9" spans="1:21" x14ac:dyDescent="0.25">
      <c r="A9" s="47" t="s">
        <v>224</v>
      </c>
      <c r="B9" s="49"/>
      <c r="C9" s="49"/>
      <c r="D9" s="47"/>
      <c r="E9" s="47"/>
      <c r="F9" s="195">
        <v>5.5000000000000003E-4</v>
      </c>
      <c r="G9" s="47" t="s">
        <v>111</v>
      </c>
      <c r="H9" s="47"/>
      <c r="I9" s="47"/>
      <c r="J9" s="47"/>
      <c r="K9" s="60"/>
      <c r="L9" s="32" t="s">
        <v>224</v>
      </c>
      <c r="M9" s="34"/>
      <c r="N9" s="34"/>
      <c r="O9" s="32"/>
      <c r="P9" s="32"/>
      <c r="Q9" s="179">
        <v>5.5000000000000003E-4</v>
      </c>
      <c r="R9" s="32" t="s">
        <v>111</v>
      </c>
      <c r="S9" s="32"/>
      <c r="T9" s="32"/>
      <c r="U9" s="32"/>
    </row>
    <row r="10" spans="1:21" x14ac:dyDescent="0.25">
      <c r="A10" s="47" t="s">
        <v>113</v>
      </c>
      <c r="B10" s="49"/>
      <c r="C10" s="49"/>
      <c r="D10" s="47"/>
      <c r="E10" s="47"/>
      <c r="F10" s="47"/>
      <c r="G10" s="47"/>
      <c r="H10" s="47"/>
      <c r="I10" s="47"/>
      <c r="J10" s="47"/>
      <c r="K10" s="60"/>
      <c r="L10" s="32" t="s">
        <v>113</v>
      </c>
      <c r="M10" s="34"/>
      <c r="N10" s="34"/>
      <c r="O10" s="32"/>
      <c r="P10" s="32"/>
      <c r="Q10" s="32"/>
      <c r="R10" s="32"/>
      <c r="S10" s="32"/>
      <c r="T10" s="32"/>
      <c r="U10" s="32"/>
    </row>
    <row r="11" spans="1:21" ht="16.5" x14ac:dyDescent="0.3">
      <c r="A11" s="47"/>
      <c r="B11" s="52">
        <f>'Step 5'!B53</f>
        <v>8.3600299798653328</v>
      </c>
      <c r="C11" s="47" t="s">
        <v>115</v>
      </c>
      <c r="D11" s="47"/>
      <c r="E11" s="47"/>
      <c r="F11" s="47"/>
      <c r="G11" s="47"/>
      <c r="H11" s="47"/>
      <c r="I11" s="47"/>
      <c r="J11" s="47"/>
      <c r="K11" s="60"/>
      <c r="L11" s="32"/>
      <c r="M11" s="39">
        <f>'Step 5'!M53</f>
        <v>8.3600299668041682</v>
      </c>
      <c r="N11" s="32" t="s">
        <v>115</v>
      </c>
      <c r="O11" s="32"/>
      <c r="P11" s="32"/>
      <c r="Q11" s="32"/>
      <c r="R11" s="32"/>
      <c r="S11" s="32"/>
      <c r="T11" s="32"/>
      <c r="U11" s="32"/>
    </row>
    <row r="12" spans="1:21" x14ac:dyDescent="0.25">
      <c r="A12" s="47" t="s">
        <v>116</v>
      </c>
      <c r="B12" s="49"/>
      <c r="C12" s="49"/>
      <c r="D12" s="47"/>
      <c r="E12" s="47"/>
      <c r="F12" s="47"/>
      <c r="G12" s="47"/>
      <c r="H12" s="47"/>
      <c r="I12" s="47"/>
      <c r="J12" s="47"/>
      <c r="K12" s="60"/>
      <c r="L12" s="32" t="s">
        <v>116</v>
      </c>
      <c r="M12" s="34"/>
      <c r="N12" s="34"/>
      <c r="O12" s="32"/>
      <c r="P12" s="32"/>
      <c r="Q12" s="32"/>
      <c r="R12" s="32"/>
      <c r="S12" s="32"/>
      <c r="T12" s="32"/>
      <c r="U12" s="32"/>
    </row>
    <row r="13" spans="1:21" x14ac:dyDescent="0.25">
      <c r="A13" s="56" t="s">
        <v>3</v>
      </c>
      <c r="B13" s="110" t="str">
        <f>CONCATENATE("(",F9,"*14.7 / (",G7," - ",F9,"*14.7)) * (",ROUND('Step 5'!B54,2)," - ",ROUND(B11,2),")")</f>
        <v>(0.00055*14.7 / (17.1 - 0.00055*14.7)) * (1079.63 - 8.36)</v>
      </c>
      <c r="C13" s="49"/>
      <c r="D13" s="47"/>
      <c r="E13" s="47"/>
      <c r="F13" s="47"/>
      <c r="G13" s="47"/>
      <c r="H13" s="47"/>
      <c r="I13" s="47"/>
      <c r="J13" s="47"/>
      <c r="K13" s="60"/>
      <c r="L13" s="41" t="s">
        <v>3</v>
      </c>
      <c r="M13" s="66" t="str">
        <f>CONCATENATE("(",Q9,"*14.7 / (",R7," - ",Q9,"*14.7)) * (",ROUND('Step 5'!M54,2)," - ",ROUND(M11,2),")")</f>
        <v>(0.00055*14.7 / (17.1 - 0.00055*14.7)) * (1079.63 - 8.36)</v>
      </c>
      <c r="N13" s="34"/>
      <c r="O13" s="32"/>
      <c r="P13" s="32"/>
      <c r="Q13" s="32"/>
      <c r="R13" s="32"/>
      <c r="S13" s="32"/>
      <c r="T13" s="32"/>
      <c r="U13" s="32"/>
    </row>
    <row r="14" spans="1:21" x14ac:dyDescent="0.25">
      <c r="A14" s="56" t="s">
        <v>3</v>
      </c>
      <c r="B14" s="127">
        <f>F9*14.7/(G7-F9*14.7) * ('Step 5'!B54 - B11)</f>
        <v>0.50674314786433416</v>
      </c>
      <c r="C14" s="49" t="s">
        <v>86</v>
      </c>
      <c r="D14" s="47"/>
      <c r="E14" s="47"/>
      <c r="F14" s="47"/>
      <c r="G14" s="47"/>
      <c r="H14" s="47"/>
      <c r="I14" s="47"/>
      <c r="J14" s="47"/>
      <c r="K14" s="60"/>
      <c r="L14" s="41" t="s">
        <v>3</v>
      </c>
      <c r="M14" s="87">
        <f>Q9*14.7/(R7-Q9*14.7) * ('Step 5'!M54 - M11)</f>
        <v>0.50674314788080976</v>
      </c>
      <c r="N14" s="34" t="s">
        <v>86</v>
      </c>
      <c r="O14" s="32"/>
      <c r="P14" s="32"/>
      <c r="Q14" s="32"/>
      <c r="R14" s="32"/>
      <c r="S14" s="32"/>
      <c r="T14" s="32"/>
      <c r="U14" s="32"/>
    </row>
    <row r="15" spans="1:21" x14ac:dyDescent="0.25">
      <c r="A15" s="56"/>
      <c r="B15" s="127"/>
      <c r="C15" s="49"/>
      <c r="D15" s="47"/>
      <c r="E15" s="47"/>
      <c r="F15" s="47"/>
      <c r="G15" s="47"/>
      <c r="H15" s="47"/>
      <c r="I15" s="47"/>
      <c r="J15" s="47"/>
      <c r="K15" s="60"/>
      <c r="L15" s="41"/>
      <c r="M15" s="87"/>
      <c r="N15" s="34"/>
      <c r="O15" s="32"/>
      <c r="P15" s="32"/>
      <c r="Q15" s="32"/>
      <c r="R15" s="32"/>
      <c r="S15" s="32"/>
      <c r="T15" s="32"/>
      <c r="U15" s="32"/>
    </row>
    <row r="16" spans="1:21" ht="16.5" x14ac:dyDescent="0.3">
      <c r="A16" s="56" t="s">
        <v>72</v>
      </c>
      <c r="B16" s="274">
        <f>B14</f>
        <v>0.50674314786433416</v>
      </c>
      <c r="C16" s="275" t="s">
        <v>117</v>
      </c>
      <c r="D16" s="47"/>
      <c r="E16" s="47"/>
      <c r="F16" s="47"/>
      <c r="G16" s="47"/>
      <c r="H16" s="47"/>
      <c r="I16" s="47"/>
      <c r="J16" s="47"/>
      <c r="K16" s="60"/>
      <c r="L16" s="41" t="s">
        <v>72</v>
      </c>
      <c r="M16" s="271">
        <f>M14</f>
        <v>0.50674314788080976</v>
      </c>
      <c r="N16" s="272" t="s">
        <v>117</v>
      </c>
      <c r="O16" s="32"/>
      <c r="P16" s="32"/>
      <c r="Q16" s="32"/>
      <c r="R16" s="32"/>
      <c r="S16" s="32"/>
      <c r="T16" s="32"/>
      <c r="U16" s="32"/>
    </row>
    <row r="17" spans="1:21" x14ac:dyDescent="0.25">
      <c r="A17" s="47"/>
      <c r="B17" s="52">
        <f>B11-B16</f>
        <v>7.8532868320009985</v>
      </c>
      <c r="C17" s="110" t="s">
        <v>118</v>
      </c>
      <c r="D17" s="47"/>
      <c r="E17" s="47"/>
      <c r="F17" s="47"/>
      <c r="G17" s="47"/>
      <c r="H17" s="47"/>
      <c r="I17" s="47"/>
      <c r="J17" s="47"/>
      <c r="K17" s="60"/>
      <c r="L17" s="32"/>
      <c r="M17" s="39">
        <f>M11-M16</f>
        <v>7.8532868189233582</v>
      </c>
      <c r="N17" s="66" t="s">
        <v>118</v>
      </c>
      <c r="O17" s="32"/>
      <c r="P17" s="32"/>
      <c r="Q17" s="32"/>
      <c r="R17" s="32"/>
      <c r="S17" s="32"/>
      <c r="T17" s="32"/>
      <c r="U17" s="32"/>
    </row>
    <row r="18" spans="1:21" x14ac:dyDescent="0.25">
      <c r="A18" s="47"/>
      <c r="B18" s="49"/>
      <c r="C18" s="49"/>
      <c r="D18" s="47"/>
      <c r="E18" s="47"/>
      <c r="F18" s="47"/>
      <c r="G18" s="47"/>
      <c r="H18" s="47"/>
      <c r="I18" s="47"/>
      <c r="J18" s="47"/>
      <c r="K18" s="60"/>
      <c r="L18" s="32"/>
      <c r="M18" s="34"/>
      <c r="N18" s="34"/>
      <c r="O18" s="32"/>
      <c r="P18" s="32"/>
      <c r="Q18" s="32"/>
      <c r="R18" s="32"/>
      <c r="S18" s="32"/>
      <c r="T18" s="32"/>
      <c r="U18" s="32"/>
    </row>
    <row r="19" spans="1:21" x14ac:dyDescent="0.25">
      <c r="A19" s="47"/>
      <c r="B19" s="200" t="s">
        <v>119</v>
      </c>
      <c r="C19" s="201"/>
      <c r="D19" s="201"/>
      <c r="E19" s="47"/>
      <c r="F19" s="47"/>
      <c r="G19" s="47"/>
      <c r="H19" s="47"/>
      <c r="I19" s="47"/>
      <c r="J19" s="47"/>
      <c r="K19" s="60"/>
      <c r="L19" s="32"/>
      <c r="M19" s="185" t="s">
        <v>119</v>
      </c>
      <c r="N19" s="184"/>
      <c r="O19" s="184"/>
      <c r="P19" s="32"/>
      <c r="Q19" s="32"/>
      <c r="R19" s="32"/>
      <c r="S19" s="32"/>
      <c r="T19" s="32"/>
      <c r="U19" s="32"/>
    </row>
    <row r="20" spans="1:21" x14ac:dyDescent="0.25">
      <c r="A20" s="47"/>
      <c r="B20" s="56"/>
      <c r="C20" s="50" t="s">
        <v>85</v>
      </c>
      <c r="D20" s="50">
        <f>D8</f>
        <v>325</v>
      </c>
      <c r="E20" s="47" t="s">
        <v>32</v>
      </c>
      <c r="F20" s="47"/>
      <c r="G20" s="47"/>
      <c r="H20" s="47"/>
      <c r="I20" s="47"/>
      <c r="J20" s="47"/>
      <c r="K20" s="60"/>
      <c r="L20" s="32"/>
      <c r="M20" s="41"/>
      <c r="N20" s="35" t="s">
        <v>85</v>
      </c>
      <c r="O20" s="35">
        <f>O8</f>
        <v>325</v>
      </c>
      <c r="P20" s="32" t="s">
        <v>32</v>
      </c>
      <c r="Q20" s="32"/>
      <c r="R20" s="32"/>
      <c r="S20" s="32"/>
      <c r="T20" s="32"/>
      <c r="U20" s="32"/>
    </row>
    <row r="21" spans="1:21" x14ac:dyDescent="0.25">
      <c r="A21" s="47"/>
      <c r="B21" s="50" t="s">
        <v>86</v>
      </c>
      <c r="C21" s="50" t="s">
        <v>87</v>
      </c>
      <c r="D21" s="50" t="s">
        <v>83</v>
      </c>
      <c r="E21" s="47"/>
      <c r="F21" s="47"/>
      <c r="G21" s="47"/>
      <c r="H21" s="47"/>
      <c r="I21" s="47"/>
      <c r="J21" s="47"/>
      <c r="K21" s="60"/>
      <c r="L21" s="32"/>
      <c r="M21" s="35" t="s">
        <v>86</v>
      </c>
      <c r="N21" s="35" t="s">
        <v>87</v>
      </c>
      <c r="O21" s="35" t="s">
        <v>83</v>
      </c>
      <c r="P21" s="32"/>
      <c r="Q21" s="32"/>
      <c r="R21" s="32"/>
      <c r="S21" s="32"/>
      <c r="T21" s="32"/>
      <c r="U21" s="32"/>
    </row>
    <row r="22" spans="1:21" ht="16.5" x14ac:dyDescent="0.3">
      <c r="A22" s="47" t="s">
        <v>41</v>
      </c>
      <c r="B22" s="115">
        <f>'Step 5'!B45</f>
        <v>18.40581813435567</v>
      </c>
      <c r="C22" s="136">
        <f>IF(ROUNDDOWN(D20,-2)=ROUNDUP(D20,-2),VLOOKUP(D20,Enthalpy,19),VLOOKUP(ROUNDDOWN(D20,-2),Enthalpy,19)+(D20-ROUNDDOWN(D20,-2))/(ROUNDUP(D20,-2)-ROUNDDOWN(D20,-2))*(VLOOKUP(ROUNDUP(D20,-2),Enthalpy,19)-VLOOKUP(ROUNDDOWN(D20,-2),Enthalpy,19)))</f>
        <v>2401</v>
      </c>
      <c r="D22" s="136">
        <f t="shared" ref="D22:D27" si="0">(B22*C22)</f>
        <v>44192.36934058796</v>
      </c>
      <c r="E22" s="47"/>
      <c r="F22" s="203" t="s">
        <v>120</v>
      </c>
      <c r="G22" s="204"/>
      <c r="H22" s="205">
        <f>1-(B22+B26+8*B14)/'Example 22-1 Conditions'!C12</f>
        <v>0.89122175821350025</v>
      </c>
      <c r="I22" s="47"/>
      <c r="J22" s="47"/>
      <c r="K22" s="60"/>
      <c r="L22" s="32" t="s">
        <v>41</v>
      </c>
      <c r="M22" s="71">
        <f>'Step 5'!M45</f>
        <v>18.405818204015198</v>
      </c>
      <c r="N22" s="95">
        <f>IF(ROUNDDOWN(O20,-2)=ROUNDUP(O20,-2),VLOOKUP(O20,Enthalpy,19),VLOOKUP(ROUNDDOWN(O20,-2),Enthalpy,19)+(O20-ROUNDDOWN(O20,-2))/(ROUNDUP(O20,-2)-ROUNDDOWN(O20,-2))*(VLOOKUP(ROUNDUP(O20,-2),Enthalpy,19)-VLOOKUP(ROUNDDOWN(O20,-2),Enthalpy,19)))</f>
        <v>2401</v>
      </c>
      <c r="O22" s="95">
        <f t="shared" ref="O22:O27" si="1">(M22*N22)</f>
        <v>44192.369507840493</v>
      </c>
      <c r="P22" s="32"/>
      <c r="Q22" s="187" t="s">
        <v>120</v>
      </c>
      <c r="R22" s="188"/>
      <c r="S22" s="189">
        <f>1-(M22+M26+8*M14)/'Example 22-1 Conditions'!N12</f>
        <v>0.89122175785407076</v>
      </c>
      <c r="T22" s="32"/>
      <c r="U22" s="32"/>
    </row>
    <row r="23" spans="1:21" ht="16.5" x14ac:dyDescent="0.3">
      <c r="A23" s="47" t="s">
        <v>44</v>
      </c>
      <c r="B23" s="115">
        <f>'Step 5'!B46</f>
        <v>159.09563336735241</v>
      </c>
      <c r="C23" s="136">
        <f>IF(ROUNDDOWN(D20,-2)=ROUNDUP(D20,-2),VLOOKUP(D20,Enthalpy,14),VLOOKUP(ROUNDDOWN(D20,-2),Enthalpy,14)+(D20-ROUNDDOWN(D20,-2))/(ROUNDUP(D20,-2)-ROUNDDOWN(D20,-2))*(VLOOKUP(ROUNDUP(D20,-2),Enthalpy,14)-VLOOKUP(ROUNDDOWN(D20,-2),Enthalpy,14)))</f>
        <v>2792</v>
      </c>
      <c r="D23" s="136">
        <f t="shared" si="0"/>
        <v>444195.0083616479</v>
      </c>
      <c r="E23" s="47"/>
      <c r="F23" s="47"/>
      <c r="G23" s="47"/>
      <c r="H23" s="47"/>
      <c r="I23" s="47"/>
      <c r="J23" s="47"/>
      <c r="K23" s="60"/>
      <c r="L23" s="32" t="s">
        <v>44</v>
      </c>
      <c r="M23" s="71">
        <f>'Step 5'!M46</f>
        <v>159.09563336735241</v>
      </c>
      <c r="N23" s="95">
        <f>IF(ROUNDDOWN(O20,-2)=ROUNDUP(O20,-2),VLOOKUP(O20,Enthalpy,14),VLOOKUP(ROUNDDOWN(O20,-2),Enthalpy,14)+(O20-ROUNDDOWN(O20,-2))/(ROUNDUP(O20,-2)-ROUNDDOWN(O20,-2))*(VLOOKUP(ROUNDUP(O20,-2),Enthalpy,14)-VLOOKUP(ROUNDDOWN(O20,-2),Enthalpy,14)))</f>
        <v>2792</v>
      </c>
      <c r="O23" s="95">
        <f t="shared" si="1"/>
        <v>444195.0083616479</v>
      </c>
      <c r="P23" s="32"/>
      <c r="Q23" s="32"/>
      <c r="R23" s="32"/>
      <c r="S23" s="32"/>
      <c r="T23" s="32"/>
      <c r="U23" s="32"/>
    </row>
    <row r="24" spans="1:21" ht="16.5" x14ac:dyDescent="0.3">
      <c r="A24" s="47" t="s">
        <v>212</v>
      </c>
      <c r="B24" s="115">
        <f>'Step 5'!B47</f>
        <v>16.300223504340146</v>
      </c>
      <c r="C24" s="136">
        <f>IF(ROUNDDOWN(D20,-2)=ROUNDUP(D20,-2),VLOOKUP(D20,Enthalpy,12),VLOOKUP(ROUNDDOWN(D20,-2),Enthalpy,12)+(D20-ROUNDDOWN(D20,-2))/(ROUNDUP(D20,-2)-ROUNDDOWN(D20,-2))*(VLOOKUP(ROUNDUP(D20,-2),Enthalpy,12)-VLOOKUP(ROUNDDOWN(D20,-2),Enthalpy,12)))</f>
        <v>2043.75</v>
      </c>
      <c r="D24" s="136">
        <f t="shared" si="0"/>
        <v>33313.581786995172</v>
      </c>
      <c r="E24" s="47"/>
      <c r="F24" s="47"/>
      <c r="G24" s="47"/>
      <c r="H24" s="47"/>
      <c r="I24" s="47"/>
      <c r="J24" s="47"/>
      <c r="K24" s="60"/>
      <c r="L24" s="32" t="s">
        <v>212</v>
      </c>
      <c r="M24" s="71">
        <f>'Step 5'!M47</f>
        <v>16.300223504340146</v>
      </c>
      <c r="N24" s="95">
        <f>IF(ROUNDDOWN(O20,-2)=ROUNDUP(O20,-2),VLOOKUP(O20,Enthalpy,12),VLOOKUP(ROUNDDOWN(O20,-2),Enthalpy,12)+(O20-ROUNDDOWN(O20,-2))/(ROUNDUP(O20,-2)-ROUNDDOWN(O20,-2))*(VLOOKUP(ROUNDUP(O20,-2),Enthalpy,12)-VLOOKUP(ROUNDDOWN(O20,-2),Enthalpy,12)))</f>
        <v>2043.75</v>
      </c>
      <c r="O24" s="95">
        <f t="shared" si="1"/>
        <v>33313.581786995172</v>
      </c>
      <c r="P24" s="32"/>
      <c r="Q24" s="32"/>
      <c r="R24" s="32"/>
      <c r="S24" s="32"/>
      <c r="T24" s="32"/>
      <c r="U24" s="32"/>
    </row>
    <row r="25" spans="1:21" ht="16.5" x14ac:dyDescent="0.3">
      <c r="A25" s="47" t="s">
        <v>47</v>
      </c>
      <c r="B25" s="115">
        <f>'Step 5'!B48</f>
        <v>316.28495993183424</v>
      </c>
      <c r="C25" s="136">
        <f>IF(ROUNDDOWN(D20,-2)=ROUNDUP(D20,-2),VLOOKUP(D20,Enthalpy,15),VLOOKUP(ROUNDDOWN(D20,-2),Enthalpy,15)+(D20-ROUNDDOWN(D20,-2))/(ROUNDUP(D20,-2)-ROUNDDOWN(D20,-2))*(VLOOKUP(ROUNDUP(D20,-2),Enthalpy,15)-VLOOKUP(ROUNDDOWN(D20,-2),Enthalpy,15)))</f>
        <v>2439.75</v>
      </c>
      <c r="D25" s="136">
        <f t="shared" si="0"/>
        <v>771656.23099369253</v>
      </c>
      <c r="E25" s="47"/>
      <c r="F25" s="47"/>
      <c r="G25" s="47"/>
      <c r="H25" s="47"/>
      <c r="I25" s="47"/>
      <c r="J25" s="47"/>
      <c r="K25" s="60"/>
      <c r="L25" s="32" t="s">
        <v>47</v>
      </c>
      <c r="M25" s="71">
        <f>'Step 5'!M48</f>
        <v>316.28495986217479</v>
      </c>
      <c r="N25" s="95">
        <f>IF(ROUNDDOWN(O20,-2)=ROUNDUP(O20,-2),VLOOKUP(O20,Enthalpy,15),VLOOKUP(ROUNDDOWN(O20,-2),Enthalpy,15)+(O20-ROUNDDOWN(O20,-2))/(ROUNDUP(O20,-2)-ROUNDDOWN(O20,-2))*(VLOOKUP(ROUNDUP(O20,-2),Enthalpy,15)-VLOOKUP(ROUNDDOWN(O20,-2),Enthalpy,15)))</f>
        <v>2439.75</v>
      </c>
      <c r="O25" s="95">
        <f t="shared" si="1"/>
        <v>771656.23082374095</v>
      </c>
      <c r="P25" s="32"/>
      <c r="Q25" s="32"/>
      <c r="R25" s="32"/>
      <c r="S25" s="32"/>
      <c r="T25" s="32"/>
      <c r="U25" s="32"/>
    </row>
    <row r="26" spans="1:21" ht="16.5" x14ac:dyDescent="0.3">
      <c r="A26" s="47" t="s">
        <v>67</v>
      </c>
      <c r="B26" s="115">
        <f>'Step 5'!B49</f>
        <v>9.2029090671778349</v>
      </c>
      <c r="C26" s="136">
        <f>IF(ROUNDDOWN(D20,-2)=ROUNDUP(D20,-2),VLOOKUP(D20,Enthalpy,17),VLOOKUP(ROUNDDOWN(D20,-2),Enthalpy,17)+(D20-ROUNDDOWN(D20,-2))/(ROUNDUP(D20,-2)-ROUNDDOWN(D20,-2))*(VLOOKUP(ROUNDUP(D20,-2),Enthalpy,17)-VLOOKUP(ROUNDDOWN(D20,-2),Enthalpy,17)))</f>
        <v>2996</v>
      </c>
      <c r="D26" s="136">
        <f t="shared" si="0"/>
        <v>27571.915565264793</v>
      </c>
      <c r="E26" s="47"/>
      <c r="F26" s="47"/>
      <c r="G26" s="47"/>
      <c r="H26" s="47"/>
      <c r="I26" s="47"/>
      <c r="J26" s="47"/>
      <c r="K26" s="60"/>
      <c r="L26" s="32" t="s">
        <v>67</v>
      </c>
      <c r="M26" s="71">
        <f>'Step 5'!M49</f>
        <v>9.2029091020075988</v>
      </c>
      <c r="N26" s="95">
        <f>IF(ROUNDDOWN(O20,-2)=ROUNDUP(O20,-2),VLOOKUP(O20,Enthalpy,17),VLOOKUP(ROUNDDOWN(O20,-2),Enthalpy,17)+(O20-ROUNDDOWN(O20,-2))/(ROUNDUP(O20,-2)-ROUNDDOWN(O20,-2))*(VLOOKUP(ROUNDUP(O20,-2),Enthalpy,17)-VLOOKUP(ROUNDDOWN(O20,-2),Enthalpy,17)))</f>
        <v>2996</v>
      </c>
      <c r="O26" s="95">
        <f t="shared" si="1"/>
        <v>27571.915669614766</v>
      </c>
      <c r="P26" s="32"/>
      <c r="Q26" s="32"/>
      <c r="R26" s="32"/>
      <c r="S26" s="32"/>
      <c r="T26" s="32"/>
      <c r="U26" s="32"/>
    </row>
    <row r="27" spans="1:21" ht="16.5" x14ac:dyDescent="0.3">
      <c r="A27" s="47" t="s">
        <v>68</v>
      </c>
      <c r="B27" s="115">
        <f>'Step 5'!B50</f>
        <v>551.97957289408987</v>
      </c>
      <c r="C27" s="136">
        <f>IF(ROUNDDOWN(D20,-2)=ROUNDUP(D20,-2),VLOOKUP(D20,Enthalpy,9),VLOOKUP(ROUNDDOWN(D20,-2),Enthalpy,9)+(D20-ROUNDDOWN(D20,-2))/(ROUNDUP(D20,-2)-ROUNDDOWN(D20,-2))*(VLOOKUP(ROUNDUP(D20,-2),Enthalpy,9)-VLOOKUP(ROUNDDOWN(D20,-2),Enthalpy,9)))</f>
        <v>2049</v>
      </c>
      <c r="D27" s="136">
        <f t="shared" si="0"/>
        <v>1131006.1448599901</v>
      </c>
      <c r="E27" s="47"/>
      <c r="F27" s="47"/>
      <c r="G27" s="47"/>
      <c r="H27" s="47"/>
      <c r="I27" s="47"/>
      <c r="J27" s="47"/>
      <c r="K27" s="60"/>
      <c r="L27" s="32" t="s">
        <v>68</v>
      </c>
      <c r="M27" s="71">
        <f>'Step 5'!M50</f>
        <v>551.97957289408987</v>
      </c>
      <c r="N27" s="95">
        <f>IF(ROUNDDOWN(O20,-2)=ROUNDUP(O20,-2),VLOOKUP(O20,Enthalpy,9),VLOOKUP(ROUNDDOWN(O20,-2),Enthalpy,9)+(O20-ROUNDDOWN(O20,-2))/(ROUNDUP(O20,-2)-ROUNDDOWN(O20,-2))*(VLOOKUP(ROUNDUP(O20,-2),Enthalpy,9)-VLOOKUP(ROUNDDOWN(O20,-2),Enthalpy,9)))</f>
        <v>2049</v>
      </c>
      <c r="O27" s="95">
        <f t="shared" si="1"/>
        <v>1131006.1448599901</v>
      </c>
      <c r="P27" s="32"/>
      <c r="Q27" s="32"/>
      <c r="R27" s="32"/>
      <c r="S27" s="32"/>
      <c r="T27" s="32"/>
      <c r="U27" s="32"/>
    </row>
    <row r="28" spans="1:21" ht="16.5" x14ac:dyDescent="0.3">
      <c r="A28" s="206" t="s">
        <v>121</v>
      </c>
      <c r="B28" s="115"/>
      <c r="C28" s="269"/>
      <c r="D28" s="136"/>
      <c r="E28" s="47"/>
      <c r="F28" s="47"/>
      <c r="G28" s="47"/>
      <c r="H28" s="47"/>
      <c r="I28" s="47"/>
      <c r="J28" s="47"/>
      <c r="K28" s="60"/>
      <c r="L28" s="190" t="s">
        <v>121</v>
      </c>
      <c r="M28" s="71"/>
      <c r="N28" s="250"/>
      <c r="O28" s="95"/>
      <c r="P28" s="32"/>
      <c r="Q28" s="32"/>
      <c r="R28" s="32"/>
      <c r="S28" s="32"/>
      <c r="T28" s="32"/>
      <c r="U28" s="32"/>
    </row>
    <row r="29" spans="1:21" ht="16.5" x14ac:dyDescent="0.3">
      <c r="A29" s="206" t="s">
        <v>123</v>
      </c>
      <c r="B29" s="115"/>
      <c r="C29" s="56"/>
      <c r="D29" s="56"/>
      <c r="E29" s="47"/>
      <c r="F29" s="47"/>
      <c r="G29" s="47"/>
      <c r="H29" s="47"/>
      <c r="I29" s="47"/>
      <c r="J29" s="47"/>
      <c r="K29" s="60"/>
      <c r="L29" s="190" t="s">
        <v>123</v>
      </c>
      <c r="M29" s="71"/>
      <c r="N29" s="41"/>
      <c r="O29" s="41"/>
      <c r="P29" s="32"/>
      <c r="Q29" s="32"/>
      <c r="R29" s="32"/>
      <c r="S29" s="32"/>
      <c r="T29" s="32"/>
      <c r="U29" s="32"/>
    </row>
    <row r="30" spans="1:21" ht="16.5" x14ac:dyDescent="0.3">
      <c r="A30" s="206" t="s">
        <v>124</v>
      </c>
      <c r="B30" s="276">
        <f>'Step 5'!B53</f>
        <v>8.3600299798653328</v>
      </c>
      <c r="C30" s="136">
        <f>IF(ROUNDDOWN(D20,-2)=ROUNDUP(D20,-2),VLOOKUP(D20,Enthalpy,23),VLOOKUP(ROUNDDOWN(D20,-2),Enthalpy,23)+(D20-ROUNDDOWN(D20,-2))/(ROUNDUP(D20,-2)-ROUNDDOWN(D20,-2))*(VLOOKUP(ROUNDUP(D20,-2),Enthalpy,23)-VLOOKUP(ROUNDDOWN(D20,-2),Enthalpy,23)))</f>
        <v>11377.5</v>
      </c>
      <c r="D30" s="143">
        <f>(B30*C30)</f>
        <v>95116.241095917823</v>
      </c>
      <c r="E30" s="47"/>
      <c r="F30" s="47"/>
      <c r="G30" s="47"/>
      <c r="H30" s="47"/>
      <c r="I30" s="47"/>
      <c r="J30" s="47"/>
      <c r="K30" s="60"/>
      <c r="L30" s="190" t="s">
        <v>124</v>
      </c>
      <c r="M30" s="273">
        <f>'Step 5'!M53</f>
        <v>8.3600299668041682</v>
      </c>
      <c r="N30" s="95">
        <f>IF(ROUNDDOWN(O20,-2)=ROUNDUP(O20,-2),VLOOKUP(O20,Enthalpy,23),VLOOKUP(ROUNDDOWN(O20,-2),Enthalpy,23)+(O20-ROUNDDOWN(O20,-2))/(ROUNDUP(O20,-2)-ROUNDDOWN(O20,-2))*(VLOOKUP(ROUNDUP(O20,-2),Enthalpy,23)-VLOOKUP(ROUNDDOWN(O20,-2),Enthalpy,23)))</f>
        <v>11377.5</v>
      </c>
      <c r="O30" s="103">
        <f>(M30*N30)</f>
        <v>95116.240947314422</v>
      </c>
      <c r="P30" s="32"/>
      <c r="Q30" s="32"/>
      <c r="R30" s="32"/>
      <c r="S30" s="32"/>
      <c r="T30" s="32"/>
      <c r="U30" s="32"/>
    </row>
    <row r="31" spans="1:21" x14ac:dyDescent="0.25">
      <c r="A31" s="47"/>
      <c r="B31" s="115">
        <f>SUM(B22:B30)</f>
        <v>1079.6291468790155</v>
      </c>
      <c r="C31" s="56"/>
      <c r="D31" s="136">
        <f>SUM(D22:D30)</f>
        <v>2547051.492004096</v>
      </c>
      <c r="E31" s="47"/>
      <c r="F31" s="47"/>
      <c r="G31" s="47"/>
      <c r="H31" s="47"/>
      <c r="I31" s="47"/>
      <c r="J31" s="47"/>
      <c r="K31" s="60"/>
      <c r="L31" s="32"/>
      <c r="M31" s="71">
        <f>SUM(M22:M30)</f>
        <v>1079.6291469007842</v>
      </c>
      <c r="N31" s="41"/>
      <c r="O31" s="95">
        <f>SUM(O22:O30)</f>
        <v>2547051.4919571439</v>
      </c>
      <c r="P31" s="32"/>
      <c r="Q31" s="32"/>
      <c r="R31" s="32"/>
      <c r="S31" s="32"/>
      <c r="T31" s="32"/>
      <c r="U31" s="32"/>
    </row>
    <row r="32" spans="1:21" x14ac:dyDescent="0.25">
      <c r="A32" s="47"/>
      <c r="B32" s="56" t="s">
        <v>101</v>
      </c>
      <c r="C32" s="202">
        <f>'Step 5'!D54-D31</f>
        <v>2233531.6301571629</v>
      </c>
      <c r="D32" s="110" t="s">
        <v>83</v>
      </c>
      <c r="E32" s="47"/>
      <c r="F32" s="47"/>
      <c r="G32" s="47"/>
      <c r="H32" s="47"/>
      <c r="I32" s="47"/>
      <c r="J32" s="47"/>
      <c r="K32" s="60"/>
      <c r="L32" s="32"/>
      <c r="M32" s="41" t="s">
        <v>101</v>
      </c>
      <c r="N32" s="186">
        <f>'Step 5'!O54-O31</f>
        <v>2233531.635461485</v>
      </c>
      <c r="O32" s="66" t="s">
        <v>83</v>
      </c>
      <c r="P32" s="32"/>
      <c r="Q32" s="32"/>
      <c r="R32" s="32"/>
      <c r="S32" s="32"/>
      <c r="T32" s="32"/>
      <c r="U32" s="32"/>
    </row>
    <row r="33" spans="1:21" x14ac:dyDescent="0.25">
      <c r="A33" s="47"/>
      <c r="B33" s="49"/>
      <c r="C33" s="49"/>
      <c r="D33" s="47"/>
      <c r="E33" s="47"/>
      <c r="F33" s="47"/>
      <c r="G33" s="47"/>
      <c r="H33" s="47"/>
      <c r="I33" s="47"/>
      <c r="J33" s="47"/>
      <c r="K33" s="60"/>
      <c r="L33" s="32"/>
      <c r="M33" s="34"/>
      <c r="N33" s="34"/>
      <c r="O33" s="32"/>
      <c r="P33" s="32"/>
      <c r="Q33" s="32"/>
      <c r="R33" s="32"/>
      <c r="S33" s="32"/>
      <c r="T33" s="32"/>
      <c r="U33" s="32"/>
    </row>
    <row r="34" spans="1:21" x14ac:dyDescent="0.25">
      <c r="A34" s="47" t="s">
        <v>234</v>
      </c>
      <c r="B34" s="49"/>
      <c r="C34" s="49"/>
      <c r="D34" s="47"/>
      <c r="E34" s="47"/>
      <c r="F34" s="47"/>
      <c r="G34" s="47"/>
      <c r="H34" s="47"/>
      <c r="I34" s="47"/>
      <c r="J34" s="47"/>
      <c r="K34" s="60"/>
      <c r="L34" s="32" t="s">
        <v>234</v>
      </c>
      <c r="M34" s="34"/>
      <c r="N34" s="34"/>
      <c r="O34" s="32"/>
      <c r="P34" s="32"/>
      <c r="Q34" s="32"/>
      <c r="R34" s="32"/>
      <c r="S34" s="32"/>
      <c r="T34" s="32"/>
      <c r="U34" s="32"/>
    </row>
    <row r="35" spans="1:21" ht="16.5" x14ac:dyDescent="0.3">
      <c r="A35" s="208" t="s">
        <v>128</v>
      </c>
      <c r="B35" s="174">
        <v>126</v>
      </c>
      <c r="C35" s="110" t="s">
        <v>127</v>
      </c>
      <c r="D35" s="145">
        <f>(B17*B35*8*32.065)</f>
        <v>253830.16740625689</v>
      </c>
      <c r="E35" s="47" t="s">
        <v>83</v>
      </c>
      <c r="F35" s="47"/>
      <c r="G35" s="47"/>
      <c r="H35" s="47"/>
      <c r="I35" s="47"/>
      <c r="J35" s="47"/>
      <c r="K35" s="60"/>
      <c r="L35" s="192" t="s">
        <v>128</v>
      </c>
      <c r="M35" s="158">
        <v>126</v>
      </c>
      <c r="N35" s="66" t="s">
        <v>127</v>
      </c>
      <c r="O35" s="105">
        <f>(M17*M35*8*32.065)</f>
        <v>253830.16698356767</v>
      </c>
      <c r="P35" s="32" t="s">
        <v>83</v>
      </c>
      <c r="Q35" s="32"/>
      <c r="R35" s="32"/>
      <c r="S35" s="32"/>
      <c r="T35" s="32"/>
      <c r="U35" s="32"/>
    </row>
    <row r="36" spans="1:21" ht="15.75" thickBot="1" x14ac:dyDescent="0.3">
      <c r="A36" s="47"/>
      <c r="B36" s="49"/>
      <c r="C36" s="49"/>
      <c r="D36" s="47"/>
      <c r="E36" s="47"/>
      <c r="F36" s="47"/>
      <c r="G36" s="47"/>
      <c r="H36" s="47"/>
      <c r="I36" s="47"/>
      <c r="J36" s="47"/>
      <c r="K36" s="60"/>
      <c r="L36" s="32"/>
      <c r="M36" s="34"/>
      <c r="N36" s="34"/>
      <c r="O36" s="32"/>
      <c r="P36" s="32"/>
      <c r="Q36" s="32"/>
      <c r="R36" s="32"/>
      <c r="S36" s="32"/>
      <c r="T36" s="32"/>
      <c r="U36" s="32"/>
    </row>
    <row r="37" spans="1:21" ht="15.75" thickBot="1" x14ac:dyDescent="0.3">
      <c r="A37" s="47" t="s">
        <v>132</v>
      </c>
      <c r="B37" s="209">
        <f>C32+D35</f>
        <v>2487361.7975634197</v>
      </c>
      <c r="C37" s="110" t="s">
        <v>83</v>
      </c>
      <c r="D37" s="47"/>
      <c r="E37" s="47"/>
      <c r="F37" s="47"/>
      <c r="G37" s="47"/>
      <c r="H37" s="47"/>
      <c r="I37" s="47"/>
      <c r="J37" s="47"/>
      <c r="K37" s="60"/>
      <c r="L37" s="32" t="s">
        <v>132</v>
      </c>
      <c r="M37" s="194">
        <f>N32+O35</f>
        <v>2487361.8024450527</v>
      </c>
      <c r="N37" s="66" t="s">
        <v>83</v>
      </c>
      <c r="O37" s="32"/>
      <c r="P37" s="32"/>
      <c r="Q37" s="32"/>
      <c r="R37" s="32"/>
      <c r="S37" s="32"/>
      <c r="T37" s="32"/>
      <c r="U37" s="32"/>
    </row>
    <row r="38" spans="1:21" x14ac:dyDescent="0.25">
      <c r="A38" s="47"/>
      <c r="B38" s="49"/>
      <c r="C38" s="49"/>
      <c r="D38" s="47"/>
      <c r="E38" s="47"/>
      <c r="F38" s="47"/>
      <c r="G38" s="47"/>
      <c r="H38" s="47"/>
      <c r="I38" s="47"/>
      <c r="J38" s="47"/>
      <c r="L38" s="32"/>
      <c r="M38" s="34"/>
      <c r="N38" s="34"/>
      <c r="O38" s="32"/>
      <c r="P38" s="32"/>
      <c r="Q38" s="32"/>
      <c r="R38" s="32"/>
      <c r="S38" s="32"/>
      <c r="T38" s="32"/>
      <c r="U38" s="32"/>
    </row>
    <row r="40" spans="1:21" x14ac:dyDescent="0.25">
      <c r="A40" s="44" t="s">
        <v>307</v>
      </c>
    </row>
    <row r="41" spans="1:21" x14ac:dyDescent="0.25">
      <c r="A41" s="44" t="s">
        <v>303</v>
      </c>
    </row>
    <row r="42" spans="1:21" x14ac:dyDescent="0.25">
      <c r="A42" s="44" t="s">
        <v>304</v>
      </c>
    </row>
    <row r="43" spans="1:21" x14ac:dyDescent="0.25">
      <c r="A43" s="44" t="s">
        <v>305</v>
      </c>
    </row>
    <row r="44" spans="1:21" x14ac:dyDescent="0.25">
      <c r="A44" s="45" t="s">
        <v>306</v>
      </c>
    </row>
  </sheetData>
  <sheetProtection password="E156" sheet="1" objects="1" scenarios="1"/>
  <mergeCells count="2">
    <mergeCell ref="B19:D19"/>
    <mergeCell ref="M19:O19"/>
  </mergeCells>
  <pageMargins left="0.7" right="0.7" top="0.75" bottom="0.75" header="0.51180555555555551" footer="0.51180555555555551"/>
  <pageSetup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Revisions</vt:lpstr>
      <vt:lpstr>Nomenclature</vt:lpstr>
      <vt:lpstr>Example 22-1 Conditions</vt:lpstr>
      <vt:lpstr>Step 1</vt:lpstr>
      <vt:lpstr>Step 2</vt:lpstr>
      <vt:lpstr>Step 3</vt:lpstr>
      <vt:lpstr>Step 4</vt:lpstr>
      <vt:lpstr>Step 5</vt:lpstr>
      <vt:lpstr>Step 6</vt:lpstr>
      <vt:lpstr>Step 7</vt:lpstr>
      <vt:lpstr>Step 8</vt:lpstr>
      <vt:lpstr>Step 9</vt:lpstr>
      <vt:lpstr>Step 10</vt:lpstr>
      <vt:lpstr>Step 11</vt:lpstr>
      <vt:lpstr>Step 12</vt:lpstr>
      <vt:lpstr>Incinerator</vt:lpstr>
      <vt:lpstr>Fig. 22-28 Enthalpies</vt:lpstr>
      <vt:lpstr>Enthalpy</vt:lpstr>
      <vt:lpstr>EnthalpyData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Shane Tierling</dc:creator>
  <cp:lastModifiedBy>Hamilton, Stuart</cp:lastModifiedBy>
  <cp:lastPrinted>2015-10-22T21:47:16Z</cp:lastPrinted>
  <dcterms:created xsi:type="dcterms:W3CDTF">2015-09-09T12:35:38Z</dcterms:created>
  <dcterms:modified xsi:type="dcterms:W3CDTF">2017-04-06T23:00:45Z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