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80" yWindow="30" windowWidth="15195" windowHeight="11640" activeTab="1"/>
  </bookViews>
  <sheets>
    <sheet name="Revisions" sheetId="26" r:id="rId1"/>
    <sheet name="Nomenclature" sheetId="8" r:id="rId2"/>
    <sheet name="Example 23-1" sheetId="18" r:id="rId3"/>
    <sheet name="Example 23-2" sheetId="16" r:id="rId4"/>
    <sheet name="Example 23-3" sheetId="25" r:id="rId5"/>
    <sheet name="Example 23-4" sheetId="19" r:id="rId6"/>
    <sheet name="Example 23-5" sheetId="20" r:id="rId7"/>
    <sheet name="Example 23-6" sheetId="21" r:id="rId8"/>
    <sheet name="Example 23-7" sheetId="22" r:id="rId9"/>
    <sheet name="Example 23-8" sheetId="3" r:id="rId10"/>
    <sheet name="Example 23-9" sheetId="12" r:id="rId11"/>
    <sheet name="Example 23-10" sheetId="13" r:id="rId12"/>
    <sheet name="Example 23-11" sheetId="14" r:id="rId13"/>
    <sheet name="Example 23-12" sheetId="15" r:id="rId14"/>
    <sheet name="Example 23-13" sheetId="23" r:id="rId15"/>
  </sheets>
  <calcPr calcId="145621"/>
</workbook>
</file>

<file path=xl/calcChain.xml><?xml version="1.0" encoding="utf-8"?>
<calcChain xmlns="http://schemas.openxmlformats.org/spreadsheetml/2006/main">
  <c r="L14" i="3" l="1"/>
  <c r="L15" i="3" s="1"/>
  <c r="J15" i="25" l="1"/>
  <c r="J17" i="25" s="1"/>
  <c r="J16" i="25" l="1"/>
  <c r="J18" i="25" s="1"/>
  <c r="Q18" i="16" l="1" a="1"/>
  <c r="Q18" i="16" s="1"/>
  <c r="L23" i="16" s="1"/>
  <c r="L18" i="16"/>
  <c r="P17" i="16"/>
  <c r="N17" i="16"/>
  <c r="P16" i="16"/>
  <c r="N16" i="16"/>
  <c r="P15" i="16"/>
  <c r="N15" i="16"/>
  <c r="P14" i="16"/>
  <c r="N14" i="16"/>
  <c r="P13" i="16"/>
  <c r="N13" i="16"/>
  <c r="P12" i="16"/>
  <c r="N12" i="16"/>
  <c r="P11" i="16"/>
  <c r="N11" i="16"/>
  <c r="P10" i="16"/>
  <c r="N10" i="16"/>
  <c r="N18" i="16" s="1"/>
  <c r="L20" i="16" s="1"/>
  <c r="H18" i="16" a="1"/>
  <c r="H18" i="16" s="1"/>
  <c r="G11" i="16"/>
  <c r="G12" i="16"/>
  <c r="G13" i="16"/>
  <c r="G14" i="16"/>
  <c r="G15" i="16"/>
  <c r="G16" i="16"/>
  <c r="G17" i="16"/>
  <c r="G10" i="16"/>
  <c r="E11" i="16"/>
  <c r="E12" i="16"/>
  <c r="E13" i="16"/>
  <c r="E14" i="16"/>
  <c r="E15" i="16"/>
  <c r="E16" i="16"/>
  <c r="E17" i="16"/>
  <c r="E10" i="16"/>
  <c r="C18" i="16"/>
  <c r="K9" i="18"/>
  <c r="K10" i="18" s="1"/>
  <c r="P18" i="16" l="1"/>
  <c r="L21" i="16" s="1"/>
  <c r="E18" i="16"/>
  <c r="G18" i="16"/>
  <c r="J13" i="23"/>
  <c r="M12" i="23"/>
  <c r="N12" i="23" s="1"/>
  <c r="O12" i="23" s="1"/>
  <c r="M11" i="23"/>
  <c r="N11" i="23" s="1"/>
  <c r="O11" i="23" s="1"/>
  <c r="M10" i="23"/>
  <c r="N10" i="23" s="1"/>
  <c r="O10" i="23" s="1"/>
  <c r="M9" i="23"/>
  <c r="N9" i="23" s="1"/>
  <c r="O9" i="23" s="1"/>
  <c r="M8" i="23"/>
  <c r="N8" i="23" s="1"/>
  <c r="E9" i="23"/>
  <c r="F9" i="23" s="1"/>
  <c r="G9" i="23" s="1"/>
  <c r="E10" i="23"/>
  <c r="F10" i="23" s="1"/>
  <c r="G10" i="23" s="1"/>
  <c r="E11" i="23"/>
  <c r="F11" i="23" s="1"/>
  <c r="G11" i="23" s="1"/>
  <c r="E12" i="23"/>
  <c r="F12" i="23" s="1"/>
  <c r="G12" i="23" s="1"/>
  <c r="E8" i="23"/>
  <c r="F8" i="23" s="1"/>
  <c r="N17" i="13"/>
  <c r="L20" i="13" s="1"/>
  <c r="L17" i="13"/>
  <c r="K17" i="13"/>
  <c r="Q16" i="13"/>
  <c r="P16" i="13"/>
  <c r="Q15" i="13"/>
  <c r="P15" i="13"/>
  <c r="Q14" i="13"/>
  <c r="P14" i="13"/>
  <c r="H16" i="13"/>
  <c r="H15" i="13"/>
  <c r="H14" i="13"/>
  <c r="G15" i="13"/>
  <c r="G16" i="13"/>
  <c r="G14" i="13"/>
  <c r="E17" i="13"/>
  <c r="C20" i="13" s="1"/>
  <c r="C17" i="13"/>
  <c r="B17" i="13"/>
  <c r="J21" i="20"/>
  <c r="J13" i="14"/>
  <c r="J14" i="14" s="1"/>
  <c r="J12" i="14"/>
  <c r="B13" i="23"/>
  <c r="P17" i="13" l="1"/>
  <c r="L21" i="13" s="1"/>
  <c r="Q17" i="13"/>
  <c r="L23" i="13" s="1"/>
  <c r="G17" i="13"/>
  <c r="C21" i="13" s="1"/>
  <c r="H17" i="13"/>
  <c r="C23" i="13" s="1"/>
  <c r="G8" i="23"/>
  <c r="G13" i="23" s="1"/>
  <c r="F13" i="23"/>
  <c r="N13" i="23"/>
  <c r="O8" i="23"/>
  <c r="O13" i="23" s="1"/>
  <c r="L25" i="13"/>
  <c r="L26" i="13" s="1"/>
  <c r="J15" i="14"/>
  <c r="J16" i="15"/>
  <c r="J14" i="15"/>
  <c r="J13" i="15"/>
  <c r="I9" i="22"/>
  <c r="I12" i="22" s="1"/>
  <c r="I10" i="21"/>
  <c r="I11" i="21" s="1"/>
  <c r="I9" i="21"/>
  <c r="J22" i="20"/>
  <c r="J24" i="20" s="1"/>
  <c r="J29" i="19"/>
  <c r="J31" i="19" s="1"/>
  <c r="I21" i="19"/>
  <c r="K20" i="19"/>
  <c r="M20" i="19" s="1"/>
  <c r="K19" i="19"/>
  <c r="M19" i="19" s="1"/>
  <c r="K18" i="19"/>
  <c r="M18" i="19" s="1"/>
  <c r="K17" i="19"/>
  <c r="M17" i="19" s="1"/>
  <c r="K16" i="19"/>
  <c r="M16" i="19" s="1"/>
  <c r="K15" i="19"/>
  <c r="M15" i="19" s="1"/>
  <c r="K14" i="19"/>
  <c r="M14" i="19" s="1"/>
  <c r="K13" i="19"/>
  <c r="M13" i="19" s="1"/>
  <c r="K12" i="19"/>
  <c r="K11" i="19"/>
  <c r="M11" i="19" s="1"/>
  <c r="K10" i="19"/>
  <c r="F15" i="19"/>
  <c r="D11" i="19"/>
  <c r="F11" i="19" s="1"/>
  <c r="D12" i="19"/>
  <c r="D13" i="19"/>
  <c r="F13" i="19" s="1"/>
  <c r="D14" i="19"/>
  <c r="F14" i="19" s="1"/>
  <c r="D15" i="19"/>
  <c r="D16" i="19"/>
  <c r="F16" i="19" s="1"/>
  <c r="D17" i="19"/>
  <c r="F17" i="19" s="1"/>
  <c r="D18" i="19"/>
  <c r="F18" i="19" s="1"/>
  <c r="D19" i="19"/>
  <c r="F19" i="19" s="1"/>
  <c r="D20" i="19"/>
  <c r="F20" i="19" s="1"/>
  <c r="D10" i="19"/>
  <c r="B21" i="19"/>
  <c r="C25" i="13"/>
  <c r="C26" i="13" s="1"/>
  <c r="M17" i="12"/>
  <c r="M15" i="12"/>
  <c r="M14" i="12"/>
  <c r="M12" i="12"/>
  <c r="L16" i="3"/>
  <c r="L22" i="13" l="1"/>
  <c r="L24" i="13" s="1"/>
  <c r="L27" i="13" s="1"/>
  <c r="L17" i="3"/>
  <c r="L19" i="3" s="1"/>
  <c r="L18" i="3"/>
  <c r="J24" i="19"/>
  <c r="K21" i="19"/>
  <c r="J26" i="19" s="1"/>
  <c r="I10" i="22"/>
  <c r="I11" i="22" s="1"/>
  <c r="D21" i="19"/>
  <c r="J25" i="19"/>
  <c r="J23" i="19"/>
  <c r="K15" i="23"/>
  <c r="J16" i="14"/>
  <c r="J17" i="14"/>
</calcChain>
</file>

<file path=xl/sharedStrings.xml><?xml version="1.0" encoding="utf-8"?>
<sst xmlns="http://schemas.openxmlformats.org/spreadsheetml/2006/main" count="980" uniqueCount="273">
  <si>
    <t>psia</t>
  </si>
  <si>
    <t xml:space="preserve"> =</t>
  </si>
  <si>
    <t>Given:</t>
  </si>
  <si>
    <t>VAPB</t>
  </si>
  <si>
    <t>degF</t>
  </si>
  <si>
    <t>ASTM slope</t>
  </si>
  <si>
    <t>API gravity</t>
  </si>
  <si>
    <t xml:space="preserve"> = </t>
  </si>
  <si>
    <t>deg API</t>
  </si>
  <si>
    <t>To use Eq. 23-19 we need the average boiling point (MeABP):</t>
  </si>
  <si>
    <t>MeABP</t>
  </si>
  <si>
    <t>degR</t>
  </si>
  <si>
    <t>S, sp.gr.</t>
  </si>
  <si>
    <t>dimensionless</t>
  </si>
  <si>
    <r>
      <t>T</t>
    </r>
    <r>
      <rPr>
        <vertAlign val="subscript"/>
        <sz val="11"/>
        <rFont val="Times New Roman"/>
        <family val="1"/>
      </rPr>
      <t>pc</t>
    </r>
  </si>
  <si>
    <r>
      <rPr>
        <sz val="14"/>
        <rFont val="Times New Roman"/>
        <family val="1"/>
      </rPr>
      <t>ω</t>
    </r>
    <r>
      <rPr>
        <sz val="11"/>
        <rFont val="Times New Roman"/>
        <family val="1"/>
      </rPr>
      <t>, acentric factor</t>
    </r>
  </si>
  <si>
    <r>
      <t>P</t>
    </r>
    <r>
      <rPr>
        <vertAlign val="subscript"/>
        <sz val="11"/>
        <rFont val="Times New Roman"/>
        <family val="1"/>
      </rPr>
      <t>pc</t>
    </r>
  </si>
  <si>
    <t>Pressure</t>
  </si>
  <si>
    <t>Temperature</t>
  </si>
  <si>
    <t>MW</t>
  </si>
  <si>
    <t>lb/lb-mole</t>
  </si>
  <si>
    <t>Solution Steps</t>
  </si>
  <si>
    <r>
      <t>T</t>
    </r>
    <r>
      <rPr>
        <vertAlign val="subscript"/>
        <sz val="11"/>
        <rFont val="Times New Roman"/>
        <family val="1"/>
      </rPr>
      <t>c</t>
    </r>
  </si>
  <si>
    <r>
      <t>P</t>
    </r>
    <r>
      <rPr>
        <vertAlign val="subscript"/>
        <sz val="11"/>
        <rFont val="Times New Roman"/>
        <family val="1"/>
      </rPr>
      <t>c</t>
    </r>
  </si>
  <si>
    <r>
      <t>G</t>
    </r>
    <r>
      <rPr>
        <vertAlign val="superscript"/>
        <sz val="11"/>
        <rFont val="Times New Roman"/>
        <family val="1"/>
      </rPr>
      <t>id</t>
    </r>
  </si>
  <si>
    <r>
      <rPr>
        <sz val="11"/>
        <rFont val="Calibri"/>
        <family val="2"/>
      </rPr>
      <t>μ</t>
    </r>
    <r>
      <rPr>
        <vertAlign val="subscript"/>
        <sz val="12.65"/>
        <rFont val="Times New Roman"/>
        <family val="1"/>
      </rPr>
      <t>A</t>
    </r>
  </si>
  <si>
    <t>cP</t>
  </si>
  <si>
    <r>
      <t>T</t>
    </r>
    <r>
      <rPr>
        <vertAlign val="subscript"/>
        <sz val="12"/>
        <rFont val="Times New Roman"/>
        <family val="1"/>
      </rPr>
      <t>r</t>
    </r>
  </si>
  <si>
    <r>
      <t>P</t>
    </r>
    <r>
      <rPr>
        <vertAlign val="subscript"/>
        <sz val="12"/>
        <rFont val="Times New Roman"/>
        <family val="1"/>
      </rPr>
      <t>r</t>
    </r>
  </si>
  <si>
    <t xml:space="preserve"> μ</t>
  </si>
  <si>
    <t>For calculating viscosities of gaseous mixtures with large concentrations of non-hydrocarbons, use Dean and Stiel method.</t>
  </si>
  <si>
    <t>mol %</t>
  </si>
  <si>
    <r>
      <t>T</t>
    </r>
    <r>
      <rPr>
        <vertAlign val="subscript"/>
        <sz val="11"/>
        <rFont val="Times New Roman"/>
        <family val="1"/>
      </rPr>
      <t>cm</t>
    </r>
  </si>
  <si>
    <r>
      <t>V</t>
    </r>
    <r>
      <rPr>
        <vertAlign val="subscript"/>
        <sz val="11"/>
        <rFont val="Times New Roman"/>
        <family val="1"/>
      </rPr>
      <t>cm</t>
    </r>
  </si>
  <si>
    <r>
      <t>Z</t>
    </r>
    <r>
      <rPr>
        <vertAlign val="subscript"/>
        <sz val="11"/>
        <rFont val="Times New Roman"/>
        <family val="1"/>
      </rPr>
      <t>cm</t>
    </r>
  </si>
  <si>
    <r>
      <t>P</t>
    </r>
    <r>
      <rPr>
        <vertAlign val="subscript"/>
        <sz val="11"/>
        <rFont val="Times New Roman"/>
        <family val="1"/>
      </rPr>
      <t>cm</t>
    </r>
  </si>
  <si>
    <t>ξ</t>
  </si>
  <si>
    <r>
      <t>ξμ</t>
    </r>
    <r>
      <rPr>
        <vertAlign val="subscript"/>
        <sz val="12"/>
        <rFont val="Times New Roman"/>
        <family val="1"/>
      </rPr>
      <t>A</t>
    </r>
  </si>
  <si>
    <r>
      <t>μ</t>
    </r>
    <r>
      <rPr>
        <vertAlign val="subscript"/>
        <sz val="14"/>
        <rFont val="Times New Roman"/>
        <family val="1"/>
      </rPr>
      <t>A</t>
    </r>
  </si>
  <si>
    <t>Sp. Gr.</t>
  </si>
  <si>
    <t>Ln(B)</t>
  </si>
  <si>
    <t xml:space="preserve">B </t>
  </si>
  <si>
    <t>A</t>
  </si>
  <si>
    <r>
      <t>Mid-boiling point, T</t>
    </r>
    <r>
      <rPr>
        <vertAlign val="subscript"/>
        <sz val="11"/>
        <rFont val="Times New Roman"/>
        <family val="1"/>
      </rPr>
      <t>b</t>
    </r>
  </si>
  <si>
    <t>T1</t>
  </si>
  <si>
    <t>T2</t>
  </si>
  <si>
    <t>cs</t>
  </si>
  <si>
    <r>
      <t>psia</t>
    </r>
    <r>
      <rPr>
        <vertAlign val="superscript"/>
        <sz val="11"/>
        <rFont val="Times New Roman"/>
        <family val="1"/>
      </rPr>
      <t>-1</t>
    </r>
  </si>
  <si>
    <r>
      <t>K</t>
    </r>
    <r>
      <rPr>
        <vertAlign val="subscript"/>
        <sz val="11"/>
        <rFont val="Times New Roman"/>
        <family val="1"/>
      </rPr>
      <t>w</t>
    </r>
  </si>
  <si>
    <r>
      <t>k</t>
    </r>
    <r>
      <rPr>
        <vertAlign val="subscript"/>
        <sz val="11"/>
        <rFont val="Times New Roman"/>
        <family val="1"/>
      </rPr>
      <t>A</t>
    </r>
  </si>
  <si>
    <t>Btu/[(hr-sq.ft.-degF)/ft]</t>
  </si>
  <si>
    <r>
      <t>T</t>
    </r>
    <r>
      <rPr>
        <vertAlign val="subscript"/>
        <sz val="11"/>
        <rFont val="Times New Roman"/>
        <family val="1"/>
      </rPr>
      <t>r</t>
    </r>
  </si>
  <si>
    <r>
      <t>P</t>
    </r>
    <r>
      <rPr>
        <vertAlign val="subscript"/>
        <sz val="11"/>
        <rFont val="Times New Roman"/>
        <family val="1"/>
      </rPr>
      <t>r</t>
    </r>
  </si>
  <si>
    <r>
      <t>k/k</t>
    </r>
    <r>
      <rPr>
        <vertAlign val="subscript"/>
        <sz val="12"/>
        <rFont val="Times New Roman"/>
        <family val="1"/>
      </rPr>
      <t>A</t>
    </r>
  </si>
  <si>
    <t>k</t>
  </si>
  <si>
    <r>
      <t>Unadjusted T</t>
    </r>
    <r>
      <rPr>
        <vertAlign val="subscript"/>
        <sz val="11"/>
        <rFont val="Times New Roman"/>
        <family val="1"/>
      </rPr>
      <t>c</t>
    </r>
  </si>
  <si>
    <r>
      <t>Unadjusted P</t>
    </r>
    <r>
      <rPr>
        <vertAlign val="subscript"/>
        <sz val="11"/>
        <rFont val="Times New Roman"/>
        <family val="1"/>
      </rPr>
      <t>c</t>
    </r>
  </si>
  <si>
    <t>ε</t>
  </si>
  <si>
    <t>ft3/lbm</t>
  </si>
  <si>
    <t>Density (ρ)</t>
  </si>
  <si>
    <t>lbm/ft3</t>
  </si>
  <si>
    <t>Mole fraction H2S</t>
  </si>
  <si>
    <t>Mixture properties are given below (Fig 23-16)</t>
  </si>
  <si>
    <t>Component</t>
  </si>
  <si>
    <t>Mole fraction</t>
  </si>
  <si>
    <t>Mol wt</t>
  </si>
  <si>
    <t>Weight, lb</t>
  </si>
  <si>
    <t>Density (60F), lb/cf</t>
  </si>
  <si>
    <t>Volume, cu ft</t>
  </si>
  <si>
    <t>Methane</t>
  </si>
  <si>
    <t>Carbon dioxide</t>
  </si>
  <si>
    <t>Ethane</t>
  </si>
  <si>
    <t>Propane</t>
  </si>
  <si>
    <t>n-Butane</t>
  </si>
  <si>
    <t>n-Pentane</t>
  </si>
  <si>
    <t>n-Hexane</t>
  </si>
  <si>
    <t>n-Octane</t>
  </si>
  <si>
    <t>n-Decane</t>
  </si>
  <si>
    <t>n-Tetradecane</t>
  </si>
  <si>
    <t>Total</t>
  </si>
  <si>
    <t>n-Heptane</t>
  </si>
  <si>
    <t xml:space="preserve"> -</t>
  </si>
  <si>
    <t>Wt %</t>
  </si>
  <si>
    <t>Density at 60F and 1,760 psia</t>
  </si>
  <si>
    <t>Temp correction to 120F from Fig. 23-17</t>
  </si>
  <si>
    <t>LIMITS</t>
  </si>
  <si>
    <t>Distillation data</t>
  </si>
  <si>
    <t xml:space="preserve"> % Over</t>
  </si>
  <si>
    <t>IBP</t>
  </si>
  <si>
    <t>EP</t>
  </si>
  <si>
    <t>Slope</t>
  </si>
  <si>
    <t>VABP</t>
  </si>
  <si>
    <t>API Gravity</t>
  </si>
  <si>
    <t>Calculate MW using Eq. 23-14</t>
  </si>
  <si>
    <t>Convert API Gravity to Sp. Gr.</t>
  </si>
  <si>
    <t>lb/lb-mol</t>
  </si>
  <si>
    <t>API</t>
  </si>
  <si>
    <t>Convert API gravity to sp. Gr.</t>
  </si>
  <si>
    <t>Mole Fraction</t>
  </si>
  <si>
    <t>Molecular wt, MW</t>
  </si>
  <si>
    <t>CO2</t>
  </si>
  <si>
    <r>
      <t>MW</t>
    </r>
    <r>
      <rPr>
        <vertAlign val="superscript"/>
        <sz val="12"/>
        <rFont val="Times New Roman"/>
        <family val="1"/>
      </rPr>
      <t>-3</t>
    </r>
  </si>
  <si>
    <r>
      <t>(y</t>
    </r>
    <r>
      <rPr>
        <i/>
        <vertAlign val="subscript"/>
        <sz val="11"/>
        <rFont val="Times New Roman"/>
        <family val="1"/>
      </rPr>
      <t>i</t>
    </r>
    <r>
      <rPr>
        <i/>
        <sz val="11"/>
        <rFont val="Times New Roman"/>
        <family val="1"/>
      </rPr>
      <t>)</t>
    </r>
    <r>
      <rPr>
        <sz val="11"/>
        <rFont val="Times New Roman"/>
        <family val="1"/>
      </rPr>
      <t>MW</t>
    </r>
    <r>
      <rPr>
        <vertAlign val="superscript"/>
        <sz val="12"/>
        <rFont val="Times New Roman"/>
        <family val="1"/>
      </rPr>
      <t>-3</t>
    </r>
  </si>
  <si>
    <r>
      <t>(y</t>
    </r>
    <r>
      <rPr>
        <vertAlign val="subscript"/>
        <sz val="11"/>
        <rFont val="Times New Roman"/>
        <family val="1"/>
      </rPr>
      <t>i</t>
    </r>
    <r>
      <rPr>
        <sz val="11"/>
        <rFont val="Times New Roman"/>
        <family val="1"/>
      </rPr>
      <t>)(k</t>
    </r>
    <r>
      <rPr>
        <vertAlign val="subscript"/>
        <sz val="11"/>
        <rFont val="Times New Roman"/>
        <family val="1"/>
      </rPr>
      <t>i</t>
    </r>
    <r>
      <rPr>
        <sz val="11"/>
        <rFont val="Times New Roman"/>
        <family val="1"/>
      </rPr>
      <t>)MW</t>
    </r>
    <r>
      <rPr>
        <vertAlign val="superscript"/>
        <sz val="11"/>
        <rFont val="Times New Roman"/>
        <family val="1"/>
      </rPr>
      <t>-3</t>
    </r>
  </si>
  <si>
    <t>H2S</t>
  </si>
  <si>
    <t>N2</t>
  </si>
  <si>
    <t>CH4</t>
  </si>
  <si>
    <t>C2H6</t>
  </si>
  <si>
    <t>FIG. 23-1</t>
  </si>
  <si>
    <r>
      <t>Calculate adjusted pseudo-critical Temp., T</t>
    </r>
    <r>
      <rPr>
        <vertAlign val="subscript"/>
        <sz val="11"/>
        <rFont val="Times New Roman"/>
        <family val="1"/>
      </rPr>
      <t>c</t>
    </r>
    <r>
      <rPr>
        <sz val="11"/>
        <rFont val="Times New Roman"/>
        <family val="1"/>
      </rPr>
      <t>'</t>
    </r>
  </si>
  <si>
    <r>
      <t>Mole fraction H</t>
    </r>
    <r>
      <rPr>
        <vertAlign val="subscript"/>
        <sz val="11"/>
        <rFont val="Times New Roman"/>
        <family val="1"/>
      </rPr>
      <t>2</t>
    </r>
    <r>
      <rPr>
        <sz val="11"/>
        <rFont val="Times New Roman"/>
        <family val="1"/>
      </rPr>
      <t>S</t>
    </r>
  </si>
  <si>
    <r>
      <t>Calculate adjusted pseudo-critical pressure, P</t>
    </r>
    <r>
      <rPr>
        <vertAlign val="subscript"/>
        <sz val="11"/>
        <rFont val="Times New Roman"/>
        <family val="1"/>
      </rPr>
      <t>c</t>
    </r>
    <r>
      <rPr>
        <sz val="11"/>
        <rFont val="Times New Roman"/>
        <family val="1"/>
      </rPr>
      <t>'</t>
    </r>
  </si>
  <si>
    <r>
      <t>Calculate pseudo-reduced temperature, T</t>
    </r>
    <r>
      <rPr>
        <vertAlign val="subscript"/>
        <sz val="11"/>
        <rFont val="Times New Roman"/>
        <family val="1"/>
      </rPr>
      <t>r</t>
    </r>
    <r>
      <rPr>
        <sz val="11"/>
        <rFont val="Times New Roman"/>
        <family val="1"/>
      </rPr>
      <t>'</t>
    </r>
  </si>
  <si>
    <r>
      <t>Calculate pseudo-reduced pressure, P</t>
    </r>
    <r>
      <rPr>
        <vertAlign val="subscript"/>
        <sz val="11"/>
        <rFont val="Times New Roman"/>
        <family val="1"/>
      </rPr>
      <t>r</t>
    </r>
    <r>
      <rPr>
        <sz val="11"/>
        <rFont val="Times New Roman"/>
        <family val="1"/>
      </rPr>
      <t>'</t>
    </r>
  </si>
  <si>
    <r>
      <t>From Fig. 23-4, locate Z using T</t>
    </r>
    <r>
      <rPr>
        <vertAlign val="subscript"/>
        <sz val="12"/>
        <rFont val="Times New Roman"/>
        <family val="1"/>
      </rPr>
      <t>r</t>
    </r>
    <r>
      <rPr>
        <sz val="12"/>
        <rFont val="Times New Roman"/>
        <family val="1"/>
      </rPr>
      <t>' and P</t>
    </r>
    <r>
      <rPr>
        <vertAlign val="subscript"/>
        <sz val="12"/>
        <rFont val="Times New Roman"/>
        <family val="1"/>
      </rPr>
      <t>r</t>
    </r>
    <r>
      <rPr>
        <sz val="12"/>
        <rFont val="Times New Roman"/>
        <family val="1"/>
      </rPr>
      <t>'</t>
    </r>
  </si>
  <si>
    <r>
      <t>lbm/ft</t>
    </r>
    <r>
      <rPr>
        <vertAlign val="superscript"/>
        <sz val="11"/>
        <rFont val="Times New Roman"/>
        <family val="1"/>
      </rPr>
      <t>3</t>
    </r>
  </si>
  <si>
    <t>Mixtures at temperatures greater than 150F that contain more than 60 mol% methane or more than 80 mol% CO2 are problem areas.</t>
  </si>
  <si>
    <t>Nitrogen</t>
  </si>
  <si>
    <t>Use this method for large amounts of non-hydrocarbons.</t>
  </si>
  <si>
    <t>Mixture</t>
  </si>
  <si>
    <r>
      <t>P</t>
    </r>
    <r>
      <rPr>
        <vertAlign val="subscript"/>
        <sz val="11"/>
        <rFont val="Times New Roman"/>
        <family val="1"/>
      </rPr>
      <t>ci</t>
    </r>
    <r>
      <rPr>
        <sz val="11"/>
        <rFont val="Times New Roman"/>
        <family val="1"/>
      </rPr>
      <t>, psia</t>
    </r>
  </si>
  <si>
    <r>
      <t>mol fract, y</t>
    </r>
    <r>
      <rPr>
        <vertAlign val="subscript"/>
        <sz val="11"/>
        <rFont val="Times New Roman"/>
        <family val="1"/>
      </rPr>
      <t>i</t>
    </r>
  </si>
  <si>
    <r>
      <t>ft</t>
    </r>
    <r>
      <rPr>
        <vertAlign val="superscript"/>
        <sz val="11"/>
        <rFont val="Times New Roman"/>
        <family val="1"/>
      </rPr>
      <t>3</t>
    </r>
    <r>
      <rPr>
        <sz val="11"/>
        <rFont val="Times New Roman"/>
        <family val="1"/>
      </rPr>
      <t>/lb</t>
    </r>
  </si>
  <si>
    <r>
      <t>V</t>
    </r>
    <r>
      <rPr>
        <vertAlign val="subscript"/>
        <sz val="11"/>
        <rFont val="Times New Roman"/>
        <family val="1"/>
      </rPr>
      <t>ci</t>
    </r>
    <r>
      <rPr>
        <sz val="11"/>
        <rFont val="Times New Roman"/>
        <family val="1"/>
      </rPr>
      <t>, ft</t>
    </r>
    <r>
      <rPr>
        <vertAlign val="superscript"/>
        <sz val="11"/>
        <rFont val="Times New Roman"/>
        <family val="1"/>
      </rPr>
      <t>3</t>
    </r>
    <r>
      <rPr>
        <sz val="11"/>
        <rFont val="Times New Roman"/>
        <family val="1"/>
      </rPr>
      <t>/lb</t>
    </r>
  </si>
  <si>
    <r>
      <t>V</t>
    </r>
    <r>
      <rPr>
        <vertAlign val="subscript"/>
        <sz val="11"/>
        <rFont val="Times New Roman"/>
        <family val="1"/>
      </rPr>
      <t>ci</t>
    </r>
    <r>
      <rPr>
        <sz val="11"/>
        <rFont val="Times New Roman"/>
        <family val="1"/>
      </rPr>
      <t xml:space="preserve"> • MW</t>
    </r>
    <r>
      <rPr>
        <vertAlign val="subscript"/>
        <sz val="11"/>
        <rFont val="Times New Roman"/>
        <family val="1"/>
      </rPr>
      <t xml:space="preserve">i </t>
    </r>
    <r>
      <rPr>
        <sz val="11"/>
        <rFont val="Times New Roman"/>
        <family val="1"/>
      </rPr>
      <t>• y</t>
    </r>
    <r>
      <rPr>
        <vertAlign val="subscript"/>
        <sz val="11"/>
        <rFont val="Times New Roman"/>
        <family val="1"/>
      </rPr>
      <t>i</t>
    </r>
  </si>
  <si>
    <r>
      <t>Z</t>
    </r>
    <r>
      <rPr>
        <vertAlign val="subscript"/>
        <sz val="11"/>
        <rFont val="Times New Roman"/>
        <family val="1"/>
      </rPr>
      <t xml:space="preserve">ci </t>
    </r>
    <r>
      <rPr>
        <sz val="11"/>
        <rFont val="Times New Roman"/>
        <family val="1"/>
      </rPr>
      <t>• y</t>
    </r>
    <r>
      <rPr>
        <vertAlign val="subscript"/>
        <sz val="11"/>
        <rFont val="Times New Roman"/>
        <family val="1"/>
      </rPr>
      <t>i</t>
    </r>
  </si>
  <si>
    <t>The sample calculations, equations and spreadsheets presented herein were developed using examples published in the Engineering Data Book as published by the Gas Processor Suppliers Association as a service to the gas processing industry.  All information and calculation formulae has been compiled and edited in cooperation with Gas Processors Association (GPA).</t>
  </si>
  <si>
    <r>
      <t>MW</t>
    </r>
    <r>
      <rPr>
        <vertAlign val="superscript"/>
        <sz val="11"/>
        <rFont val="Times New Roman"/>
        <family val="1"/>
      </rPr>
      <t>-3</t>
    </r>
  </si>
  <si>
    <r>
      <t>(y</t>
    </r>
    <r>
      <rPr>
        <i/>
        <vertAlign val="subscript"/>
        <sz val="11"/>
        <rFont val="Times New Roman"/>
        <family val="1"/>
      </rPr>
      <t>i</t>
    </r>
    <r>
      <rPr>
        <i/>
        <sz val="11"/>
        <rFont val="Times New Roman"/>
        <family val="1"/>
      </rPr>
      <t>)</t>
    </r>
    <r>
      <rPr>
        <sz val="11"/>
        <rFont val="Times New Roman"/>
        <family val="1"/>
      </rPr>
      <t>MW</t>
    </r>
    <r>
      <rPr>
        <vertAlign val="superscript"/>
        <sz val="11"/>
        <rFont val="Times New Roman"/>
        <family val="1"/>
      </rPr>
      <t>-3</t>
    </r>
  </si>
  <si>
    <t>Specific volume (v)</t>
  </si>
  <si>
    <t>deg F</t>
  </si>
  <si>
    <t>Z</t>
  </si>
  <si>
    <t>(from P-H diagram, Fig. 24-22)</t>
  </si>
  <si>
    <t>Example 23-2 - Calculate the density of the following gas mixture at:</t>
  </si>
  <si>
    <t>=</t>
  </si>
  <si>
    <r>
      <t>CH</t>
    </r>
    <r>
      <rPr>
        <vertAlign val="subscript"/>
        <sz val="11"/>
        <rFont val="Times New Roman"/>
        <family val="1"/>
      </rPr>
      <t>4</t>
    </r>
  </si>
  <si>
    <r>
      <t>C</t>
    </r>
    <r>
      <rPr>
        <vertAlign val="subscript"/>
        <sz val="11"/>
        <rFont val="Times New Roman"/>
        <family val="1"/>
      </rPr>
      <t>2</t>
    </r>
    <r>
      <rPr>
        <sz val="11"/>
        <rFont val="Times New Roman"/>
        <family val="1"/>
      </rPr>
      <t>H</t>
    </r>
    <r>
      <rPr>
        <vertAlign val="subscript"/>
        <sz val="11"/>
        <rFont val="Times New Roman"/>
        <family val="1"/>
      </rPr>
      <t>6</t>
    </r>
  </si>
  <si>
    <r>
      <t>C</t>
    </r>
    <r>
      <rPr>
        <vertAlign val="subscript"/>
        <sz val="11"/>
        <rFont val="Times New Roman"/>
        <family val="1"/>
      </rPr>
      <t>3</t>
    </r>
    <r>
      <rPr>
        <sz val="11"/>
        <rFont val="Times New Roman"/>
        <family val="1"/>
      </rPr>
      <t>H</t>
    </r>
    <r>
      <rPr>
        <vertAlign val="subscript"/>
        <sz val="11"/>
        <rFont val="Times New Roman"/>
        <family val="1"/>
      </rPr>
      <t>8</t>
    </r>
  </si>
  <si>
    <r>
      <t>i-C</t>
    </r>
    <r>
      <rPr>
        <vertAlign val="subscript"/>
        <sz val="11"/>
        <rFont val="Times New Roman"/>
        <family val="1"/>
      </rPr>
      <t>4</t>
    </r>
    <r>
      <rPr>
        <sz val="11"/>
        <rFont val="Times New Roman"/>
        <family val="1"/>
      </rPr>
      <t>H</t>
    </r>
    <r>
      <rPr>
        <vertAlign val="subscript"/>
        <sz val="11"/>
        <rFont val="Times New Roman"/>
        <family val="1"/>
      </rPr>
      <t>10</t>
    </r>
  </si>
  <si>
    <r>
      <t>n-C</t>
    </r>
    <r>
      <rPr>
        <vertAlign val="subscript"/>
        <sz val="11"/>
        <rFont val="Times New Roman"/>
        <family val="1"/>
      </rPr>
      <t>4</t>
    </r>
    <r>
      <rPr>
        <sz val="11"/>
        <rFont val="Times New Roman"/>
        <family val="1"/>
      </rPr>
      <t>H</t>
    </r>
    <r>
      <rPr>
        <vertAlign val="subscript"/>
        <sz val="11"/>
        <rFont val="Times New Roman"/>
        <family val="1"/>
      </rPr>
      <t>10</t>
    </r>
  </si>
  <si>
    <r>
      <t>i-C</t>
    </r>
    <r>
      <rPr>
        <vertAlign val="subscript"/>
        <sz val="11"/>
        <rFont val="Times New Roman"/>
        <family val="1"/>
      </rPr>
      <t>5</t>
    </r>
    <r>
      <rPr>
        <sz val="11"/>
        <rFont val="Times New Roman"/>
        <family val="1"/>
      </rPr>
      <t>H</t>
    </r>
    <r>
      <rPr>
        <vertAlign val="subscript"/>
        <sz val="11"/>
        <rFont val="Times New Roman"/>
        <family val="1"/>
      </rPr>
      <t>12</t>
    </r>
  </si>
  <si>
    <r>
      <t>n-C</t>
    </r>
    <r>
      <rPr>
        <vertAlign val="subscript"/>
        <sz val="11"/>
        <rFont val="Times New Roman"/>
        <family val="1"/>
      </rPr>
      <t>5</t>
    </r>
    <r>
      <rPr>
        <sz val="11"/>
        <rFont val="Times New Roman"/>
        <family val="1"/>
      </rPr>
      <t>H</t>
    </r>
    <r>
      <rPr>
        <vertAlign val="subscript"/>
        <sz val="11"/>
        <rFont val="Times New Roman"/>
        <family val="1"/>
      </rPr>
      <t>12</t>
    </r>
    <r>
      <rPr>
        <sz val="11"/>
        <color theme="1"/>
        <rFont val="Arial Narrow"/>
        <family val="2"/>
      </rPr>
      <t/>
    </r>
  </si>
  <si>
    <r>
      <t>C</t>
    </r>
    <r>
      <rPr>
        <vertAlign val="subscript"/>
        <sz val="11"/>
        <rFont val="Times New Roman"/>
        <family val="1"/>
      </rPr>
      <t>6</t>
    </r>
    <r>
      <rPr>
        <sz val="11"/>
        <rFont val="Times New Roman"/>
        <family val="1"/>
      </rPr>
      <t>H</t>
    </r>
    <r>
      <rPr>
        <vertAlign val="subscript"/>
        <sz val="11"/>
        <rFont val="Times New Roman"/>
        <family val="1"/>
      </rPr>
      <t>14</t>
    </r>
  </si>
  <si>
    <r>
      <t>T</t>
    </r>
    <r>
      <rPr>
        <b/>
        <vertAlign val="subscript"/>
        <sz val="11"/>
        <rFont val="Times New Roman"/>
        <family val="1"/>
      </rPr>
      <t>ci</t>
    </r>
    <r>
      <rPr>
        <b/>
        <sz val="11"/>
        <rFont val="Times New Roman"/>
        <family val="1"/>
      </rPr>
      <t xml:space="preserve"> [R]</t>
    </r>
  </si>
  <si>
    <r>
      <t>T</t>
    </r>
    <r>
      <rPr>
        <b/>
        <vertAlign val="subscript"/>
        <sz val="11"/>
        <rFont val="Times New Roman"/>
        <family val="1"/>
      </rPr>
      <t>pc</t>
    </r>
    <r>
      <rPr>
        <b/>
        <sz val="11"/>
        <rFont val="Times New Roman"/>
        <family val="1"/>
      </rPr>
      <t xml:space="preserve"> [R]</t>
    </r>
  </si>
  <si>
    <r>
      <t>P</t>
    </r>
    <r>
      <rPr>
        <b/>
        <vertAlign val="subscript"/>
        <sz val="11"/>
        <rFont val="Times New Roman"/>
        <family val="1"/>
      </rPr>
      <t>ci</t>
    </r>
    <r>
      <rPr>
        <b/>
        <sz val="11"/>
        <rFont val="Times New Roman"/>
        <family val="1"/>
      </rPr>
      <t xml:space="preserve"> [psia]</t>
    </r>
  </si>
  <si>
    <r>
      <t>y</t>
    </r>
    <r>
      <rPr>
        <b/>
        <vertAlign val="subscript"/>
        <sz val="11"/>
        <rFont val="Times New Roman"/>
        <family val="1"/>
      </rPr>
      <t xml:space="preserve">i </t>
    </r>
    <r>
      <rPr>
        <b/>
        <sz val="11"/>
        <rFont val="Times New Roman"/>
        <family val="1"/>
      </rPr>
      <t>[%]</t>
    </r>
  </si>
  <si>
    <t>Z-factor</t>
  </si>
  <si>
    <t>(pseudo-reduced pressure)</t>
  </si>
  <si>
    <t>(pseudo-reduced temperature)</t>
  </si>
  <si>
    <t>Density</t>
  </si>
  <si>
    <t>(100+459.67)/392.7=1.425</t>
  </si>
  <si>
    <t>1000/661.6=1.512</t>
  </si>
  <si>
    <t>Example 23-3 Calculate the liquid density of a mixture at :</t>
  </si>
  <si>
    <t>Temp, deg F</t>
  </si>
  <si>
    <t>Correction to VABP</t>
  </si>
  <si>
    <t>Above calculation is limited to hydrocarbon mixtures with a boiling point range of 50 deg F or less.</t>
  </si>
  <si>
    <t>T, deg R</t>
  </si>
  <si>
    <t>deg R</t>
  </si>
  <si>
    <t>(from Eq. 23-15)</t>
  </si>
  <si>
    <t>(from Eq.23-19; atmospheric pressure=14.7 psia)</t>
  </si>
  <si>
    <t>(from Fig. 23-18)</t>
  </si>
  <si>
    <t>Pseudo-critical temp</t>
  </si>
  <si>
    <t>(from Eq. 23-16)</t>
  </si>
  <si>
    <t>Pseudo-critical pressure</t>
  </si>
  <si>
    <t>Example 23-7 Calculate pseudo-critical temperature and pressure using mixture from Example 23-5</t>
  </si>
  <si>
    <t>Convert pseudo-critical temp to deg F</t>
  </si>
  <si>
    <t xml:space="preserve"> (from Eq. 23-15 &amp; MeABP = 271 deg F)</t>
  </si>
  <si>
    <t>Valid over a range of 80 to 690 MW; 70 to 295 deg F normal boiling point; and 6.6 to 95 degAPI</t>
  </si>
  <si>
    <t>Valid over range of 80 to 690 MW; 70 to 295 deg F normal boiling point; and 6.6 to 95 degAPI</t>
  </si>
  <si>
    <t>Example 23-6 Calculation of molecular weight, using mixture from Example 23-5.</t>
  </si>
  <si>
    <t>Example 23-6 Calculation of molecular weight, using mixture from Example 23-5</t>
  </si>
  <si>
    <t>Valid in the molecular weight range of 70 to 720; MeABP range of 97 to 1,040 deg F; and the API range of 14 to 93.</t>
  </si>
  <si>
    <t>Convert MeABP from deg F to deg R</t>
  </si>
  <si>
    <t>VABP correction</t>
  </si>
  <si>
    <r>
      <t>(from Fig.23-4 with P</t>
    </r>
    <r>
      <rPr>
        <vertAlign val="subscript"/>
        <sz val="11"/>
        <rFont val="Times New Roman"/>
        <family val="1"/>
      </rPr>
      <t>r</t>
    </r>
    <r>
      <rPr>
        <sz val="11"/>
        <rFont val="Times New Roman"/>
        <family val="1"/>
      </rPr>
      <t xml:space="preserve"> and T</t>
    </r>
    <r>
      <rPr>
        <vertAlign val="subscript"/>
        <sz val="11"/>
        <rFont val="Times New Roman"/>
        <family val="1"/>
      </rPr>
      <t>r</t>
    </r>
    <r>
      <rPr>
        <sz val="11"/>
        <rFont val="Times New Roman"/>
        <family val="1"/>
      </rPr>
      <t>)</t>
    </r>
  </si>
  <si>
    <t>(from Fig. 23-22 at 100 deg F)</t>
  </si>
  <si>
    <r>
      <t>μ/μ</t>
    </r>
    <r>
      <rPr>
        <vertAlign val="subscript"/>
        <sz val="11"/>
        <rFont val="Times New Roman"/>
        <family val="1"/>
      </rPr>
      <t>A</t>
    </r>
  </si>
  <si>
    <t>(from Fig. 23-24)</t>
  </si>
  <si>
    <t xml:space="preserve"> 418-3 = 415</t>
  </si>
  <si>
    <t>415+460 = 875</t>
  </si>
  <si>
    <t xml:space="preserve"> 141.5/(131.5+41) = 0.820</t>
  </si>
  <si>
    <r>
      <t>3.12281(10</t>
    </r>
    <r>
      <rPr>
        <vertAlign val="superscript"/>
        <sz val="11"/>
        <rFont val="Times New Roman"/>
        <family val="1"/>
      </rPr>
      <t>9</t>
    </r>
    <r>
      <rPr>
        <sz val="11"/>
        <rFont val="Times New Roman"/>
        <family val="1"/>
      </rPr>
      <t>)(875)</t>
    </r>
    <r>
      <rPr>
        <vertAlign val="superscript"/>
        <sz val="11"/>
        <rFont val="Times New Roman"/>
        <family val="1"/>
      </rPr>
      <t>-2.3125</t>
    </r>
    <r>
      <rPr>
        <sz val="11"/>
        <rFont val="Times New Roman"/>
        <family val="1"/>
      </rPr>
      <t>(0.820)</t>
    </r>
    <r>
      <rPr>
        <vertAlign val="superscript"/>
        <sz val="11"/>
        <rFont val="Times New Roman"/>
        <family val="1"/>
      </rPr>
      <t>2.3201</t>
    </r>
    <r>
      <rPr>
        <sz val="11"/>
        <rFont val="Times New Roman"/>
        <family val="1"/>
      </rPr>
      <t>=310</t>
    </r>
  </si>
  <si>
    <r>
      <t>24.2787(875)</t>
    </r>
    <r>
      <rPr>
        <vertAlign val="superscript"/>
        <sz val="11"/>
        <rFont val="Times New Roman"/>
        <family val="1"/>
      </rPr>
      <t>0.58848</t>
    </r>
    <r>
      <rPr>
        <sz val="11"/>
        <rFont val="Times New Roman"/>
        <family val="1"/>
      </rPr>
      <t>(0.820)</t>
    </r>
    <r>
      <rPr>
        <vertAlign val="superscript"/>
        <sz val="11"/>
        <rFont val="Times New Roman"/>
        <family val="1"/>
      </rPr>
      <t>0.3596</t>
    </r>
    <r>
      <rPr>
        <sz val="11"/>
        <rFont val="Times New Roman"/>
        <family val="1"/>
      </rPr>
      <t>=1218</t>
    </r>
  </si>
  <si>
    <t>(3/7)(log 310-log 14.7)/(1218/875-1)-1=0.448</t>
  </si>
  <si>
    <t>141.5/(131.5+56.8)=0.7515</t>
  </si>
  <si>
    <t>22/28.9625=0.760</t>
  </si>
  <si>
    <t>(100+459.7)/409=1.37</t>
  </si>
  <si>
    <t>1000/665=1.50</t>
  </si>
  <si>
    <t>1.21*0.0105=0.0127</t>
  </si>
  <si>
    <r>
      <t>24.2787(271+460)</t>
    </r>
    <r>
      <rPr>
        <vertAlign val="superscript"/>
        <sz val="11"/>
        <rFont val="Times New Roman"/>
        <family val="1"/>
      </rPr>
      <t>0.58848</t>
    </r>
    <r>
      <rPr>
        <sz val="11"/>
        <rFont val="Times New Roman"/>
        <family val="1"/>
      </rPr>
      <t>(0.7515)</t>
    </r>
    <r>
      <rPr>
        <vertAlign val="superscript"/>
        <sz val="11"/>
        <rFont val="Times New Roman"/>
        <family val="1"/>
      </rPr>
      <t>0.3596</t>
    </r>
    <r>
      <rPr>
        <sz val="11"/>
        <rFont val="Times New Roman"/>
        <family val="1"/>
      </rPr>
      <t>=1062</t>
    </r>
  </si>
  <si>
    <t>1062-460=602</t>
  </si>
  <si>
    <t>271+460=731</t>
  </si>
  <si>
    <t>(592-153)/80=5.49</t>
  </si>
  <si>
    <t>(153+217+280+384+592)/5=325</t>
  </si>
  <si>
    <t>325-54=271</t>
  </si>
  <si>
    <t>44.836/1.0128=44.275</t>
  </si>
  <si>
    <t>100*0.567/(0.567+44.836)=1.25%</t>
  </si>
  <si>
    <t>(45.403+17.485)/(45.403/44+0.3427)=45.75</t>
  </si>
  <si>
    <t>100*3.352/66.241=5.1%</t>
  </si>
  <si>
    <t>(from Fig 23-15)</t>
  </si>
  <si>
    <t>Pseudo-density of mixture</t>
  </si>
  <si>
    <t>(at 60F and 14.7 psia, Fig 23-14)</t>
  </si>
  <si>
    <t>Pressure correction</t>
  </si>
  <si>
    <t>42.9+0.7=43.6</t>
  </si>
  <si>
    <t>43.6-1.8=41.8</t>
  </si>
  <si>
    <t>(from Fig. 23-8)</t>
  </si>
  <si>
    <t>433.9-29.8=404.1</t>
  </si>
  <si>
    <t>826.9*404.1/(433.9+0.2*(1-0.2)*29.8)=761.7</t>
  </si>
  <si>
    <t>(100+460)/404.1=1.385</t>
  </si>
  <si>
    <t>1000/761.7=1.313</t>
  </si>
  <si>
    <t>20.426*1000/10.732/0.86/559.67=3.95</t>
  </si>
  <si>
    <t>1/1.5=0.667</t>
  </si>
  <si>
    <t>44.10*100/10.73/(460+200)/0.667=0.936</t>
  </si>
  <si>
    <r>
      <t>y</t>
    </r>
    <r>
      <rPr>
        <vertAlign val="subscript"/>
        <sz val="11"/>
        <rFont val="Times New Roman"/>
        <family val="1"/>
      </rPr>
      <t>i</t>
    </r>
  </si>
  <si>
    <t>0.2877*10.73*335.9/1.558=665.6</t>
  </si>
  <si>
    <t>(from Eq. 23-20)</t>
  </si>
  <si>
    <t>(from Eq. 23-21)</t>
  </si>
  <si>
    <t>(from Eq. 23-22)</t>
  </si>
  <si>
    <r>
      <t>μ</t>
    </r>
    <r>
      <rPr>
        <vertAlign val="subscript"/>
        <sz val="11"/>
        <rFont val="Times New Roman"/>
        <family val="1"/>
      </rPr>
      <t>A</t>
    </r>
  </si>
  <si>
    <r>
      <t>5.4402*(335.9)</t>
    </r>
    <r>
      <rPr>
        <vertAlign val="superscript"/>
        <sz val="11"/>
        <rFont val="Times New Roman"/>
        <family val="1"/>
      </rPr>
      <t>0.1666</t>
    </r>
    <r>
      <rPr>
        <sz val="11"/>
        <rFont val="Times New Roman"/>
        <family val="1"/>
      </rPr>
      <t>/(665.6</t>
    </r>
    <r>
      <rPr>
        <vertAlign val="superscript"/>
        <sz val="11"/>
        <rFont val="Times New Roman"/>
        <family val="1"/>
      </rPr>
      <t>0.6666</t>
    </r>
    <r>
      <rPr>
        <sz val="11"/>
        <rFont val="Times New Roman"/>
        <family val="1"/>
      </rPr>
      <t>)/(19.23)</t>
    </r>
    <r>
      <rPr>
        <vertAlign val="superscript"/>
        <sz val="11"/>
        <rFont val="Times New Roman"/>
        <family val="1"/>
      </rPr>
      <t>0.5</t>
    </r>
    <r>
      <rPr>
        <sz val="11"/>
        <rFont val="Times New Roman"/>
        <family val="1"/>
      </rPr>
      <t>=0.043</t>
    </r>
  </si>
  <si>
    <t>0.000489/0.043=0.014</t>
  </si>
  <si>
    <t>Tci, deg R</t>
  </si>
  <si>
    <t>Range is 0 to 1,100 deg F</t>
  </si>
  <si>
    <t>η @ 100 deg F</t>
  </si>
  <si>
    <t>η @ 210 deg F</t>
  </si>
  <si>
    <t>B</t>
  </si>
  <si>
    <r>
      <t>(325+459.67)</t>
    </r>
    <r>
      <rPr>
        <vertAlign val="superscript"/>
        <sz val="11"/>
        <rFont val="Times New Roman"/>
        <family val="1"/>
      </rPr>
      <t>0.3333</t>
    </r>
    <r>
      <rPr>
        <sz val="11"/>
        <rFont val="Times New Roman"/>
        <family val="1"/>
      </rPr>
      <t>/0.7688=11.99</t>
    </r>
  </si>
  <si>
    <t>4.717+(0.00292*(325+459.67))=7.01</t>
  </si>
  <si>
    <r>
      <t>2.71828</t>
    </r>
    <r>
      <rPr>
        <vertAlign val="superscript"/>
        <sz val="11"/>
        <rFont val="Times New Roman"/>
        <family val="1"/>
      </rPr>
      <t>7.01</t>
    </r>
    <r>
      <rPr>
        <sz val="11"/>
        <rFont val="Times New Roman"/>
        <family val="1"/>
      </rPr>
      <t>=1105.7</t>
    </r>
  </si>
  <si>
    <r>
      <t>((101.78*(325+459.67)</t>
    </r>
    <r>
      <rPr>
        <vertAlign val="superscript"/>
        <sz val="11"/>
        <rFont val="Times New Roman"/>
        <family val="1"/>
      </rPr>
      <t>-0.175</t>
    </r>
    <r>
      <rPr>
        <sz val="11"/>
        <rFont val="Times New Roman"/>
        <family val="1"/>
      </rPr>
      <t>)-29.263)*11.99/1105.7=0.02646</t>
    </r>
  </si>
  <si>
    <r>
      <t>0.02646*2.71828</t>
    </r>
    <r>
      <rPr>
        <vertAlign val="superscript"/>
        <sz val="11"/>
        <rFont val="Times New Roman"/>
        <family val="1"/>
      </rPr>
      <t>((1.8*1105.7/(100+459.67)))</t>
    </r>
    <r>
      <rPr>
        <sz val="11"/>
        <rFont val="Times New Roman"/>
        <family val="1"/>
      </rPr>
      <t>=0.927</t>
    </r>
  </si>
  <si>
    <r>
      <t>0.02646*2.71828</t>
    </r>
    <r>
      <rPr>
        <vertAlign val="superscript"/>
        <sz val="11"/>
        <rFont val="Times New Roman"/>
        <family val="1"/>
      </rPr>
      <t>((1.8*1105.7/(210+459.67)))</t>
    </r>
    <r>
      <rPr>
        <sz val="11"/>
        <rFont val="Times New Roman"/>
        <family val="1"/>
      </rPr>
      <t>=0.928</t>
    </r>
    <r>
      <rPr>
        <sz val="11"/>
        <color theme="1"/>
        <rFont val="Arial Narrow"/>
        <family val="2"/>
      </rPr>
      <t/>
    </r>
  </si>
  <si>
    <t>(300+459.67)/440=1.73</t>
  </si>
  <si>
    <t>700/660=1.06</t>
  </si>
  <si>
    <t>1.15*0.0248=0.0285</t>
  </si>
  <si>
    <t>(from Eq. 23-30)</t>
  </si>
  <si>
    <r>
      <t>k</t>
    </r>
    <r>
      <rPr>
        <vertAlign val="subscript"/>
        <sz val="11"/>
        <rFont val="Times New Roman"/>
        <family val="1"/>
      </rPr>
      <t>m</t>
    </r>
  </si>
  <si>
    <t>km</t>
  </si>
  <si>
    <t>0.05773/2.8218=0.0205</t>
  </si>
  <si>
    <t>Example 23-1 Using Fig. 24-22, the P-H diagram for propane, calculate the density and Z-factor of propane vapor at 200 deg F and 100 psia.</t>
  </si>
  <si>
    <r>
      <t>Example 23-3 - A sour natural gas contains 10 mol% CO</t>
    </r>
    <r>
      <rPr>
        <b/>
        <vertAlign val="subscript"/>
        <sz val="11"/>
        <rFont val="Times New Roman"/>
        <family val="1"/>
      </rPr>
      <t>2</t>
    </r>
    <r>
      <rPr>
        <b/>
        <sz val="11"/>
        <rFont val="Times New Roman"/>
        <family val="1"/>
      </rPr>
      <t xml:space="preserve"> and 20 mol% H</t>
    </r>
    <r>
      <rPr>
        <b/>
        <vertAlign val="subscript"/>
        <sz val="11"/>
        <rFont val="Times New Roman"/>
        <family val="1"/>
      </rPr>
      <t>2</t>
    </r>
    <r>
      <rPr>
        <b/>
        <sz val="11"/>
        <rFont val="Times New Roman"/>
        <family val="1"/>
      </rPr>
      <t>S.  The unadjusted values of Tc' and Pc' can be taken as 433.9 deg R and 826.9 psia, respectively.  Determine the Z-factor for the gas at 100 deg F and 1000 psia.</t>
    </r>
  </si>
  <si>
    <t>Example 23-3 - A sour natural gas contains 10 mol% CO2 and 20 mol% H2S.  The unadjusted values of Tc' and Pc' can be taken as 433.9 deg R and 826.9 psia, respectively.  Determine the Z-factor for the gas at 100 deg F and 1000 psia.</t>
  </si>
  <si>
    <r>
      <t>Calculate density of C</t>
    </r>
    <r>
      <rPr>
        <vertAlign val="subscript"/>
        <sz val="11"/>
        <rFont val="Times New Roman"/>
        <family val="1"/>
      </rPr>
      <t>3</t>
    </r>
    <r>
      <rPr>
        <vertAlign val="superscript"/>
        <sz val="11"/>
        <rFont val="Times New Roman"/>
        <family val="1"/>
      </rPr>
      <t>+</t>
    </r>
  </si>
  <si>
    <r>
      <t>Weight % C</t>
    </r>
    <r>
      <rPr>
        <vertAlign val="subscript"/>
        <sz val="11"/>
        <rFont val="Times New Roman"/>
        <family val="1"/>
      </rPr>
      <t>2</t>
    </r>
    <r>
      <rPr>
        <sz val="11"/>
        <rFont val="Times New Roman"/>
        <family val="1"/>
      </rPr>
      <t xml:space="preserve"> in C</t>
    </r>
    <r>
      <rPr>
        <vertAlign val="subscript"/>
        <sz val="11"/>
        <rFont val="Times New Roman"/>
        <family val="1"/>
      </rPr>
      <t>2</t>
    </r>
    <r>
      <rPr>
        <vertAlign val="superscript"/>
        <sz val="11"/>
        <rFont val="Times New Roman"/>
        <family val="1"/>
      </rPr>
      <t>+</t>
    </r>
  </si>
  <si>
    <r>
      <t>Density of CO</t>
    </r>
    <r>
      <rPr>
        <vertAlign val="subscript"/>
        <sz val="11"/>
        <rFont val="Times New Roman"/>
        <family val="1"/>
      </rPr>
      <t>2</t>
    </r>
    <r>
      <rPr>
        <vertAlign val="superscript"/>
        <sz val="11"/>
        <rFont val="Times New Roman"/>
        <family val="1"/>
      </rPr>
      <t>+</t>
    </r>
  </si>
  <si>
    <r>
      <t>Wt % CH</t>
    </r>
    <r>
      <rPr>
        <vertAlign val="subscript"/>
        <sz val="11"/>
        <rFont val="Times New Roman"/>
        <family val="1"/>
      </rPr>
      <t>4</t>
    </r>
    <r>
      <rPr>
        <sz val="11"/>
        <rFont val="Times New Roman"/>
        <family val="1"/>
      </rPr>
      <t xml:space="preserve"> in Total</t>
    </r>
  </si>
  <si>
    <t>Generally applicable to liquids containing components heavier than pentanes (gas saturated or subcooled) at pressures up to 10,000 psia and temperatures from -100F to 600F. Procedure can handle up to 20% N2, 80% CO2, and 30% H2S. Not valid in the critical region.</t>
  </si>
  <si>
    <t>Example 23-5 Determine the mean average boiling point (MeABP) for a 56.8 deg API petroleum fraction with the following ASTM distillation data.</t>
  </si>
  <si>
    <r>
      <t>3.12281(10</t>
    </r>
    <r>
      <rPr>
        <vertAlign val="superscript"/>
        <sz val="11"/>
        <rFont val="Times New Roman"/>
        <family val="1"/>
      </rPr>
      <t>9</t>
    </r>
    <r>
      <rPr>
        <sz val="11"/>
        <rFont val="Times New Roman"/>
        <family val="1"/>
      </rPr>
      <t>)(271+460)</t>
    </r>
    <r>
      <rPr>
        <vertAlign val="superscript"/>
        <sz val="11"/>
        <rFont val="Times New Roman"/>
        <family val="1"/>
      </rPr>
      <t>-2.3125</t>
    </r>
    <r>
      <rPr>
        <sz val="11"/>
        <rFont val="Times New Roman"/>
        <family val="1"/>
      </rPr>
      <t>(0.7515)</t>
    </r>
    <r>
      <rPr>
        <vertAlign val="superscript"/>
        <sz val="11"/>
        <rFont val="Times New Roman"/>
        <family val="1"/>
      </rPr>
      <t>2.3201</t>
    </r>
    <r>
      <rPr>
        <sz val="11"/>
        <rFont val="Times New Roman"/>
        <family val="1"/>
      </rPr>
      <t>=386</t>
    </r>
  </si>
  <si>
    <t>Example 23-7 -- Calculate the acentric factor.</t>
  </si>
  <si>
    <t>Example 23-9 Calculation of gas mixture viscosity.</t>
  </si>
  <si>
    <t>Example 23-10 Viscosity estimation for a gas mixture.</t>
  </si>
  <si>
    <r>
      <t>T</t>
    </r>
    <r>
      <rPr>
        <vertAlign val="subscript"/>
        <sz val="11"/>
        <rFont val="Times New Roman"/>
        <family val="1"/>
      </rPr>
      <t>ci</t>
    </r>
    <r>
      <rPr>
        <sz val="11"/>
        <rFont val="Times New Roman"/>
        <family val="1"/>
      </rPr>
      <t>, deg R</t>
    </r>
  </si>
  <si>
    <t>(from Table above)</t>
  </si>
  <si>
    <t>Example 23-11 -- At 100 deg F and 210 deg F find the viscosities of a heavy condensate having a mid-boiling point of 325 deg F and a specific gravity of 0.7688.</t>
  </si>
  <si>
    <t>Example 23-12 Find the thermal conductivity of a natural gas.</t>
  </si>
  <si>
    <t>Btu/[(hr-sq.ft.-deg F)/ft]</t>
  </si>
  <si>
    <t>(from Fig.23-35)</t>
  </si>
  <si>
    <t>(from Fig.23-36)</t>
  </si>
  <si>
    <r>
      <t>Example 23-13 -- Find the thermal conductivity of the gaseous mixture shown in Fig. 23-41 at 200</t>
    </r>
    <r>
      <rPr>
        <b/>
        <sz val="11"/>
        <rFont val="Arial Narrow"/>
        <family val="2"/>
      </rPr>
      <t>°</t>
    </r>
    <r>
      <rPr>
        <b/>
        <sz val="11"/>
        <rFont val="Times New Roman"/>
        <family val="1"/>
      </rPr>
      <t>F and one atmosphere.</t>
    </r>
  </si>
  <si>
    <t>Solution</t>
  </si>
  <si>
    <t>Thermal conductivity, Btu/(hr-ft-degF)</t>
  </si>
  <si>
    <r>
      <t>Example 23-13 -- Find the thermal conductivity of the gaseous mixture shown in Fig. 23-41 at 200</t>
    </r>
    <r>
      <rPr>
        <b/>
        <sz val="11"/>
        <rFont val="Arial Narrow"/>
        <family val="2"/>
      </rPr>
      <t>°</t>
    </r>
    <r>
      <rPr>
        <b/>
        <sz val="11"/>
        <rFont val="Times New Roman"/>
        <family val="1"/>
      </rPr>
      <t>F and one atmosphere. For temperatures other than 200 deg F, use thermal conductivities given in Fig.23-35 through Fig.23-38.</t>
    </r>
  </si>
  <si>
    <t>GPSA Engineering Data Book 14th Edition</t>
  </si>
  <si>
    <t>REVISION</t>
  </si>
  <si>
    <t>DATE</t>
  </si>
  <si>
    <t>REASON(S) FOR REVISION</t>
  </si>
  <si>
    <t xml:space="preserve">Initial release </t>
  </si>
  <si>
    <t>While every effort has been made to present accurate and reliable technical information and calculation spreadsheets based on the GPSA Engineering Data Book sample calculations, the use of such information is voluntary and the GPA and GPSA do not guarantee the accuracy, completeness, efficacy, or timeliness of such information.  Reference herein to any specific commercial product, calculation method, process, or service by trade-name, trademark, and service mark manufacturer or otherwise does not constitute or imply endorsement, recommendation or favoring by the GPA and/or GPSA.</t>
  </si>
  <si>
    <t>The Calculation Spreadsheets are provided without warranty of any kind including warranties of accuracy or reasonableness of factual or scientific assumptions, studies or conclusions, or merchantability, fitness for a particular purpose, or non-infringement of intellectual property.</t>
  </si>
  <si>
    <t>In no event will the GPA or GPSA and their members be liable for any damages whatsoever (including without limitation, those resulting from lost profits, lost data or business interruption) arising from the use, inability to, reference to or reliance on the information in this Publication, whether based on warranty, contract, tort or any other legal theory and whether or not advised of the possibility of such damages.</t>
  </si>
  <si>
    <t>These calculation spreadsheets are provided to provide an “Operational level” of accuracy calculation based on rather broad assumptions (including but not limited to: temperatures, pressures, compositions, imperial curves, site conditions etc) and do not replace detailed and accurate Design Engineering taking into account actual process conditions, fluid properties, equipment condition or fowling and actual control set-point dead-band limitations.</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</si>
</sst>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00"/>
    <numFmt numFmtId="165" formatCode="0.0000"/>
    <numFmt numFmtId="166" formatCode="#,##0.0"/>
    <numFmt numFmtId="167" formatCode="#,##0.000"/>
    <numFmt numFmtId="168" formatCode="#,##0.0000"/>
    <numFmt numFmtId="169" formatCode="0.00000"/>
    <numFmt numFmtId="170" formatCode="0.000000"/>
    <numFmt numFmtId="171" formatCode="#,##0.00000"/>
    <numFmt numFmtId="172" formatCode="0.0"/>
  </numFmts>
  <fonts count="27" x14ac:knownFonts="1">
    <font>
      <sz val="10"/>
      <name val="Arial"/>
    </font>
    <font>
      <sz val="11"/>
      <color theme="1"/>
      <name val="Arial Narrow"/>
      <family val="2"/>
    </font>
    <font>
      <sz val="8"/>
      <name val="Arial"/>
      <family val="2"/>
    </font>
    <font>
      <b/>
      <sz val="11"/>
      <name val="Times New Roman"/>
      <family val="1"/>
    </font>
    <font>
      <sz val="11"/>
      <name val="Times New Roman"/>
      <family val="1"/>
    </font>
    <font>
      <vertAlign val="subscript"/>
      <sz val="11"/>
      <name val="Times New Roman"/>
      <family val="1"/>
    </font>
    <font>
      <sz val="11"/>
      <color indexed="18"/>
      <name val="Times New Roman"/>
      <family val="1"/>
    </font>
    <font>
      <b/>
      <sz val="11"/>
      <color indexed="18"/>
      <name val="Times New Roman"/>
      <family val="1"/>
    </font>
    <font>
      <sz val="10"/>
      <color indexed="18"/>
      <name val="Arial"/>
      <family val="2"/>
    </font>
    <font>
      <sz val="11"/>
      <color indexed="16"/>
      <name val="Times New Roman"/>
      <family val="1"/>
    </font>
    <font>
      <sz val="10"/>
      <name val="Arial"/>
      <family val="2"/>
    </font>
    <font>
      <sz val="14"/>
      <name val="Times New Roman"/>
      <family val="1"/>
    </font>
    <font>
      <vertAlign val="superscript"/>
      <sz val="11"/>
      <name val="Times New Roman"/>
      <family val="1"/>
    </font>
    <font>
      <sz val="11"/>
      <name val="Calibri"/>
      <family val="2"/>
    </font>
    <font>
      <vertAlign val="subscript"/>
      <sz val="12.65"/>
      <name val="Times New Roman"/>
      <family val="1"/>
    </font>
    <font>
      <sz val="12"/>
      <name val="Times New Roman"/>
      <family val="1"/>
    </font>
    <font>
      <vertAlign val="subscript"/>
      <sz val="12"/>
      <name val="Times New Roman"/>
      <family val="1"/>
    </font>
    <font>
      <vertAlign val="subscript"/>
      <sz val="14"/>
      <name val="Times New Roman"/>
      <family val="1"/>
    </font>
    <font>
      <vertAlign val="superscript"/>
      <sz val="12"/>
      <name val="Times New Roman"/>
      <family val="1"/>
    </font>
    <font>
      <i/>
      <vertAlign val="subscript"/>
      <sz val="11"/>
      <name val="Times New Roman"/>
      <family val="1"/>
    </font>
    <font>
      <i/>
      <sz val="11"/>
      <name val="Times New Roman"/>
      <family val="1"/>
    </font>
    <font>
      <sz val="10"/>
      <name val="Arial"/>
      <family val="2"/>
    </font>
    <font>
      <b/>
      <vertAlign val="subscript"/>
      <sz val="11"/>
      <name val="Times New Roman"/>
      <family val="1"/>
    </font>
    <font>
      <b/>
      <sz val="11"/>
      <name val="Arial Narrow"/>
      <family val="2"/>
    </font>
    <font>
      <sz val="10"/>
      <name val="Times New Roman"/>
      <family val="1"/>
    </font>
    <font>
      <b/>
      <sz val="10"/>
      <name val="Times New Roman"/>
      <family val="1"/>
    </font>
    <font>
      <sz val="11"/>
      <color rgb="FFC00000"/>
      <name val="Times New Roman"/>
      <family val="1"/>
    </font>
  </fonts>
  <fills count="6">
    <fill>
      <patternFill patternType="none"/>
    </fill>
    <fill>
      <patternFill patternType="gray125"/>
    </fill>
    <fill>
      <patternFill patternType="solid">
        <fgColor theme="6" tint="0.59999389629810485"/>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0.14999847407452621"/>
        <bgColor indexed="64"/>
      </patternFill>
    </fill>
  </fills>
  <borders count="3">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21" fillId="0" borderId="0" applyFont="0" applyFill="0" applyBorder="0" applyAlignment="0" applyProtection="0"/>
    <xf numFmtId="0" fontId="10" fillId="0" borderId="0"/>
  </cellStyleXfs>
  <cellXfs count="323">
    <xf numFmtId="0" fontId="0" fillId="0" borderId="0" xfId="0"/>
    <xf numFmtId="0" fontId="4" fillId="0" borderId="0" xfId="0" applyFont="1"/>
    <xf numFmtId="0" fontId="4" fillId="2" borderId="0" xfId="0" applyFont="1" applyFill="1" applyBorder="1" applyProtection="1"/>
    <xf numFmtId="0" fontId="6" fillId="2" borderId="0" xfId="0" applyFont="1" applyFill="1" applyBorder="1" applyProtection="1"/>
    <xf numFmtId="164" fontId="4" fillId="2" borderId="0" xfId="0" applyNumberFormat="1" applyFont="1" applyFill="1" applyBorder="1" applyAlignment="1" applyProtection="1">
      <alignment horizontal="center"/>
    </xf>
    <xf numFmtId="0" fontId="3" fillId="2" borderId="0" xfId="0" applyFont="1" applyFill="1" applyBorder="1" applyAlignment="1" applyProtection="1"/>
    <xf numFmtId="3" fontId="4" fillId="2" borderId="0" xfId="0" applyNumberFormat="1" applyFont="1" applyFill="1" applyBorder="1" applyAlignment="1" applyProtection="1">
      <alignment horizontal="center"/>
    </xf>
    <xf numFmtId="0" fontId="3" fillId="2" borderId="0" xfId="0" applyFont="1" applyFill="1" applyBorder="1" applyProtection="1"/>
    <xf numFmtId="0" fontId="3" fillId="2" borderId="0" xfId="0" applyFont="1" applyFill="1" applyBorder="1" applyAlignment="1" applyProtection="1">
      <alignment horizontal="center"/>
    </xf>
    <xf numFmtId="3" fontId="3" fillId="2" borderId="0" xfId="0" applyNumberFormat="1" applyFont="1" applyFill="1" applyBorder="1" applyAlignment="1" applyProtection="1">
      <alignment horizontal="center"/>
    </xf>
    <xf numFmtId="0" fontId="7" fillId="2" borderId="0" xfId="0" applyFont="1" applyFill="1" applyBorder="1" applyProtection="1"/>
    <xf numFmtId="4" fontId="4" fillId="2" borderId="0" xfId="0" applyNumberFormat="1" applyFont="1" applyFill="1" applyBorder="1" applyAlignment="1" applyProtection="1">
      <alignment horizontal="center"/>
    </xf>
    <xf numFmtId="167" fontId="4" fillId="2" borderId="0" xfId="0" applyNumberFormat="1" applyFont="1" applyFill="1" applyBorder="1" applyAlignment="1" applyProtection="1">
      <alignment horizontal="center"/>
    </xf>
    <xf numFmtId="0" fontId="4" fillId="2" borderId="0" xfId="0" applyFont="1" applyFill="1" applyAlignment="1" applyProtection="1">
      <alignment horizontal="center" vertical="center"/>
    </xf>
    <xf numFmtId="0" fontId="4" fillId="2" borderId="0" xfId="0" applyFont="1" applyFill="1" applyAlignment="1" applyProtection="1">
      <alignment vertical="center"/>
    </xf>
    <xf numFmtId="0" fontId="4" fillId="2" borderId="0" xfId="0" applyFont="1" applyFill="1" applyProtection="1"/>
    <xf numFmtId="0" fontId="4" fillId="2" borderId="0" xfId="0" applyFont="1" applyFill="1" applyBorder="1" applyAlignment="1" applyProtection="1">
      <alignment horizontal="center" vertical="center"/>
    </xf>
    <xf numFmtId="167" fontId="4" fillId="2" borderId="0" xfId="0" applyNumberFormat="1" applyFont="1" applyFill="1" applyBorder="1" applyAlignment="1" applyProtection="1">
      <alignment horizontal="center" vertical="center"/>
    </xf>
    <xf numFmtId="0" fontId="4" fillId="2" borderId="0" xfId="0" applyFont="1" applyFill="1" applyBorder="1" applyAlignment="1" applyProtection="1">
      <alignment vertical="center"/>
    </xf>
    <xf numFmtId="0" fontId="15" fillId="2" borderId="0" xfId="0" applyFont="1" applyFill="1" applyAlignment="1" applyProtection="1">
      <alignment wrapText="1"/>
    </xf>
    <xf numFmtId="0" fontId="10" fillId="2" borderId="0" xfId="0" applyFont="1" applyFill="1" applyAlignment="1" applyProtection="1">
      <alignment wrapText="1"/>
    </xf>
    <xf numFmtId="0" fontId="4" fillId="2" borderId="0" xfId="0" applyFont="1" applyFill="1" applyBorder="1" applyAlignment="1" applyProtection="1">
      <alignment horizontal="center" vertical="center" wrapText="1"/>
    </xf>
    <xf numFmtId="169" fontId="4" fillId="2" borderId="0" xfId="0" applyNumberFormat="1" applyFont="1" applyFill="1" applyBorder="1" applyAlignment="1" applyProtection="1">
      <alignment horizontal="center"/>
    </xf>
    <xf numFmtId="164" fontId="4" fillId="2" borderId="0" xfId="0" applyNumberFormat="1" applyFont="1" applyFill="1" applyBorder="1" applyAlignment="1" applyProtection="1">
      <alignment horizontal="right" indent="1"/>
    </xf>
    <xf numFmtId="165" fontId="4" fillId="2" borderId="0" xfId="0" applyNumberFormat="1" applyFont="1" applyFill="1" applyBorder="1" applyAlignment="1" applyProtection="1">
      <alignment horizontal="center"/>
    </xf>
    <xf numFmtId="169" fontId="4" fillId="2" borderId="0" xfId="0" applyNumberFormat="1" applyFont="1" applyFill="1" applyAlignment="1" applyProtection="1">
      <alignment horizontal="center" vertical="center"/>
    </xf>
    <xf numFmtId="164" fontId="4" fillId="2" borderId="0" xfId="0" applyNumberFormat="1" applyFont="1" applyFill="1" applyAlignment="1" applyProtection="1">
      <alignment horizontal="center" vertical="center"/>
    </xf>
    <xf numFmtId="0" fontId="4" fillId="2" borderId="0" xfId="0" applyFont="1" applyFill="1" applyAlignment="1" applyProtection="1">
      <alignment horizontal="center"/>
    </xf>
    <xf numFmtId="164" fontId="4" fillId="2" borderId="0" xfId="0" applyNumberFormat="1" applyFont="1" applyFill="1" applyBorder="1" applyAlignment="1" applyProtection="1">
      <alignment horizontal="center" vertical="center"/>
    </xf>
    <xf numFmtId="164" fontId="4" fillId="2" borderId="0" xfId="0" applyNumberFormat="1" applyFont="1" applyFill="1" applyAlignment="1" applyProtection="1">
      <alignment horizontal="center"/>
    </xf>
    <xf numFmtId="2" fontId="4" fillId="2" borderId="0" xfId="0" applyNumberFormat="1" applyFont="1" applyFill="1" applyAlignment="1" applyProtection="1">
      <alignment horizontal="center"/>
    </xf>
    <xf numFmtId="172" fontId="4" fillId="2" borderId="0" xfId="0" applyNumberFormat="1" applyFont="1" applyFill="1" applyAlignment="1" applyProtection="1">
      <alignment horizontal="center"/>
    </xf>
    <xf numFmtId="164" fontId="4" fillId="2" borderId="0" xfId="0" applyNumberFormat="1" applyFont="1" applyFill="1" applyProtection="1"/>
    <xf numFmtId="1" fontId="4" fillId="2" borderId="0" xfId="0" applyNumberFormat="1" applyFont="1" applyFill="1" applyBorder="1" applyAlignment="1" applyProtection="1">
      <alignment horizontal="center" vertical="center" wrapText="1"/>
    </xf>
    <xf numFmtId="1" fontId="4" fillId="2" borderId="0" xfId="0" applyNumberFormat="1" applyFont="1" applyFill="1" applyBorder="1" applyAlignment="1" applyProtection="1">
      <alignment horizontal="center"/>
    </xf>
    <xf numFmtId="164" fontId="4" fillId="2" borderId="0" xfId="0" applyNumberFormat="1" applyFont="1" applyFill="1" applyBorder="1" applyProtection="1"/>
    <xf numFmtId="0" fontId="4" fillId="2" borderId="0" xfId="0" applyFont="1" applyFill="1" applyBorder="1" applyAlignment="1" applyProtection="1">
      <alignment horizontal="center" wrapText="1"/>
    </xf>
    <xf numFmtId="1" fontId="4" fillId="2" borderId="0" xfId="0" applyNumberFormat="1" applyFont="1" applyFill="1" applyAlignment="1" applyProtection="1">
      <alignment horizontal="center"/>
    </xf>
    <xf numFmtId="172" fontId="4" fillId="2" borderId="0" xfId="0" applyNumberFormat="1" applyFont="1" applyFill="1" applyBorder="1" applyAlignment="1" applyProtection="1">
      <alignment horizontal="center"/>
    </xf>
    <xf numFmtId="165" fontId="4" fillId="2" borderId="0" xfId="0" applyNumberFormat="1" applyFont="1" applyFill="1" applyAlignment="1" applyProtection="1">
      <alignment horizontal="center"/>
    </xf>
    <xf numFmtId="3" fontId="4" fillId="2" borderId="0" xfId="0" applyNumberFormat="1" applyFont="1" applyFill="1" applyAlignment="1" applyProtection="1">
      <alignment horizontal="center"/>
    </xf>
    <xf numFmtId="0" fontId="9" fillId="2" borderId="0" xfId="0" applyFont="1" applyFill="1" applyBorder="1" applyAlignment="1" applyProtection="1">
      <alignment horizontal="center"/>
    </xf>
    <xf numFmtId="0" fontId="9" fillId="2" borderId="0" xfId="0" applyFont="1" applyFill="1" applyBorder="1" applyProtection="1"/>
    <xf numFmtId="166" fontId="4" fillId="2" borderId="0" xfId="0" applyNumberFormat="1" applyFont="1" applyFill="1" applyBorder="1" applyAlignment="1" applyProtection="1">
      <alignment horizontal="center"/>
    </xf>
    <xf numFmtId="0" fontId="4" fillId="2" borderId="0" xfId="0" applyFont="1" applyFill="1" applyBorder="1" applyAlignment="1" applyProtection="1"/>
    <xf numFmtId="0" fontId="8" fillId="2" borderId="0" xfId="0" applyFont="1" applyFill="1" applyBorder="1" applyAlignment="1" applyProtection="1"/>
    <xf numFmtId="168" fontId="4" fillId="2" borderId="0" xfId="0" applyNumberFormat="1" applyFont="1" applyFill="1" applyBorder="1" applyAlignment="1" applyProtection="1">
      <alignment horizontal="center"/>
    </xf>
    <xf numFmtId="2" fontId="4" fillId="2" borderId="0" xfId="0" applyNumberFormat="1" applyFont="1" applyFill="1" applyBorder="1" applyAlignment="1" applyProtection="1">
      <alignment horizontal="center" vertical="center"/>
    </xf>
    <xf numFmtId="3" fontId="4" fillId="2" borderId="0" xfId="0" applyNumberFormat="1" applyFont="1" applyFill="1" applyBorder="1" applyAlignment="1" applyProtection="1">
      <alignment horizontal="center" vertical="center"/>
    </xf>
    <xf numFmtId="0" fontId="6" fillId="2" borderId="0" xfId="0" applyFont="1" applyFill="1" applyBorder="1" applyAlignment="1" applyProtection="1">
      <alignment vertical="center"/>
    </xf>
    <xf numFmtId="170" fontId="4" fillId="2" borderId="0" xfId="0" applyNumberFormat="1" applyFont="1" applyFill="1" applyBorder="1" applyAlignment="1" applyProtection="1">
      <alignment horizontal="center"/>
    </xf>
    <xf numFmtId="171" fontId="4" fillId="2" borderId="0" xfId="0" applyNumberFormat="1" applyFont="1" applyFill="1" applyBorder="1" applyAlignment="1" applyProtection="1">
      <alignment horizontal="center"/>
    </xf>
    <xf numFmtId="0" fontId="4" fillId="2" borderId="0" xfId="0" applyFont="1" applyFill="1" applyBorder="1" applyAlignment="1" applyProtection="1">
      <alignment vertical="center" wrapText="1"/>
    </xf>
    <xf numFmtId="168" fontId="4" fillId="2" borderId="0" xfId="0" applyNumberFormat="1" applyFont="1" applyFill="1" applyBorder="1" applyAlignment="1" applyProtection="1">
      <alignment horizontal="center" vertical="center"/>
    </xf>
    <xf numFmtId="0" fontId="4" fillId="2" borderId="0" xfId="0" applyFont="1" applyFill="1" applyBorder="1" applyAlignment="1" applyProtection="1">
      <alignment horizontal="right"/>
    </xf>
    <xf numFmtId="0" fontId="4" fillId="2" borderId="0" xfId="0" applyFont="1" applyFill="1" applyBorder="1" applyAlignment="1" applyProtection="1">
      <alignment horizontal="right" wrapText="1"/>
    </xf>
    <xf numFmtId="0" fontId="4" fillId="2" borderId="0" xfId="0" applyFont="1" applyFill="1" applyAlignment="1" applyProtection="1">
      <alignment horizontal="right" wrapText="1"/>
    </xf>
    <xf numFmtId="0" fontId="4" fillId="2" borderId="0" xfId="0" applyFont="1" applyFill="1" applyBorder="1" applyAlignment="1" applyProtection="1">
      <alignment horizontal="left"/>
    </xf>
    <xf numFmtId="0" fontId="4" fillId="2" borderId="0" xfId="0" applyFont="1" applyFill="1" applyBorder="1" applyAlignment="1" applyProtection="1">
      <alignment horizontal="center"/>
    </xf>
    <xf numFmtId="0" fontId="4" fillId="2" borderId="0" xfId="0" quotePrefix="1" applyFont="1" applyFill="1" applyBorder="1" applyAlignment="1" applyProtection="1">
      <alignment horizontal="center"/>
    </xf>
    <xf numFmtId="172" fontId="4" fillId="2" borderId="1" xfId="0" applyNumberFormat="1" applyFont="1" applyFill="1" applyBorder="1" applyAlignment="1" applyProtection="1">
      <alignment horizontal="center"/>
    </xf>
    <xf numFmtId="164" fontId="4" fillId="2" borderId="1" xfId="0" applyNumberFormat="1" applyFont="1" applyFill="1" applyBorder="1" applyAlignment="1" applyProtection="1">
      <alignment horizontal="center"/>
    </xf>
    <xf numFmtId="10" fontId="4" fillId="2" borderId="0" xfId="1" applyNumberFormat="1" applyFont="1" applyFill="1" applyBorder="1" applyAlignment="1" applyProtection="1">
      <alignment horizontal="center"/>
    </xf>
    <xf numFmtId="10" fontId="4" fillId="2" borderId="1" xfId="1" applyNumberFormat="1" applyFont="1" applyFill="1" applyBorder="1" applyAlignment="1" applyProtection="1">
      <alignment horizontal="center"/>
    </xf>
    <xf numFmtId="164" fontId="4" fillId="2" borderId="0" xfId="0" quotePrefix="1" applyNumberFormat="1" applyFont="1" applyFill="1" applyBorder="1" applyAlignment="1" applyProtection="1">
      <alignment horizontal="left"/>
    </xf>
    <xf numFmtId="0" fontId="4" fillId="2" borderId="0" xfId="2" applyFont="1" applyFill="1" applyBorder="1" applyProtection="1"/>
    <xf numFmtId="0" fontId="4" fillId="2" borderId="0" xfId="2" applyFont="1" applyFill="1" applyBorder="1" applyAlignment="1" applyProtection="1">
      <alignment horizontal="center"/>
    </xf>
    <xf numFmtId="0" fontId="6" fillId="2" borderId="0" xfId="2" applyFont="1" applyFill="1" applyBorder="1" applyProtection="1"/>
    <xf numFmtId="3" fontId="4" fillId="2" borderId="0" xfId="2" applyNumberFormat="1" applyFont="1" applyFill="1" applyBorder="1" applyAlignment="1" applyProtection="1">
      <alignment horizontal="center"/>
    </xf>
    <xf numFmtId="0" fontId="3" fillId="2" borderId="0" xfId="2" applyFont="1" applyFill="1" applyBorder="1" applyProtection="1"/>
    <xf numFmtId="0" fontId="3" fillId="2" borderId="0" xfId="2" applyFont="1" applyFill="1" applyBorder="1" applyAlignment="1" applyProtection="1">
      <alignment horizontal="center"/>
    </xf>
    <xf numFmtId="3" fontId="3" fillId="2" borderId="0" xfId="2" applyNumberFormat="1" applyFont="1" applyFill="1" applyBorder="1" applyAlignment="1" applyProtection="1">
      <alignment horizontal="center"/>
    </xf>
    <xf numFmtId="0" fontId="7" fillId="2" borderId="0" xfId="2" applyFont="1" applyFill="1" applyBorder="1" applyProtection="1"/>
    <xf numFmtId="167" fontId="4" fillId="2" borderId="0" xfId="2" applyNumberFormat="1" applyFont="1" applyFill="1" applyBorder="1" applyAlignment="1" applyProtection="1">
      <alignment horizontal="center"/>
    </xf>
    <xf numFmtId="0" fontId="4" fillId="2" borderId="0" xfId="2" applyFont="1" applyFill="1" applyAlignment="1" applyProtection="1">
      <alignment horizontal="center" vertical="center"/>
    </xf>
    <xf numFmtId="0" fontId="4" fillId="2" borderId="0" xfId="2" applyFont="1" applyFill="1" applyAlignment="1" applyProtection="1">
      <alignment vertical="center"/>
    </xf>
    <xf numFmtId="0" fontId="4" fillId="2" borderId="0" xfId="2" applyFont="1" applyFill="1" applyProtection="1"/>
    <xf numFmtId="0" fontId="4" fillId="2" borderId="0" xfId="2" applyFont="1" applyFill="1" applyBorder="1" applyAlignment="1" applyProtection="1">
      <alignment horizontal="center" vertical="center"/>
    </xf>
    <xf numFmtId="167" fontId="4" fillId="2" borderId="0" xfId="2" applyNumberFormat="1" applyFont="1" applyFill="1" applyBorder="1" applyAlignment="1" applyProtection="1">
      <alignment horizontal="center" vertical="center"/>
    </xf>
    <xf numFmtId="0" fontId="4" fillId="2" borderId="0" xfId="2" applyFont="1" applyFill="1" applyBorder="1" applyAlignment="1" applyProtection="1">
      <alignment vertical="center"/>
    </xf>
    <xf numFmtId="0" fontId="4" fillId="4" borderId="0" xfId="0" applyFont="1" applyFill="1" applyBorder="1" applyAlignment="1" applyProtection="1">
      <alignment horizontal="center"/>
      <protection locked="0"/>
    </xf>
    <xf numFmtId="10" fontId="4" fillId="4" borderId="0" xfId="1" applyNumberFormat="1" applyFont="1" applyFill="1" applyBorder="1" applyAlignment="1" applyProtection="1">
      <alignment horizontal="center"/>
      <protection locked="0"/>
    </xf>
    <xf numFmtId="10" fontId="4" fillId="4" borderId="1" xfId="1" applyNumberFormat="1" applyFont="1" applyFill="1" applyBorder="1" applyAlignment="1" applyProtection="1">
      <alignment horizontal="center"/>
      <protection locked="0"/>
    </xf>
    <xf numFmtId="0" fontId="4" fillId="2" borderId="0" xfId="2" applyFont="1" applyFill="1" applyBorder="1" applyAlignment="1" applyProtection="1">
      <alignment horizontal="right"/>
    </xf>
    <xf numFmtId="0" fontId="4" fillId="2" borderId="0" xfId="2" applyFont="1" applyFill="1" applyBorder="1" applyAlignment="1" applyProtection="1">
      <alignment horizontal="right" wrapText="1"/>
    </xf>
    <xf numFmtId="0" fontId="4" fillId="2" borderId="0" xfId="2" applyFont="1" applyFill="1" applyAlignment="1" applyProtection="1">
      <alignment horizontal="right" wrapText="1"/>
    </xf>
    <xf numFmtId="0" fontId="15" fillId="2" borderId="0" xfId="2" applyFont="1" applyFill="1" applyAlignment="1" applyProtection="1">
      <alignment horizontal="right" wrapText="1"/>
    </xf>
    <xf numFmtId="166" fontId="4" fillId="2" borderId="0" xfId="2" applyNumberFormat="1" applyFont="1" applyFill="1" applyBorder="1" applyAlignment="1" applyProtection="1">
      <alignment horizontal="center"/>
    </xf>
    <xf numFmtId="0" fontId="4" fillId="4" borderId="0" xfId="2" applyFont="1" applyFill="1" applyBorder="1" applyAlignment="1" applyProtection="1">
      <alignment horizontal="center"/>
      <protection locked="0"/>
    </xf>
    <xf numFmtId="164" fontId="4" fillId="4" borderId="0" xfId="2" applyNumberFormat="1"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xf>
    <xf numFmtId="0" fontId="4" fillId="2" borderId="0" xfId="0" applyFont="1" applyFill="1" applyAlignment="1" applyProtection="1">
      <alignment horizontal="right"/>
    </xf>
    <xf numFmtId="0" fontId="4" fillId="2" borderId="0" xfId="0" applyFont="1" applyFill="1" applyAlignment="1" applyProtection="1">
      <alignment horizontal="right" vertical="center" wrapText="1"/>
    </xf>
    <xf numFmtId="0" fontId="3" fillId="2" borderId="0" xfId="0" applyFont="1" applyFill="1" applyBorder="1" applyAlignment="1" applyProtection="1">
      <alignment horizontal="left" vertical="center"/>
    </xf>
    <xf numFmtId="0" fontId="4" fillId="4" borderId="0" xfId="0" applyFont="1" applyFill="1" applyAlignment="1" applyProtection="1">
      <alignment horizontal="center" vertical="center" wrapText="1"/>
      <protection locked="0"/>
    </xf>
    <xf numFmtId="169" fontId="4" fillId="4" borderId="0" xfId="0" applyNumberFormat="1" applyFont="1" applyFill="1" applyBorder="1" applyAlignment="1" applyProtection="1">
      <alignment horizontal="center"/>
      <protection locked="0"/>
    </xf>
    <xf numFmtId="169" fontId="4" fillId="4" borderId="0" xfId="0" applyNumberFormat="1"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4" fillId="4" borderId="0" xfId="0" applyFont="1" applyFill="1" applyAlignment="1" applyProtection="1">
      <alignment horizontal="center"/>
      <protection locked="0"/>
    </xf>
    <xf numFmtId="169" fontId="4" fillId="4" borderId="1" xfId="0" applyNumberFormat="1" applyFont="1" applyFill="1" applyBorder="1" applyAlignment="1" applyProtection="1">
      <alignment horizontal="center" vertical="center"/>
      <protection locked="0"/>
    </xf>
    <xf numFmtId="169" fontId="4" fillId="2" borderId="1" xfId="0" applyNumberFormat="1" applyFont="1" applyFill="1" applyBorder="1" applyAlignment="1" applyProtection="1">
      <alignment horizontal="center" vertical="center"/>
    </xf>
    <xf numFmtId="164" fontId="4" fillId="2" borderId="1" xfId="0" applyNumberFormat="1" applyFont="1" applyFill="1" applyBorder="1" applyAlignment="1" applyProtection="1">
      <alignment horizontal="right" indent="1"/>
    </xf>
    <xf numFmtId="1" fontId="4" fillId="4" borderId="0" xfId="0" applyNumberFormat="1" applyFont="1" applyFill="1" applyBorder="1" applyAlignment="1" applyProtection="1">
      <alignment horizontal="center" vertical="center" wrapText="1"/>
      <protection locked="0"/>
    </xf>
    <xf numFmtId="1" fontId="4" fillId="4" borderId="0" xfId="0" applyNumberFormat="1" applyFont="1" applyFill="1" applyBorder="1" applyAlignment="1" applyProtection="1">
      <alignment horizontal="center"/>
      <protection locked="0"/>
    </xf>
    <xf numFmtId="1" fontId="4" fillId="4" borderId="0" xfId="0" applyNumberFormat="1" applyFont="1" applyFill="1" applyAlignment="1" applyProtection="1">
      <alignment horizontal="center" vertical="center"/>
      <protection locked="0"/>
    </xf>
    <xf numFmtId="1" fontId="4" fillId="4" borderId="0" xfId="0" applyNumberFormat="1" applyFont="1" applyFill="1" applyBorder="1" applyAlignment="1" applyProtection="1">
      <alignment horizontal="center" vertical="center"/>
      <protection locked="0"/>
    </xf>
    <xf numFmtId="2" fontId="4" fillId="4" borderId="0" xfId="0" applyNumberFormat="1" applyFont="1" applyFill="1" applyAlignment="1" applyProtection="1">
      <alignment horizontal="center" vertical="center"/>
      <protection locked="0"/>
    </xf>
    <xf numFmtId="0" fontId="4" fillId="4" borderId="0" xfId="0" applyFont="1" applyFill="1" applyBorder="1" applyAlignment="1" applyProtection="1">
      <alignment horizontal="center" vertical="center"/>
      <protection locked="0"/>
    </xf>
    <xf numFmtId="172" fontId="4" fillId="4" borderId="0" xfId="0" applyNumberFormat="1" applyFont="1" applyFill="1" applyBorder="1" applyAlignment="1" applyProtection="1">
      <alignment horizontal="center"/>
      <protection locked="0"/>
    </xf>
    <xf numFmtId="2" fontId="4" fillId="4" borderId="0" xfId="0" applyNumberFormat="1" applyFont="1" applyFill="1" applyBorder="1" applyAlignment="1" applyProtection="1">
      <alignment horizontal="center"/>
      <protection locked="0"/>
    </xf>
    <xf numFmtId="0" fontId="4" fillId="2" borderId="0" xfId="0" applyFont="1" applyFill="1" applyBorder="1" applyAlignment="1" applyProtection="1">
      <alignment horizontal="right" vertical="center"/>
    </xf>
    <xf numFmtId="172" fontId="4" fillId="2" borderId="0" xfId="2" applyNumberFormat="1" applyFont="1" applyFill="1" applyBorder="1" applyAlignment="1" applyProtection="1">
      <alignment horizontal="center"/>
    </xf>
    <xf numFmtId="172" fontId="4" fillId="2" borderId="0" xfId="2" applyNumberFormat="1" applyFont="1" applyFill="1" applyAlignment="1" applyProtection="1">
      <alignment horizontal="center" vertical="center"/>
    </xf>
    <xf numFmtId="172" fontId="4" fillId="4" borderId="0" xfId="2" applyNumberFormat="1" applyFont="1" applyFill="1" applyBorder="1" applyAlignment="1" applyProtection="1">
      <alignment horizontal="center"/>
      <protection locked="0"/>
    </xf>
    <xf numFmtId="0" fontId="15" fillId="2" borderId="0" xfId="0" applyFont="1" applyFill="1" applyBorder="1" applyAlignment="1" applyProtection="1">
      <alignment horizontal="right"/>
    </xf>
    <xf numFmtId="167" fontId="4" fillId="2" borderId="0" xfId="0" quotePrefix="1" applyNumberFormat="1" applyFont="1" applyFill="1" applyBorder="1" applyAlignment="1" applyProtection="1">
      <alignment horizontal="left"/>
    </xf>
    <xf numFmtId="2" fontId="4" fillId="2" borderId="0" xfId="0" quotePrefix="1" applyNumberFormat="1" applyFont="1" applyFill="1" applyBorder="1" applyAlignment="1" applyProtection="1">
      <alignment horizontal="left"/>
    </xf>
    <xf numFmtId="165" fontId="4" fillId="2" borderId="0" xfId="0" quotePrefix="1" applyNumberFormat="1" applyFont="1" applyFill="1" applyBorder="1" applyAlignment="1" applyProtection="1">
      <alignment horizontal="left"/>
    </xf>
    <xf numFmtId="3" fontId="4" fillId="4" borderId="0" xfId="0" applyNumberFormat="1" applyFont="1" applyFill="1" applyBorder="1" applyAlignment="1" applyProtection="1">
      <alignment horizontal="center"/>
      <protection locked="0"/>
    </xf>
    <xf numFmtId="168" fontId="4" fillId="4" borderId="0" xfId="0" applyNumberFormat="1" applyFont="1" applyFill="1" applyBorder="1" applyAlignment="1" applyProtection="1">
      <alignment horizontal="center"/>
      <protection locked="0"/>
    </xf>
    <xf numFmtId="2" fontId="4" fillId="4" borderId="0" xfId="0" applyNumberFormat="1" applyFont="1" applyFill="1" applyBorder="1" applyAlignment="1" applyProtection="1">
      <alignment horizontal="center" vertical="center"/>
      <protection locked="0"/>
    </xf>
    <xf numFmtId="164" fontId="4" fillId="2" borderId="0" xfId="0" quotePrefix="1" applyNumberFormat="1" applyFont="1" applyFill="1" applyBorder="1" applyAlignment="1" applyProtection="1">
      <alignment horizontal="center"/>
    </xf>
    <xf numFmtId="166" fontId="4" fillId="2" borderId="0" xfId="0" quotePrefix="1" applyNumberFormat="1" applyFont="1" applyFill="1" applyBorder="1" applyAlignment="1" applyProtection="1">
      <alignment horizontal="center"/>
    </xf>
    <xf numFmtId="165" fontId="4" fillId="2" borderId="0" xfId="0" quotePrefix="1" applyNumberFormat="1" applyFont="1" applyFill="1" applyAlignment="1" applyProtection="1">
      <alignment horizontal="center"/>
    </xf>
    <xf numFmtId="1" fontId="4" fillId="2" borderId="0" xfId="0" quotePrefix="1" applyNumberFormat="1" applyFont="1" applyFill="1" applyBorder="1" applyAlignment="1" applyProtection="1">
      <alignment horizontal="center"/>
    </xf>
    <xf numFmtId="2" fontId="4" fillId="2" borderId="1" xfId="0" applyNumberFormat="1" applyFont="1" applyFill="1" applyBorder="1" applyAlignment="1" applyProtection="1">
      <alignment horizontal="center"/>
    </xf>
    <xf numFmtId="167" fontId="4" fillId="2" borderId="1" xfId="0" applyNumberFormat="1" applyFont="1" applyFill="1" applyBorder="1" applyAlignment="1" applyProtection="1">
      <alignment horizontal="center"/>
    </xf>
    <xf numFmtId="165" fontId="4" fillId="2" borderId="1" xfId="0" applyNumberFormat="1" applyFont="1" applyFill="1" applyBorder="1" applyAlignment="1" applyProtection="1">
      <alignment horizontal="center"/>
    </xf>
    <xf numFmtId="0" fontId="15" fillId="2" borderId="0" xfId="0" applyFont="1" applyFill="1" applyAlignment="1" applyProtection="1">
      <alignment horizontal="right"/>
    </xf>
    <xf numFmtId="0" fontId="15" fillId="2" borderId="0" xfId="0" applyFont="1" applyFill="1" applyAlignment="1" applyProtection="1">
      <alignment horizontal="right" vertical="center"/>
    </xf>
    <xf numFmtId="4" fontId="4" fillId="4" borderId="0" xfId="0" applyNumberFormat="1" applyFont="1" applyFill="1" applyBorder="1" applyAlignment="1" applyProtection="1">
      <alignment horizontal="center"/>
      <protection locked="0"/>
    </xf>
    <xf numFmtId="169" fontId="4" fillId="2" borderId="1" xfId="0" applyNumberFormat="1" applyFont="1" applyFill="1" applyBorder="1" applyAlignment="1" applyProtection="1">
      <alignment horizontal="center"/>
    </xf>
    <xf numFmtId="2" fontId="4" fillId="4" borderId="1" xfId="0" applyNumberFormat="1" applyFont="1" applyFill="1" applyBorder="1" applyAlignment="1" applyProtection="1">
      <alignment horizontal="center"/>
      <protection locked="0"/>
    </xf>
    <xf numFmtId="0" fontId="3" fillId="2" borderId="0" xfId="0" applyFont="1" applyFill="1" applyBorder="1" applyAlignment="1" applyProtection="1">
      <alignment horizontal="right"/>
    </xf>
    <xf numFmtId="2" fontId="4" fillId="2" borderId="0" xfId="2" applyNumberFormat="1" applyFont="1" applyFill="1" applyBorder="1" applyAlignment="1" applyProtection="1">
      <alignment horizontal="center"/>
    </xf>
    <xf numFmtId="2" fontId="4" fillId="4" borderId="0" xfId="2" applyNumberFormat="1" applyFont="1" applyFill="1" applyBorder="1" applyAlignment="1" applyProtection="1">
      <alignment horizontal="center"/>
      <protection locked="0"/>
    </xf>
    <xf numFmtId="0" fontId="3" fillId="2" borderId="0" xfId="0" applyFont="1" applyFill="1" applyAlignment="1" applyProtection="1">
      <alignment horizontal="right"/>
    </xf>
    <xf numFmtId="0" fontId="0" fillId="2" borderId="0" xfId="0" applyFill="1" applyAlignment="1" applyProtection="1">
      <alignment vertical="center" wrapText="1"/>
    </xf>
    <xf numFmtId="2" fontId="4" fillId="2" borderId="0" xfId="0" applyNumberFormat="1" applyFont="1" applyFill="1" applyBorder="1" applyAlignment="1" applyProtection="1">
      <alignment horizontal="center"/>
    </xf>
    <xf numFmtId="0" fontId="4" fillId="2" borderId="0" xfId="0" applyFont="1" applyFill="1" applyAlignment="1" applyProtection="1">
      <alignment horizontal="left" vertical="center" wrapText="1"/>
    </xf>
    <xf numFmtId="0" fontId="0" fillId="2" borderId="0" xfId="0" applyFill="1" applyAlignment="1" applyProtection="1">
      <alignment wrapText="1"/>
    </xf>
    <xf numFmtId="0" fontId="4" fillId="2" borderId="0" xfId="0" applyFont="1" applyFill="1" applyBorder="1" applyAlignment="1" applyProtection="1">
      <alignment horizontal="left" vertical="center" wrapText="1"/>
    </xf>
    <xf numFmtId="0" fontId="10" fillId="0" borderId="0" xfId="2"/>
    <xf numFmtId="0" fontId="4" fillId="0" borderId="0" xfId="2" applyFont="1"/>
    <xf numFmtId="0" fontId="25" fillId="5" borderId="2" xfId="2" applyFont="1" applyFill="1" applyBorder="1" applyAlignment="1">
      <alignment horizontal="center"/>
    </xf>
    <xf numFmtId="0" fontId="25" fillId="5" borderId="2" xfId="2" applyFont="1" applyFill="1" applyBorder="1" applyAlignment="1">
      <alignment horizontal="left"/>
    </xf>
    <xf numFmtId="0" fontId="24" fillId="0" borderId="2" xfId="2" applyFont="1" applyBorder="1"/>
    <xf numFmtId="0" fontId="4" fillId="0" borderId="2" xfId="2" applyFont="1" applyBorder="1" applyAlignment="1">
      <alignment horizontal="center"/>
    </xf>
    <xf numFmtId="14" fontId="4" fillId="0" borderId="2" xfId="2" applyNumberFormat="1" applyFont="1" applyBorder="1" applyAlignment="1">
      <alignment horizontal="center"/>
    </xf>
    <xf numFmtId="0" fontId="4" fillId="0" borderId="2" xfId="2" applyFont="1" applyBorder="1"/>
    <xf numFmtId="0" fontId="4" fillId="0" borderId="0" xfId="2" applyFont="1" applyProtection="1">
      <protection locked="0"/>
    </xf>
    <xf numFmtId="0" fontId="4" fillId="0" borderId="0" xfId="0" applyFont="1" applyAlignment="1" applyProtection="1">
      <alignment horizontal="center"/>
      <protection locked="0"/>
    </xf>
    <xf numFmtId="0" fontId="4" fillId="0" borderId="0" xfId="0" applyFont="1" applyProtection="1">
      <protection locked="0"/>
    </xf>
    <xf numFmtId="0" fontId="4" fillId="0" borderId="0" xfId="0" applyFont="1" applyAlignment="1" applyProtection="1">
      <alignment vertical="center"/>
      <protection locked="0"/>
    </xf>
    <xf numFmtId="0" fontId="4" fillId="2" borderId="0" xfId="0" applyFont="1" applyFill="1" applyBorder="1" applyAlignment="1" applyProtection="1">
      <alignment horizontal="center"/>
      <protection locked="0"/>
    </xf>
    <xf numFmtId="0" fontId="4" fillId="2" borderId="0" xfId="0" applyFont="1" applyFill="1" applyBorder="1" applyProtection="1">
      <protection locked="0"/>
    </xf>
    <xf numFmtId="0" fontId="4" fillId="3" borderId="0" xfId="0" applyFont="1" applyFill="1" applyBorder="1" applyAlignment="1" applyProtection="1">
      <alignment horizontal="right"/>
      <protection locked="0"/>
    </xf>
    <xf numFmtId="0" fontId="4" fillId="3" borderId="0" xfId="0" applyFont="1" applyFill="1" applyBorder="1" applyAlignment="1" applyProtection="1">
      <alignment horizontal="center"/>
      <protection locked="0"/>
    </xf>
    <xf numFmtId="0" fontId="4" fillId="3" borderId="0" xfId="0" applyFont="1" applyFill="1" applyBorder="1" applyProtection="1">
      <protection locked="0"/>
    </xf>
    <xf numFmtId="0" fontId="4" fillId="3" borderId="0" xfId="0" applyFont="1" applyFill="1" applyAlignment="1" applyProtection="1">
      <alignment vertical="center" wrapText="1"/>
      <protection locked="0"/>
    </xf>
    <xf numFmtId="0" fontId="4" fillId="3" borderId="0" xfId="0" applyFont="1" applyFill="1" applyBorder="1" applyAlignment="1" applyProtection="1">
      <alignment horizontal="left"/>
      <protection locked="0"/>
    </xf>
    <xf numFmtId="0" fontId="4" fillId="3" borderId="0" xfId="0" applyFont="1" applyFill="1" applyBorder="1" applyAlignment="1" applyProtection="1">
      <protection locked="0"/>
    </xf>
    <xf numFmtId="164" fontId="4" fillId="2" borderId="0" xfId="0" applyNumberFormat="1" applyFont="1" applyFill="1" applyBorder="1" applyAlignment="1" applyProtection="1">
      <alignment horizontal="center"/>
      <protection locked="0"/>
    </xf>
    <xf numFmtId="164" fontId="4" fillId="3" borderId="0" xfId="0" applyNumberFormat="1" applyFont="1" applyFill="1" applyBorder="1" applyAlignment="1" applyProtection="1">
      <alignment horizontal="center"/>
      <protection locked="0"/>
    </xf>
    <xf numFmtId="0" fontId="6" fillId="3" borderId="0" xfId="0" applyFont="1" applyFill="1" applyBorder="1" applyProtection="1">
      <protection locked="0"/>
    </xf>
    <xf numFmtId="0" fontId="26" fillId="0" borderId="0" xfId="2" applyFont="1" applyFill="1" applyProtection="1">
      <protection locked="0"/>
    </xf>
    <xf numFmtId="0" fontId="26" fillId="0" borderId="0" xfId="2" applyFont="1" applyProtection="1">
      <protection locked="0"/>
    </xf>
    <xf numFmtId="0" fontId="4" fillId="0" borderId="0" xfId="0" applyFont="1" applyAlignment="1" applyProtection="1">
      <alignment horizontal="left" vertical="top"/>
      <protection locked="0"/>
    </xf>
    <xf numFmtId="0" fontId="3" fillId="3" borderId="0" xfId="0" applyFont="1" applyFill="1" applyBorder="1" applyAlignment="1" applyProtection="1">
      <alignment horizontal="right"/>
      <protection locked="0"/>
    </xf>
    <xf numFmtId="0" fontId="4" fillId="3" borderId="0" xfId="0" quotePrefix="1" applyFont="1" applyFill="1" applyBorder="1" applyAlignment="1" applyProtection="1">
      <alignment horizontal="center"/>
      <protection locked="0"/>
    </xf>
    <xf numFmtId="0" fontId="3" fillId="3" borderId="0" xfId="0" applyFont="1" applyFill="1" applyBorder="1" applyAlignment="1" applyProtection="1">
      <alignment horizontal="center"/>
      <protection locked="0"/>
    </xf>
    <xf numFmtId="172" fontId="4" fillId="3" borderId="0" xfId="0" applyNumberFormat="1" applyFont="1" applyFill="1" applyBorder="1" applyAlignment="1" applyProtection="1">
      <alignment horizontal="center"/>
      <protection locked="0"/>
    </xf>
    <xf numFmtId="172" fontId="4" fillId="3" borderId="1" xfId="0" applyNumberFormat="1" applyFont="1" applyFill="1" applyBorder="1" applyAlignment="1" applyProtection="1">
      <alignment horizontal="center"/>
      <protection locked="0"/>
    </xf>
    <xf numFmtId="164" fontId="4" fillId="3" borderId="1" xfId="0" applyNumberFormat="1" applyFont="1" applyFill="1" applyBorder="1" applyAlignment="1" applyProtection="1">
      <alignment horizontal="center"/>
      <protection locked="0"/>
    </xf>
    <xf numFmtId="10" fontId="4" fillId="3" borderId="0" xfId="1" applyNumberFormat="1" applyFont="1" applyFill="1" applyBorder="1" applyAlignment="1" applyProtection="1">
      <alignment horizontal="center"/>
      <protection locked="0"/>
    </xf>
    <xf numFmtId="167" fontId="4" fillId="3" borderId="0" xfId="0" applyNumberFormat="1" applyFont="1" applyFill="1" applyBorder="1" applyAlignment="1" applyProtection="1">
      <alignment horizontal="center"/>
      <protection locked="0"/>
    </xf>
    <xf numFmtId="0" fontId="3" fillId="0" borderId="0" xfId="0" applyFont="1" applyProtection="1">
      <protection locked="0"/>
    </xf>
    <xf numFmtId="0" fontId="7" fillId="3" borderId="0" xfId="0" applyFont="1" applyFill="1" applyBorder="1" applyProtection="1">
      <protection locked="0"/>
    </xf>
    <xf numFmtId="2" fontId="4" fillId="3" borderId="0" xfId="0" applyNumberFormat="1" applyFont="1" applyFill="1" applyBorder="1" applyAlignment="1" applyProtection="1">
      <alignment horizontal="center"/>
      <protection locked="0"/>
    </xf>
    <xf numFmtId="0" fontId="4" fillId="3" borderId="0" xfId="0" applyFont="1" applyFill="1" applyBorder="1" applyAlignment="1" applyProtection="1">
      <alignment horizontal="right" wrapText="1"/>
      <protection locked="0"/>
    </xf>
    <xf numFmtId="0" fontId="4" fillId="3" borderId="0" xfId="0" applyFont="1" applyFill="1" applyProtection="1">
      <protection locked="0"/>
    </xf>
    <xf numFmtId="0" fontId="4" fillId="0" borderId="0" xfId="2" applyFont="1" applyAlignment="1" applyProtection="1">
      <alignment horizontal="center"/>
      <protection locked="0"/>
    </xf>
    <xf numFmtId="0" fontId="4" fillId="0" borderId="0" xfId="2" applyFont="1" applyAlignment="1" applyProtection="1">
      <alignment vertical="center"/>
      <protection locked="0"/>
    </xf>
    <xf numFmtId="0" fontId="3" fillId="3" borderId="0" xfId="2" applyFont="1" applyFill="1" applyBorder="1" applyAlignment="1" applyProtection="1">
      <alignment horizontal="center"/>
      <protection locked="0"/>
    </xf>
    <xf numFmtId="0" fontId="4" fillId="3" borderId="0" xfId="2" applyFont="1" applyFill="1" applyBorder="1" applyAlignment="1" applyProtection="1">
      <alignment horizontal="center"/>
      <protection locked="0"/>
    </xf>
    <xf numFmtId="0" fontId="4" fillId="3" borderId="0" xfId="2" applyFont="1" applyFill="1" applyBorder="1" applyProtection="1">
      <protection locked="0"/>
    </xf>
    <xf numFmtId="0" fontId="6" fillId="3" borderId="0" xfId="2" applyFont="1" applyFill="1" applyBorder="1" applyProtection="1">
      <protection locked="0"/>
    </xf>
    <xf numFmtId="0" fontId="4" fillId="3" borderId="0" xfId="2" applyFont="1" applyFill="1" applyBorder="1" applyAlignment="1" applyProtection="1">
      <alignment horizontal="right"/>
      <protection locked="0"/>
    </xf>
    <xf numFmtId="3" fontId="4" fillId="3" borderId="0" xfId="2" applyNumberFormat="1" applyFont="1" applyFill="1" applyBorder="1" applyAlignment="1" applyProtection="1">
      <alignment horizontal="center"/>
      <protection locked="0"/>
    </xf>
    <xf numFmtId="0" fontId="3" fillId="0" borderId="0" xfId="2" applyFont="1" applyProtection="1">
      <protection locked="0"/>
    </xf>
    <xf numFmtId="0" fontId="3" fillId="3" borderId="0" xfId="2" applyFont="1" applyFill="1" applyBorder="1" applyProtection="1">
      <protection locked="0"/>
    </xf>
    <xf numFmtId="3" fontId="3" fillId="3" borderId="0" xfId="2" applyNumberFormat="1" applyFont="1" applyFill="1" applyBorder="1" applyAlignment="1" applyProtection="1">
      <alignment horizontal="center"/>
      <protection locked="0"/>
    </xf>
    <xf numFmtId="0" fontId="7" fillId="3" borderId="0" xfId="2" applyFont="1" applyFill="1" applyBorder="1" applyProtection="1">
      <protection locked="0"/>
    </xf>
    <xf numFmtId="0" fontId="4" fillId="3" borderId="0" xfId="2" applyFont="1" applyFill="1" applyBorder="1" applyAlignment="1" applyProtection="1">
      <alignment horizontal="right" wrapText="1"/>
      <protection locked="0"/>
    </xf>
    <xf numFmtId="166" fontId="4" fillId="3" borderId="0" xfId="2" applyNumberFormat="1" applyFont="1" applyFill="1" applyBorder="1" applyAlignment="1" applyProtection="1">
      <alignment horizontal="center"/>
      <protection locked="0"/>
    </xf>
    <xf numFmtId="0" fontId="4" fillId="3" borderId="0" xfId="2" applyFont="1" applyFill="1" applyAlignment="1" applyProtection="1">
      <alignment horizontal="right" wrapText="1"/>
      <protection locked="0"/>
    </xf>
    <xf numFmtId="0" fontId="4" fillId="3" borderId="0" xfId="2" applyFont="1" applyFill="1" applyAlignment="1" applyProtection="1">
      <alignment horizontal="center" vertical="center"/>
      <protection locked="0"/>
    </xf>
    <xf numFmtId="172" fontId="4" fillId="3" borderId="0" xfId="2" applyNumberFormat="1" applyFont="1" applyFill="1" applyAlignment="1" applyProtection="1">
      <alignment horizontal="center" vertical="center"/>
      <protection locked="0"/>
    </xf>
    <xf numFmtId="0" fontId="4" fillId="3" borderId="0" xfId="2" applyFont="1" applyFill="1" applyAlignment="1" applyProtection="1">
      <alignment vertical="center"/>
      <protection locked="0"/>
    </xf>
    <xf numFmtId="0" fontId="4" fillId="3" borderId="0" xfId="2" applyFont="1" applyFill="1" applyProtection="1">
      <protection locked="0"/>
    </xf>
    <xf numFmtId="0" fontId="4" fillId="3" borderId="0" xfId="2" applyFont="1" applyFill="1" applyBorder="1" applyAlignment="1" applyProtection="1">
      <alignment horizontal="center" vertical="center"/>
      <protection locked="0"/>
    </xf>
    <xf numFmtId="164" fontId="4" fillId="3" borderId="0" xfId="2" applyNumberFormat="1" applyFont="1" applyFill="1" applyBorder="1" applyAlignment="1" applyProtection="1">
      <alignment horizontal="center" vertical="center"/>
      <protection locked="0"/>
    </xf>
    <xf numFmtId="0" fontId="4" fillId="3" borderId="0" xfId="2" applyFont="1" applyFill="1" applyBorder="1" applyAlignment="1" applyProtection="1">
      <alignment vertical="center"/>
      <protection locked="0"/>
    </xf>
    <xf numFmtId="0" fontId="15" fillId="3" borderId="0" xfId="2" applyFont="1" applyFill="1" applyAlignment="1" applyProtection="1">
      <alignment horizontal="right" wrapText="1"/>
      <protection locked="0"/>
    </xf>
    <xf numFmtId="0" fontId="3" fillId="3" borderId="0" xfId="0" applyFont="1" applyFill="1" applyBorder="1" applyAlignment="1" applyProtection="1">
      <alignment vertical="center"/>
      <protection locked="0"/>
    </xf>
    <xf numFmtId="0" fontId="4" fillId="2" borderId="0" xfId="0" applyFont="1" applyFill="1" applyAlignment="1" applyProtection="1">
      <alignment horizontal="center"/>
      <protection locked="0"/>
    </xf>
    <xf numFmtId="1" fontId="4" fillId="2" borderId="0" xfId="0" applyNumberFormat="1" applyFont="1" applyFill="1" applyAlignment="1" applyProtection="1">
      <alignment horizontal="center"/>
      <protection locked="0"/>
    </xf>
    <xf numFmtId="0" fontId="4" fillId="2" borderId="0" xfId="0" applyFont="1" applyFill="1" applyProtection="1">
      <protection locked="0"/>
    </xf>
    <xf numFmtId="0" fontId="3" fillId="3" borderId="0" xfId="0" applyFont="1" applyFill="1" applyBorder="1" applyAlignment="1" applyProtection="1">
      <alignment horizontal="right" vertical="center" wrapText="1"/>
      <protection locked="0"/>
    </xf>
    <xf numFmtId="0" fontId="3" fillId="2" borderId="0" xfId="0" applyFont="1" applyFill="1" applyBorder="1" applyAlignment="1" applyProtection="1">
      <protection locked="0"/>
    </xf>
    <xf numFmtId="0" fontId="0" fillId="2" borderId="0" xfId="0" applyFill="1" applyAlignment="1" applyProtection="1">
      <alignment wrapText="1"/>
      <protection locked="0"/>
    </xf>
    <xf numFmtId="0" fontId="10" fillId="2" borderId="0" xfId="0" applyFont="1" applyFill="1" applyAlignment="1" applyProtection="1">
      <alignment wrapText="1"/>
      <protection locked="0"/>
    </xf>
    <xf numFmtId="0" fontId="4" fillId="3" borderId="0" xfId="0" applyFont="1" applyFill="1" applyAlignment="1" applyProtection="1">
      <alignment wrapText="1"/>
      <protection locked="0"/>
    </xf>
    <xf numFmtId="0" fontId="4" fillId="2" borderId="0" xfId="0" applyFont="1" applyFill="1" applyBorder="1" applyAlignment="1" applyProtection="1">
      <alignment horizontal="center" vertical="center" wrapText="1"/>
      <protection locked="0"/>
    </xf>
    <xf numFmtId="0" fontId="4"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vertical="center"/>
      <protection locked="0"/>
    </xf>
    <xf numFmtId="0" fontId="3" fillId="3" borderId="0" xfId="0" applyFont="1" applyFill="1" applyBorder="1" applyAlignment="1" applyProtection="1">
      <alignment horizontal="center" vertical="center"/>
      <protection locked="0"/>
    </xf>
    <xf numFmtId="0" fontId="4" fillId="3" borderId="0" xfId="0" applyFont="1" applyFill="1" applyBorder="1" applyAlignment="1" applyProtection="1">
      <alignment horizontal="center" vertical="center" wrapText="1"/>
      <protection locked="0"/>
    </xf>
    <xf numFmtId="0" fontId="4" fillId="3" borderId="0" xfId="0" applyFont="1" applyFill="1" applyBorder="1" applyAlignment="1" applyProtection="1">
      <alignment horizontal="center" vertical="center"/>
      <protection locked="0"/>
    </xf>
    <xf numFmtId="169" fontId="4" fillId="2" borderId="0" xfId="0" applyNumberFormat="1" applyFont="1" applyFill="1" applyBorder="1" applyAlignment="1" applyProtection="1">
      <alignment horizontal="center"/>
      <protection locked="0"/>
    </xf>
    <xf numFmtId="165" fontId="4" fillId="2" borderId="0" xfId="0" applyNumberFormat="1" applyFont="1" applyFill="1" applyBorder="1" applyAlignment="1" applyProtection="1">
      <alignment horizontal="center"/>
      <protection locked="0"/>
    </xf>
    <xf numFmtId="165" fontId="4" fillId="3" borderId="0" xfId="0" applyNumberFormat="1" applyFont="1" applyFill="1" applyBorder="1" applyAlignment="1" applyProtection="1">
      <alignment horizontal="center"/>
      <protection locked="0"/>
    </xf>
    <xf numFmtId="0" fontId="4" fillId="2" borderId="0" xfId="0" applyFont="1" applyFill="1" applyAlignment="1" applyProtection="1">
      <alignment horizontal="right" wrapText="1"/>
      <protection locked="0"/>
    </xf>
    <xf numFmtId="164" fontId="4" fillId="2" borderId="0" xfId="0" applyNumberFormat="1" applyFont="1" applyFill="1" applyAlignment="1" applyProtection="1">
      <alignment horizontal="center" vertical="center"/>
      <protection locked="0"/>
    </xf>
    <xf numFmtId="0" fontId="4" fillId="3" borderId="0" xfId="0" applyFont="1" applyFill="1" applyAlignment="1" applyProtection="1">
      <alignment horizontal="right" wrapText="1"/>
      <protection locked="0"/>
    </xf>
    <xf numFmtId="164" fontId="4" fillId="3" borderId="0" xfId="0" applyNumberFormat="1" applyFont="1" applyFill="1" applyAlignment="1" applyProtection="1">
      <alignment horizontal="center" vertical="center"/>
      <protection locked="0"/>
    </xf>
    <xf numFmtId="0" fontId="4" fillId="3" borderId="0" xfId="0" applyFont="1" applyFill="1" applyAlignment="1" applyProtection="1">
      <alignment horizontal="center"/>
      <protection locked="0"/>
    </xf>
    <xf numFmtId="164" fontId="4" fillId="2" borderId="0" xfId="0" applyNumberFormat="1" applyFont="1" applyFill="1" applyBorder="1" applyAlignment="1" applyProtection="1">
      <alignment horizontal="center" vertical="center"/>
      <protection locked="0"/>
    </xf>
    <xf numFmtId="164" fontId="4" fillId="3" borderId="0" xfId="0" applyNumberFormat="1" applyFont="1" applyFill="1" applyBorder="1" applyAlignment="1" applyProtection="1">
      <alignment horizontal="center" vertical="center"/>
      <protection locked="0"/>
    </xf>
    <xf numFmtId="169" fontId="4" fillId="3" borderId="0" xfId="0" applyNumberFormat="1" applyFont="1" applyFill="1" applyBorder="1" applyAlignment="1" applyProtection="1">
      <alignment horizontal="center"/>
      <protection locked="0"/>
    </xf>
    <xf numFmtId="0" fontId="15" fillId="3" borderId="0" xfId="0" applyFont="1" applyFill="1" applyAlignment="1" applyProtection="1">
      <alignment wrapText="1"/>
      <protection locked="0"/>
    </xf>
    <xf numFmtId="167" fontId="4" fillId="3" borderId="0" xfId="0" applyNumberFormat="1" applyFont="1" applyFill="1" applyBorder="1" applyAlignment="1" applyProtection="1">
      <alignment horizontal="center" vertical="center"/>
      <protection locked="0"/>
    </xf>
    <xf numFmtId="0" fontId="4" fillId="3" borderId="0" xfId="0" applyFont="1" applyFill="1" applyBorder="1" applyAlignment="1" applyProtection="1">
      <alignment vertical="center"/>
      <protection locked="0"/>
    </xf>
    <xf numFmtId="0" fontId="4" fillId="2" borderId="0" xfId="0" applyFont="1" applyFill="1" applyAlignment="1" applyProtection="1">
      <alignment horizontal="right"/>
      <protection locked="0"/>
    </xf>
    <xf numFmtId="0" fontId="4" fillId="3" borderId="0" xfId="0" applyFont="1" applyFill="1" applyAlignment="1" applyProtection="1">
      <alignment horizontal="right"/>
      <protection locked="0"/>
    </xf>
    <xf numFmtId="164" fontId="4" fillId="3" borderId="0" xfId="0" applyNumberFormat="1" applyFont="1" applyFill="1" applyAlignment="1" applyProtection="1">
      <alignment horizontal="center"/>
      <protection locked="0"/>
    </xf>
    <xf numFmtId="2" fontId="4" fillId="3" borderId="0" xfId="0" applyNumberFormat="1" applyFont="1" applyFill="1" applyAlignment="1" applyProtection="1">
      <alignment horizontal="center"/>
      <protection locked="0"/>
    </xf>
    <xf numFmtId="172" fontId="4" fillId="3" borderId="0" xfId="0" applyNumberFormat="1" applyFont="1" applyFill="1" applyAlignment="1" applyProtection="1">
      <alignment horizontal="center"/>
      <protection locked="0"/>
    </xf>
    <xf numFmtId="164" fontId="4" fillId="3" borderId="0" xfId="0" applyNumberFormat="1" applyFont="1" applyFill="1" applyProtection="1">
      <protection locked="0"/>
    </xf>
    <xf numFmtId="0" fontId="4" fillId="2" borderId="0" xfId="0" applyFont="1" applyFill="1" applyAlignment="1" applyProtection="1">
      <alignment horizontal="center" vertical="center"/>
      <protection locked="0"/>
    </xf>
    <xf numFmtId="0" fontId="4" fillId="3" borderId="0" xfId="0" applyFont="1" applyFill="1" applyAlignment="1" applyProtection="1">
      <alignment horizontal="right" vertical="center" wrapText="1"/>
      <protection locked="0"/>
    </xf>
    <xf numFmtId="0" fontId="4" fillId="3" borderId="0" xfId="0" applyFont="1" applyFill="1" applyAlignment="1" applyProtection="1">
      <alignment horizontal="center" vertical="center"/>
      <protection locked="0"/>
    </xf>
    <xf numFmtId="0" fontId="4" fillId="3" borderId="0" xfId="0" applyFont="1" applyFill="1" applyAlignment="1" applyProtection="1">
      <alignment vertical="center"/>
      <protection locked="0"/>
    </xf>
    <xf numFmtId="0" fontId="4" fillId="3" borderId="0" xfId="0" applyFont="1" applyFill="1" applyAlignment="1" applyProtection="1">
      <alignment horizontal="left" vertical="center" wrapText="1"/>
      <protection locked="0"/>
    </xf>
    <xf numFmtId="0" fontId="4" fillId="0" borderId="0" xfId="0" applyFont="1" applyAlignment="1" applyProtection="1">
      <alignment vertical="center" wrapText="1"/>
      <protection locked="0"/>
    </xf>
    <xf numFmtId="0" fontId="3" fillId="3" borderId="0" xfId="0" applyFont="1" applyFill="1" applyBorder="1" applyAlignment="1" applyProtection="1">
      <protection locked="0"/>
    </xf>
    <xf numFmtId="1" fontId="4" fillId="2" borderId="0" xfId="0" applyNumberFormat="1" applyFont="1" applyFill="1" applyBorder="1" applyAlignment="1" applyProtection="1">
      <alignment horizontal="center" vertical="center" wrapText="1"/>
      <protection locked="0"/>
    </xf>
    <xf numFmtId="1" fontId="4" fillId="2" borderId="0" xfId="0" applyNumberFormat="1" applyFont="1" applyFill="1" applyBorder="1" applyAlignment="1" applyProtection="1">
      <alignment horizontal="center"/>
      <protection locked="0"/>
    </xf>
    <xf numFmtId="164" fontId="4" fillId="2" borderId="0" xfId="0" applyNumberFormat="1" applyFont="1" applyFill="1" applyBorder="1" applyProtection="1">
      <protection locked="0"/>
    </xf>
    <xf numFmtId="164" fontId="4" fillId="3" borderId="0" xfId="0" applyNumberFormat="1" applyFont="1" applyFill="1" applyBorder="1" applyProtection="1">
      <protection locked="0"/>
    </xf>
    <xf numFmtId="0" fontId="4" fillId="2" borderId="0" xfId="0" applyFont="1" applyFill="1" applyAlignment="1" applyProtection="1">
      <alignment horizontal="center" wrapText="1"/>
      <protection locked="0"/>
    </xf>
    <xf numFmtId="1" fontId="4" fillId="2" borderId="0" xfId="0" applyNumberFormat="1" applyFont="1" applyFill="1" applyAlignment="1" applyProtection="1">
      <alignment horizontal="center" vertical="center"/>
      <protection locked="0"/>
    </xf>
    <xf numFmtId="0" fontId="4" fillId="3" borderId="0" xfId="0" applyFont="1" applyFill="1" applyAlignment="1" applyProtection="1">
      <alignment horizontal="center" wrapText="1"/>
      <protection locked="0"/>
    </xf>
    <xf numFmtId="0" fontId="4" fillId="2" borderId="0" xfId="0" applyFont="1" applyFill="1" applyBorder="1" applyAlignment="1" applyProtection="1">
      <alignment horizontal="center" wrapText="1"/>
      <protection locked="0"/>
    </xf>
    <xf numFmtId="1" fontId="4" fillId="2" borderId="0" xfId="0" applyNumberFormat="1" applyFont="1" applyFill="1" applyBorder="1" applyAlignment="1" applyProtection="1">
      <alignment horizontal="center" vertical="center"/>
      <protection locked="0"/>
    </xf>
    <xf numFmtId="0" fontId="4" fillId="3" borderId="0" xfId="0" applyFont="1" applyFill="1" applyBorder="1" applyAlignment="1" applyProtection="1">
      <alignment horizontal="center" wrapText="1"/>
      <protection locked="0"/>
    </xf>
    <xf numFmtId="0" fontId="15" fillId="2" borderId="0" xfId="0" applyFont="1" applyFill="1" applyAlignment="1" applyProtection="1">
      <alignment horizontal="right" wrapText="1"/>
      <protection locked="0"/>
    </xf>
    <xf numFmtId="4" fontId="4" fillId="2" borderId="0" xfId="0" applyNumberFormat="1" applyFont="1" applyFill="1" applyBorder="1" applyAlignment="1" applyProtection="1">
      <alignment horizontal="center" vertical="center"/>
      <protection locked="0"/>
    </xf>
    <xf numFmtId="0" fontId="15" fillId="3" borderId="0" xfId="0" applyFont="1" applyFill="1" applyAlignment="1" applyProtection="1">
      <alignment horizontal="right" wrapText="1"/>
      <protection locked="0"/>
    </xf>
    <xf numFmtId="4" fontId="4" fillId="3" borderId="0" xfId="0" applyNumberFormat="1" applyFont="1" applyFill="1" applyBorder="1" applyAlignment="1" applyProtection="1">
      <alignment horizontal="center" vertical="center"/>
      <protection locked="0"/>
    </xf>
    <xf numFmtId="1" fontId="4" fillId="3" borderId="0" xfId="0" applyNumberFormat="1" applyFont="1" applyFill="1" applyAlignment="1" applyProtection="1">
      <alignment horizontal="center"/>
      <protection locked="0"/>
    </xf>
    <xf numFmtId="2" fontId="4" fillId="2" borderId="0" xfId="0" applyNumberFormat="1" applyFont="1" applyFill="1" applyAlignment="1" applyProtection="1">
      <alignment horizontal="center" vertical="center"/>
      <protection locked="0"/>
    </xf>
    <xf numFmtId="0" fontId="4" fillId="2" borderId="0" xfId="0" applyFont="1" applyFill="1" applyAlignment="1" applyProtection="1">
      <alignment vertical="center"/>
      <protection locked="0"/>
    </xf>
    <xf numFmtId="0" fontId="0" fillId="3" borderId="0" xfId="0" applyFill="1" applyAlignment="1" applyProtection="1">
      <alignment wrapText="1"/>
      <protection locked="0"/>
    </xf>
    <xf numFmtId="0" fontId="4" fillId="3" borderId="0" xfId="0" applyFont="1" applyFill="1" applyBorder="1" applyAlignment="1" applyProtection="1">
      <alignment horizontal="right" vertical="center"/>
      <protection locked="0"/>
    </xf>
    <xf numFmtId="1" fontId="4" fillId="3" borderId="0" xfId="0" applyNumberFormat="1" applyFont="1" applyFill="1" applyBorder="1" applyAlignment="1" applyProtection="1">
      <alignment horizontal="center" vertical="center" wrapText="1"/>
      <protection locked="0"/>
    </xf>
    <xf numFmtId="1" fontId="4" fillId="3" borderId="0" xfId="0" applyNumberFormat="1" applyFont="1" applyFill="1" applyBorder="1" applyAlignment="1" applyProtection="1">
      <alignment horizontal="center"/>
      <protection locked="0"/>
    </xf>
    <xf numFmtId="0" fontId="4" fillId="0" borderId="0" xfId="0" applyFont="1" applyFill="1" applyAlignment="1" applyProtection="1">
      <alignment horizontal="left"/>
      <protection locked="0"/>
    </xf>
    <xf numFmtId="165" fontId="4" fillId="3" borderId="0" xfId="0" applyNumberFormat="1" applyFont="1" applyFill="1" applyAlignment="1" applyProtection="1">
      <alignment horizontal="center"/>
      <protection locked="0"/>
    </xf>
    <xf numFmtId="3" fontId="4" fillId="3" borderId="0" xfId="0" applyNumberFormat="1" applyFont="1" applyFill="1" applyAlignment="1" applyProtection="1">
      <alignment horizontal="center"/>
      <protection locked="0"/>
    </xf>
    <xf numFmtId="3" fontId="4" fillId="3" borderId="0" xfId="0" applyNumberFormat="1" applyFont="1" applyFill="1" applyAlignment="1" applyProtection="1">
      <alignment horizontal="center" vertical="center"/>
      <protection locked="0"/>
    </xf>
    <xf numFmtId="0" fontId="9" fillId="3" borderId="0" xfId="0" applyFont="1" applyFill="1" applyBorder="1" applyAlignment="1" applyProtection="1">
      <alignment horizontal="center"/>
      <protection locked="0"/>
    </xf>
    <xf numFmtId="3" fontId="4" fillId="3" borderId="0" xfId="0" applyNumberFormat="1" applyFont="1" applyFill="1" applyBorder="1" applyAlignment="1" applyProtection="1">
      <alignment horizontal="center"/>
      <protection locked="0"/>
    </xf>
    <xf numFmtId="0" fontId="9" fillId="3" borderId="0" xfId="0" applyFont="1" applyFill="1" applyBorder="1" applyProtection="1">
      <protection locked="0"/>
    </xf>
    <xf numFmtId="0" fontId="8" fillId="3" borderId="0" xfId="0" applyFont="1" applyFill="1" applyBorder="1" applyAlignment="1" applyProtection="1">
      <protection locked="0"/>
    </xf>
    <xf numFmtId="0" fontId="15" fillId="3" borderId="0" xfId="0" applyFont="1" applyFill="1" applyBorder="1" applyAlignment="1" applyProtection="1">
      <alignment horizontal="right"/>
      <protection locked="0"/>
    </xf>
    <xf numFmtId="3" fontId="4" fillId="3" borderId="0" xfId="0" applyNumberFormat="1" applyFont="1" applyFill="1" applyBorder="1" applyAlignment="1" applyProtection="1">
      <alignment horizontal="center" vertical="center"/>
      <protection locked="0"/>
    </xf>
    <xf numFmtId="166" fontId="4" fillId="3" borderId="0" xfId="0" applyNumberFormat="1" applyFont="1" applyFill="1" applyBorder="1" applyAlignment="1" applyProtection="1">
      <alignment horizontal="center"/>
      <protection locked="0"/>
    </xf>
    <xf numFmtId="2" fontId="4" fillId="3" borderId="1" xfId="0" applyNumberFormat="1" applyFont="1" applyFill="1" applyBorder="1" applyAlignment="1" applyProtection="1">
      <alignment horizontal="center"/>
      <protection locked="0"/>
    </xf>
    <xf numFmtId="167" fontId="4" fillId="3" borderId="1" xfId="0" applyNumberFormat="1" applyFont="1" applyFill="1" applyBorder="1" applyAlignment="1" applyProtection="1">
      <alignment horizontal="center"/>
      <protection locked="0"/>
    </xf>
    <xf numFmtId="165" fontId="4" fillId="3" borderId="1" xfId="0" applyNumberFormat="1" applyFont="1" applyFill="1" applyBorder="1" applyAlignment="1" applyProtection="1">
      <alignment horizontal="center"/>
      <protection locked="0"/>
    </xf>
    <xf numFmtId="0" fontId="3" fillId="3" borderId="0" xfId="0" applyFont="1" applyFill="1" applyBorder="1" applyProtection="1">
      <protection locked="0"/>
    </xf>
    <xf numFmtId="3" fontId="3" fillId="3" borderId="0" xfId="0" applyNumberFormat="1" applyFont="1" applyFill="1" applyBorder="1" applyAlignment="1" applyProtection="1">
      <alignment horizontal="center"/>
      <protection locked="0"/>
    </xf>
    <xf numFmtId="0" fontId="6" fillId="3" borderId="0" xfId="0" applyFont="1" applyFill="1" applyBorder="1" applyAlignment="1" applyProtection="1">
      <alignment vertical="center"/>
      <protection locked="0"/>
    </xf>
    <xf numFmtId="170" fontId="4" fillId="3" borderId="0" xfId="0" applyNumberFormat="1" applyFont="1" applyFill="1" applyBorder="1" applyAlignment="1" applyProtection="1">
      <alignment horizontal="center"/>
      <protection locked="0"/>
    </xf>
    <xf numFmtId="0" fontId="11" fillId="3" borderId="0" xfId="0" applyFont="1" applyFill="1" applyBorder="1" applyAlignment="1" applyProtection="1">
      <alignment horizontal="right"/>
      <protection locked="0"/>
    </xf>
    <xf numFmtId="0" fontId="11" fillId="3" borderId="0" xfId="0" applyFont="1" applyFill="1" applyBorder="1" applyProtection="1">
      <protection locked="0"/>
    </xf>
    <xf numFmtId="4" fontId="4" fillId="3" borderId="0" xfId="0" applyNumberFormat="1" applyFont="1" applyFill="1" applyBorder="1" applyAlignment="1" applyProtection="1">
      <alignment horizontal="center"/>
      <protection locked="0"/>
    </xf>
    <xf numFmtId="0" fontId="15" fillId="3" borderId="0" xfId="0" applyFont="1" applyFill="1" applyAlignment="1" applyProtection="1">
      <alignment horizontal="right"/>
      <protection locked="0"/>
    </xf>
    <xf numFmtId="171" fontId="4" fillId="3" borderId="0" xfId="0" applyNumberFormat="1" applyFont="1" applyFill="1" applyBorder="1" applyAlignment="1" applyProtection="1">
      <alignment horizontal="center"/>
      <protection locked="0"/>
    </xf>
    <xf numFmtId="0" fontId="15" fillId="3" borderId="0" xfId="0" applyFont="1" applyFill="1" applyAlignment="1" applyProtection="1">
      <alignment horizontal="right" vertical="center"/>
      <protection locked="0"/>
    </xf>
    <xf numFmtId="0" fontId="4" fillId="3" borderId="0" xfId="0" applyFont="1" applyFill="1" applyBorder="1" applyAlignment="1" applyProtection="1">
      <alignment vertical="center" wrapText="1"/>
      <protection locked="0"/>
    </xf>
    <xf numFmtId="168" fontId="4" fillId="3" borderId="0" xfId="0" applyNumberFormat="1" applyFont="1" applyFill="1" applyBorder="1" applyAlignment="1" applyProtection="1">
      <alignment horizontal="center" vertical="center"/>
      <protection locked="0"/>
    </xf>
    <xf numFmtId="169" fontId="4" fillId="3" borderId="1" xfId="0" applyNumberFormat="1" applyFont="1" applyFill="1" applyBorder="1" applyAlignment="1" applyProtection="1">
      <alignment horizontal="center"/>
      <protection locked="0"/>
    </xf>
    <xf numFmtId="0" fontId="3" fillId="0" borderId="0" xfId="0" applyFont="1" applyAlignment="1">
      <alignment horizontal="center"/>
    </xf>
    <xf numFmtId="0" fontId="3" fillId="2" borderId="0" xfId="0" applyFont="1" applyFill="1" applyBorder="1" applyAlignment="1" applyProtection="1">
      <alignment vertical="center" wrapText="1"/>
    </xf>
    <xf numFmtId="0" fontId="0" fillId="2" borderId="0" xfId="0" applyFill="1" applyAlignment="1" applyProtection="1">
      <alignment vertical="center" wrapText="1"/>
    </xf>
    <xf numFmtId="0" fontId="3" fillId="3" borderId="0" xfId="0" applyFont="1" applyFill="1" applyBorder="1" applyAlignment="1" applyProtection="1">
      <alignment vertical="center" wrapText="1"/>
      <protection locked="0"/>
    </xf>
    <xf numFmtId="0" fontId="4" fillId="3" borderId="0" xfId="0" applyFont="1" applyFill="1" applyAlignment="1" applyProtection="1">
      <alignment vertical="center" wrapText="1"/>
      <protection locked="0"/>
    </xf>
    <xf numFmtId="2" fontId="4" fillId="2" borderId="0" xfId="0" applyNumberFormat="1" applyFont="1" applyFill="1" applyBorder="1" applyAlignment="1" applyProtection="1">
      <alignment horizontal="center"/>
    </xf>
    <xf numFmtId="0" fontId="3" fillId="2" borderId="0" xfId="0" applyFont="1" applyFill="1" applyBorder="1" applyAlignment="1" applyProtection="1">
      <alignment horizontal="left" vertical="top" wrapText="1"/>
    </xf>
    <xf numFmtId="0" fontId="3" fillId="3" borderId="0" xfId="0" applyFont="1" applyFill="1" applyBorder="1" applyAlignment="1" applyProtection="1">
      <alignment horizontal="left" vertical="top" wrapText="1"/>
      <protection locked="0"/>
    </xf>
    <xf numFmtId="0" fontId="3" fillId="2" borderId="0" xfId="2" applyFont="1" applyFill="1" applyBorder="1" applyAlignment="1" applyProtection="1">
      <alignment vertical="center" wrapText="1"/>
    </xf>
    <xf numFmtId="0" fontId="10" fillId="2" borderId="0" xfId="2" applyFill="1" applyAlignment="1" applyProtection="1">
      <alignment vertical="center" wrapText="1"/>
    </xf>
    <xf numFmtId="0" fontId="3" fillId="3" borderId="0" xfId="2" applyFont="1" applyFill="1" applyBorder="1" applyAlignment="1" applyProtection="1">
      <alignment vertical="center" wrapText="1"/>
      <protection locked="0"/>
    </xf>
    <xf numFmtId="0" fontId="4" fillId="3" borderId="0" xfId="2" applyFont="1" applyFill="1" applyAlignment="1" applyProtection="1">
      <alignment vertical="center" wrapText="1"/>
      <protection locked="0"/>
    </xf>
    <xf numFmtId="0" fontId="4" fillId="2" borderId="0" xfId="0" applyFont="1" applyFill="1" applyAlignment="1" applyProtection="1">
      <alignment horizontal="left" vertical="center" wrapText="1"/>
    </xf>
    <xf numFmtId="0" fontId="4" fillId="3" borderId="0" xfId="0" applyFont="1" applyFill="1" applyAlignment="1" applyProtection="1">
      <alignment horizontal="left" vertical="center" wrapText="1"/>
      <protection locked="0"/>
    </xf>
    <xf numFmtId="0" fontId="3" fillId="2" borderId="0" xfId="0" applyFont="1" applyFill="1" applyBorder="1" applyAlignment="1" applyProtection="1">
      <alignment vertical="center" wrapText="1"/>
      <protection locked="0"/>
    </xf>
    <xf numFmtId="0" fontId="0" fillId="2" borderId="0" xfId="0" applyFill="1" applyAlignment="1" applyProtection="1">
      <alignment vertical="center" wrapText="1"/>
      <protection locked="0"/>
    </xf>
    <xf numFmtId="0" fontId="3" fillId="2" borderId="0" xfId="0" applyFont="1" applyFill="1" applyBorder="1" applyAlignment="1" applyProtection="1">
      <alignment horizontal="left" vertical="center" wrapText="1"/>
    </xf>
    <xf numFmtId="0" fontId="3" fillId="3" borderId="0" xfId="0" applyFont="1" applyFill="1" applyBorder="1" applyAlignment="1" applyProtection="1">
      <alignment horizontal="left" vertical="center" wrapText="1"/>
      <protection locked="0"/>
    </xf>
    <xf numFmtId="0" fontId="3" fillId="2" borderId="0" xfId="0" applyFont="1" applyFill="1" applyBorder="1" applyAlignment="1" applyProtection="1">
      <alignment wrapText="1"/>
    </xf>
    <xf numFmtId="0" fontId="0" fillId="2" borderId="0" xfId="0" applyFill="1" applyAlignment="1" applyProtection="1">
      <alignment wrapText="1"/>
    </xf>
    <xf numFmtId="0" fontId="3" fillId="3" borderId="0" xfId="0" applyFont="1" applyFill="1" applyBorder="1" applyAlignment="1" applyProtection="1">
      <alignment wrapText="1"/>
      <protection locked="0"/>
    </xf>
    <xf numFmtId="0" fontId="0" fillId="3" borderId="0" xfId="0" applyFill="1" applyAlignment="1" applyProtection="1">
      <alignment wrapText="1"/>
      <protection locked="0"/>
    </xf>
    <xf numFmtId="0" fontId="4" fillId="2" borderId="0" xfId="0" applyFont="1" applyFill="1" applyAlignment="1" applyProtection="1">
      <alignment horizontal="left"/>
    </xf>
    <xf numFmtId="0" fontId="4" fillId="3" borderId="0" xfId="0" applyFont="1" applyFill="1" applyAlignment="1" applyProtection="1">
      <alignment horizontal="left"/>
      <protection locked="0"/>
    </xf>
    <xf numFmtId="0" fontId="4" fillId="2" borderId="0" xfId="0" applyFont="1" applyFill="1" applyBorder="1" applyAlignment="1" applyProtection="1">
      <alignment horizontal="left" vertical="center" wrapText="1"/>
    </xf>
    <xf numFmtId="0" fontId="3" fillId="2" borderId="0" xfId="0" applyFont="1" applyFill="1" applyBorder="1" applyAlignment="1" applyProtection="1">
      <alignment horizontal="left" wrapText="1"/>
    </xf>
    <xf numFmtId="0" fontId="3" fillId="3" borderId="0" xfId="0" applyFont="1" applyFill="1" applyBorder="1" applyAlignment="1" applyProtection="1">
      <alignment horizontal="left" wrapText="1"/>
      <protection locked="0"/>
    </xf>
    <xf numFmtId="0" fontId="4" fillId="3" borderId="0" xfId="0" applyFont="1" applyFill="1" applyBorder="1" applyAlignment="1" applyProtection="1">
      <alignment horizontal="left" vertical="center" wrapText="1"/>
      <protection locked="0"/>
    </xf>
    <xf numFmtId="0" fontId="0" fillId="3" borderId="0" xfId="0" applyFill="1" applyAlignment="1" applyProtection="1">
      <alignment vertical="center" wrapText="1"/>
      <protection locked="0"/>
    </xf>
  </cellXfs>
  <cellStyles count="3">
    <cellStyle name="Normal" xfId="0" builtinId="0"/>
    <cellStyle name="Normal 2" xfId="2"/>
    <cellStyle name="Percent" xfId="1" builtinId="5"/>
  </cellStyles>
  <dxfs count="0"/>
  <tableStyles count="0" defaultTableStyle="TableStyleMedium9" defaultPivotStyle="PivotStyleLight16"/>
  <colors>
    <mruColors>
      <color rgb="FFFFFFCC"/>
      <color rgb="FFFFCC99"/>
      <color rgb="FFCC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xdr:row>
      <xdr:rowOff>47625</xdr:rowOff>
    </xdr:from>
    <xdr:to>
      <xdr:col>15</xdr:col>
      <xdr:colOff>68060</xdr:colOff>
      <xdr:row>48</xdr:row>
      <xdr:rowOff>180974</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228600"/>
          <a:ext cx="9231110" cy="83248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workbookViewId="0">
      <selection activeCell="H12" sqref="H12"/>
    </sheetView>
  </sheetViews>
  <sheetFormatPr defaultRowHeight="12.75" x14ac:dyDescent="0.2"/>
  <cols>
    <col min="3" max="3" width="25.5703125" customWidth="1"/>
  </cols>
  <sheetData>
    <row r="1" spans="1:3" ht="15" x14ac:dyDescent="0.25">
      <c r="A1" s="143" t="s">
        <v>264</v>
      </c>
      <c r="B1" s="142"/>
      <c r="C1" s="142"/>
    </row>
    <row r="4" spans="1:3" x14ac:dyDescent="0.2">
      <c r="A4" s="144" t="s">
        <v>265</v>
      </c>
      <c r="B4" s="144" t="s">
        <v>266</v>
      </c>
      <c r="C4" s="145" t="s">
        <v>267</v>
      </c>
    </row>
    <row r="5" spans="1:3" ht="15" x14ac:dyDescent="0.25">
      <c r="A5" s="147">
        <v>0</v>
      </c>
      <c r="B5" s="148">
        <v>42826</v>
      </c>
      <c r="C5" s="149" t="s">
        <v>268</v>
      </c>
    </row>
    <row r="6" spans="1:3" ht="15" x14ac:dyDescent="0.25">
      <c r="A6" s="149"/>
      <c r="B6" s="149"/>
      <c r="C6" s="149"/>
    </row>
    <row r="7" spans="1:3" x14ac:dyDescent="0.2">
      <c r="A7" s="146"/>
      <c r="B7" s="146"/>
      <c r="C7" s="146"/>
    </row>
  </sheetData>
  <sheetProtection password="E156"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Normal="100" workbookViewId="0">
      <selection activeCell="I32" sqref="I32"/>
    </sheetView>
  </sheetViews>
  <sheetFormatPr defaultRowHeight="15" x14ac:dyDescent="0.25"/>
  <cols>
    <col min="1" max="1" width="21.42578125" style="152" customWidth="1"/>
    <col min="2" max="2" width="5" style="151" customWidth="1"/>
    <col min="3" max="3" width="39.42578125" style="151" bestFit="1" customWidth="1"/>
    <col min="4" max="5" width="10.5703125" style="152" customWidth="1"/>
    <col min="6" max="6" width="9.140625" style="152"/>
    <col min="7" max="7" width="14.7109375" style="152" customWidth="1"/>
    <col min="8" max="9" width="9.140625" style="152"/>
    <col min="10" max="10" width="22.140625" style="152" customWidth="1"/>
    <col min="11" max="11" width="4.85546875" style="151" customWidth="1"/>
    <col min="12" max="12" width="8.140625" style="151" customWidth="1"/>
    <col min="13" max="13" width="10.7109375" style="152" bestFit="1" customWidth="1"/>
    <col min="14" max="15" width="9.140625" style="152"/>
    <col min="16" max="16" width="18" style="152" customWidth="1"/>
    <col min="17" max="16384" width="9.140625" style="152"/>
  </cols>
  <sheetData>
    <row r="1" spans="1:17" x14ac:dyDescent="0.25">
      <c r="A1" s="150" t="s">
        <v>264</v>
      </c>
    </row>
    <row r="5" spans="1:17" ht="15" customHeight="1" x14ac:dyDescent="0.25">
      <c r="A5" s="312" t="s">
        <v>250</v>
      </c>
      <c r="B5" s="313"/>
      <c r="C5" s="313"/>
      <c r="D5" s="313"/>
      <c r="E5" s="313"/>
      <c r="F5" s="313"/>
      <c r="G5" s="313"/>
      <c r="H5" s="15"/>
      <c r="J5" s="314" t="s">
        <v>250</v>
      </c>
      <c r="K5" s="315"/>
      <c r="L5" s="315"/>
      <c r="M5" s="315"/>
      <c r="N5" s="315"/>
      <c r="O5" s="315"/>
      <c r="P5" s="315"/>
      <c r="Q5" s="180"/>
    </row>
    <row r="6" spans="1:17" ht="17.25" customHeight="1" x14ac:dyDescent="0.25">
      <c r="A6" s="8" t="s">
        <v>2</v>
      </c>
      <c r="B6" s="58"/>
      <c r="C6" s="58"/>
      <c r="D6" s="2"/>
      <c r="E6" s="3"/>
      <c r="F6" s="3"/>
      <c r="G6" s="3"/>
      <c r="H6" s="15"/>
      <c r="J6" s="170" t="s">
        <v>2</v>
      </c>
      <c r="K6" s="157"/>
      <c r="L6" s="157"/>
      <c r="M6" s="158"/>
      <c r="N6" s="164"/>
      <c r="O6" s="164"/>
      <c r="P6" s="164"/>
      <c r="Q6" s="180"/>
    </row>
    <row r="7" spans="1:17" x14ac:dyDescent="0.25">
      <c r="A7" s="54" t="s">
        <v>3</v>
      </c>
      <c r="B7" s="58" t="s">
        <v>1</v>
      </c>
      <c r="C7" s="58">
        <v>418</v>
      </c>
      <c r="D7" s="2" t="s">
        <v>130</v>
      </c>
      <c r="E7" s="3"/>
      <c r="F7" s="3"/>
      <c r="G7" s="3"/>
      <c r="H7" s="15"/>
      <c r="J7" s="156" t="s">
        <v>3</v>
      </c>
      <c r="K7" s="157" t="s">
        <v>1</v>
      </c>
      <c r="L7" s="80">
        <v>418</v>
      </c>
      <c r="M7" s="158" t="s">
        <v>130</v>
      </c>
      <c r="N7" s="164"/>
      <c r="O7" s="164"/>
      <c r="P7" s="164"/>
      <c r="Q7" s="180"/>
    </row>
    <row r="8" spans="1:17" x14ac:dyDescent="0.25">
      <c r="A8" s="54" t="s">
        <v>5</v>
      </c>
      <c r="B8" s="58" t="s">
        <v>1</v>
      </c>
      <c r="C8" s="58">
        <v>0.75</v>
      </c>
      <c r="D8" s="2"/>
      <c r="E8" s="3"/>
      <c r="F8" s="3"/>
      <c r="G8" s="3"/>
      <c r="H8" s="15"/>
      <c r="J8" s="156" t="s">
        <v>5</v>
      </c>
      <c r="K8" s="157" t="s">
        <v>1</v>
      </c>
      <c r="L8" s="80">
        <v>0.75</v>
      </c>
      <c r="M8" s="158"/>
      <c r="N8" s="164"/>
      <c r="O8" s="164"/>
      <c r="P8" s="164"/>
      <c r="Q8" s="180"/>
    </row>
    <row r="9" spans="1:17" x14ac:dyDescent="0.25">
      <c r="A9" s="54" t="s">
        <v>6</v>
      </c>
      <c r="B9" s="58" t="s">
        <v>7</v>
      </c>
      <c r="C9" s="38">
        <v>41</v>
      </c>
      <c r="D9" s="2" t="s">
        <v>8</v>
      </c>
      <c r="E9" s="3"/>
      <c r="F9" s="3"/>
      <c r="G9" s="3"/>
      <c r="H9" s="15"/>
      <c r="J9" s="156" t="s">
        <v>6</v>
      </c>
      <c r="K9" s="157" t="s">
        <v>7</v>
      </c>
      <c r="L9" s="108">
        <v>41</v>
      </c>
      <c r="M9" s="158" t="s">
        <v>8</v>
      </c>
      <c r="N9" s="164"/>
      <c r="O9" s="164"/>
      <c r="P9" s="164"/>
      <c r="Q9" s="180"/>
    </row>
    <row r="10" spans="1:17" x14ac:dyDescent="0.25">
      <c r="A10" s="2"/>
      <c r="B10" s="58"/>
      <c r="C10" s="4"/>
      <c r="D10" s="2"/>
      <c r="E10" s="3"/>
      <c r="F10" s="3"/>
      <c r="G10" s="3"/>
      <c r="H10" s="15"/>
      <c r="J10" s="158"/>
      <c r="K10" s="157"/>
      <c r="L10" s="163"/>
      <c r="M10" s="158"/>
      <c r="N10" s="164"/>
      <c r="O10" s="164"/>
      <c r="P10" s="164"/>
      <c r="Q10" s="180"/>
    </row>
    <row r="11" spans="1:17" x14ac:dyDescent="0.25">
      <c r="A11" s="2" t="s">
        <v>9</v>
      </c>
      <c r="B11" s="58"/>
      <c r="C11" s="58"/>
      <c r="D11" s="2"/>
      <c r="E11" s="3"/>
      <c r="F11" s="3"/>
      <c r="G11" s="3"/>
      <c r="H11" s="15"/>
      <c r="J11" s="158" t="s">
        <v>9</v>
      </c>
      <c r="K11" s="157"/>
      <c r="L11" s="157"/>
      <c r="M11" s="158"/>
      <c r="N11" s="164"/>
      <c r="O11" s="164"/>
      <c r="P11" s="164"/>
      <c r="Q11" s="180"/>
    </row>
    <row r="12" spans="1:17" x14ac:dyDescent="0.25">
      <c r="A12" s="2"/>
      <c r="B12" s="58"/>
      <c r="C12" s="58"/>
      <c r="D12" s="2"/>
      <c r="E12" s="3"/>
      <c r="F12" s="3"/>
      <c r="G12" s="3"/>
      <c r="H12" s="15"/>
      <c r="J12" s="158"/>
      <c r="K12" s="157"/>
      <c r="L12" s="157"/>
      <c r="M12" s="158"/>
      <c r="N12" s="164"/>
      <c r="O12" s="164"/>
      <c r="P12" s="164"/>
      <c r="Q12" s="180"/>
    </row>
    <row r="13" spans="1:17" x14ac:dyDescent="0.25">
      <c r="A13" s="54" t="s">
        <v>155</v>
      </c>
      <c r="B13" s="58" t="s">
        <v>1</v>
      </c>
      <c r="C13" s="58">
        <v>-3</v>
      </c>
      <c r="D13" s="2" t="s">
        <v>130</v>
      </c>
      <c r="E13" s="2" t="s">
        <v>161</v>
      </c>
      <c r="F13" s="3"/>
      <c r="G13" s="3"/>
      <c r="H13" s="15"/>
      <c r="J13" s="156" t="s">
        <v>155</v>
      </c>
      <c r="K13" s="157" t="s">
        <v>1</v>
      </c>
      <c r="L13" s="80">
        <v>-3</v>
      </c>
      <c r="M13" s="158" t="s">
        <v>130</v>
      </c>
      <c r="N13" s="164"/>
      <c r="O13" s="164"/>
      <c r="P13" s="164"/>
      <c r="Q13" s="180"/>
    </row>
    <row r="14" spans="1:17" x14ac:dyDescent="0.25">
      <c r="A14" s="54" t="s">
        <v>10</v>
      </c>
      <c r="B14" s="58" t="s">
        <v>1</v>
      </c>
      <c r="C14" s="59" t="s">
        <v>179</v>
      </c>
      <c r="D14" s="2" t="s">
        <v>130</v>
      </c>
      <c r="E14" s="3"/>
      <c r="F14" s="3"/>
      <c r="G14" s="3"/>
      <c r="H14" s="15"/>
      <c r="J14" s="156" t="s">
        <v>10</v>
      </c>
      <c r="K14" s="157" t="s">
        <v>1</v>
      </c>
      <c r="L14" s="157">
        <f>L7+L13</f>
        <v>415</v>
      </c>
      <c r="M14" s="158" t="s">
        <v>130</v>
      </c>
      <c r="N14" s="164"/>
      <c r="O14" s="164"/>
      <c r="P14" s="164"/>
      <c r="Q14" s="180"/>
    </row>
    <row r="15" spans="1:17" x14ac:dyDescent="0.25">
      <c r="A15" s="54" t="s">
        <v>157</v>
      </c>
      <c r="B15" s="58" t="s">
        <v>1</v>
      </c>
      <c r="C15" s="59" t="s">
        <v>180</v>
      </c>
      <c r="D15" s="2" t="s">
        <v>158</v>
      </c>
      <c r="E15" s="2"/>
      <c r="F15" s="2"/>
      <c r="G15" s="15"/>
      <c r="H15" s="4"/>
      <c r="J15" s="156" t="s">
        <v>157</v>
      </c>
      <c r="K15" s="157" t="s">
        <v>1</v>
      </c>
      <c r="L15" s="157">
        <f>L14+460</f>
        <v>875</v>
      </c>
      <c r="M15" s="158" t="s">
        <v>130</v>
      </c>
      <c r="N15" s="164"/>
      <c r="O15" s="164"/>
      <c r="P15" s="164"/>
      <c r="Q15" s="180"/>
    </row>
    <row r="16" spans="1:17" x14ac:dyDescent="0.25">
      <c r="A16" s="54" t="s">
        <v>12</v>
      </c>
      <c r="B16" s="58" t="s">
        <v>1</v>
      </c>
      <c r="C16" s="121" t="s">
        <v>181</v>
      </c>
      <c r="D16" s="2" t="s">
        <v>13</v>
      </c>
      <c r="E16" s="3"/>
      <c r="F16" s="3"/>
      <c r="G16" s="3"/>
      <c r="H16" s="15"/>
      <c r="J16" s="156" t="s">
        <v>12</v>
      </c>
      <c r="K16" s="157" t="s">
        <v>1</v>
      </c>
      <c r="L16" s="163">
        <f>141.5/(131.5+L9)</f>
        <v>0.82028985507246377</v>
      </c>
      <c r="M16" s="158" t="s">
        <v>13</v>
      </c>
      <c r="N16" s="164"/>
      <c r="O16" s="164"/>
      <c r="P16" s="164"/>
      <c r="Q16" s="180"/>
    </row>
    <row r="17" spans="1:17" ht="18.75" x14ac:dyDescent="0.3">
      <c r="A17" s="54" t="s">
        <v>16</v>
      </c>
      <c r="B17" s="41" t="s">
        <v>1</v>
      </c>
      <c r="C17" s="122" t="s">
        <v>182</v>
      </c>
      <c r="D17" s="2" t="s">
        <v>0</v>
      </c>
      <c r="E17" s="2" t="s">
        <v>159</v>
      </c>
      <c r="F17" s="42"/>
      <c r="G17" s="42"/>
      <c r="H17" s="15"/>
      <c r="J17" s="156" t="s">
        <v>16</v>
      </c>
      <c r="K17" s="271" t="s">
        <v>1</v>
      </c>
      <c r="L17" s="272">
        <f>3.12281*10^9*L15^-2.3125*L16^2.3201</f>
        <v>310.13270375988208</v>
      </c>
      <c r="M17" s="158" t="s">
        <v>0</v>
      </c>
      <c r="N17" s="158" t="s">
        <v>159</v>
      </c>
      <c r="O17" s="273"/>
      <c r="P17" s="180"/>
      <c r="Q17" s="180"/>
    </row>
    <row r="18" spans="1:17" ht="18.75" x14ac:dyDescent="0.3">
      <c r="A18" s="54" t="s">
        <v>14</v>
      </c>
      <c r="B18" s="58" t="s">
        <v>1</v>
      </c>
      <c r="C18" s="122" t="s">
        <v>183</v>
      </c>
      <c r="D18" s="44" t="s">
        <v>158</v>
      </c>
      <c r="E18" s="2" t="s">
        <v>163</v>
      </c>
      <c r="F18" s="2"/>
      <c r="G18" s="2"/>
      <c r="H18" s="15"/>
      <c r="J18" s="156" t="s">
        <v>14</v>
      </c>
      <c r="K18" s="157" t="s">
        <v>1</v>
      </c>
      <c r="L18" s="272">
        <f>24.2787*L15^0.58848*L16^0.3596</f>
        <v>1217.8701427274545</v>
      </c>
      <c r="M18" s="158" t="s">
        <v>0</v>
      </c>
      <c r="N18" s="158" t="s">
        <v>163</v>
      </c>
      <c r="O18" s="273"/>
      <c r="P18" s="273"/>
      <c r="Q18" s="180"/>
    </row>
    <row r="19" spans="1:17" ht="18.75" x14ac:dyDescent="0.3">
      <c r="A19" s="91" t="s">
        <v>15</v>
      </c>
      <c r="B19" s="36" t="s">
        <v>1</v>
      </c>
      <c r="C19" s="121" t="s">
        <v>184</v>
      </c>
      <c r="D19" s="45"/>
      <c r="E19" s="2" t="s">
        <v>160</v>
      </c>
      <c r="F19" s="3"/>
      <c r="G19" s="3"/>
      <c r="H19" s="15"/>
      <c r="J19" s="234" t="s">
        <v>15</v>
      </c>
      <c r="K19" s="255" t="s">
        <v>1</v>
      </c>
      <c r="L19" s="163">
        <f>3/7*(((LOG10(L17))-LOG10(14.7))/((L18/L15)-1))-1</f>
        <v>0.44832189976065928</v>
      </c>
      <c r="M19" s="274"/>
      <c r="N19" s="158" t="s">
        <v>160</v>
      </c>
      <c r="O19" s="164"/>
      <c r="P19" s="164"/>
      <c r="Q19" s="180"/>
    </row>
    <row r="20" spans="1:17" x14ac:dyDescent="0.25">
      <c r="A20" s="91"/>
      <c r="B20" s="36"/>
      <c r="C20" s="4"/>
      <c r="D20" s="45"/>
      <c r="E20" s="2"/>
      <c r="F20" s="3"/>
      <c r="G20" s="3"/>
      <c r="H20" s="15"/>
      <c r="J20" s="234"/>
      <c r="K20" s="255"/>
      <c r="L20" s="163"/>
      <c r="M20" s="274"/>
      <c r="N20" s="158"/>
      <c r="O20" s="164"/>
      <c r="P20" s="164"/>
      <c r="Q20" s="180"/>
    </row>
    <row r="21" spans="1:17" x14ac:dyDescent="0.25">
      <c r="A21" s="316" t="s">
        <v>156</v>
      </c>
      <c r="B21" s="316"/>
      <c r="C21" s="316"/>
      <c r="D21" s="316"/>
      <c r="E21" s="316"/>
      <c r="F21" s="316"/>
      <c r="G21" s="316"/>
      <c r="H21" s="316"/>
      <c r="J21" s="317" t="s">
        <v>156</v>
      </c>
      <c r="K21" s="317"/>
      <c r="L21" s="317"/>
      <c r="M21" s="317"/>
      <c r="N21" s="317"/>
      <c r="O21" s="317"/>
      <c r="P21" s="317"/>
      <c r="Q21" s="317"/>
    </row>
    <row r="24" spans="1:17" x14ac:dyDescent="0.25">
      <c r="A24" s="165" t="s">
        <v>126</v>
      </c>
    </row>
    <row r="25" spans="1:17" x14ac:dyDescent="0.25">
      <c r="A25" s="165" t="s">
        <v>269</v>
      </c>
    </row>
    <row r="26" spans="1:17" x14ac:dyDescent="0.25">
      <c r="A26" s="165" t="s">
        <v>270</v>
      </c>
    </row>
    <row r="27" spans="1:17" x14ac:dyDescent="0.25">
      <c r="A27" s="165" t="s">
        <v>271</v>
      </c>
    </row>
    <row r="28" spans="1:17" x14ac:dyDescent="0.25">
      <c r="A28" s="166" t="s">
        <v>272</v>
      </c>
    </row>
  </sheetData>
  <sheetProtection password="E156" sheet="1" objects="1" scenarios="1"/>
  <mergeCells count="4">
    <mergeCell ref="A5:G5"/>
    <mergeCell ref="J5:P5"/>
    <mergeCell ref="A21:H21"/>
    <mergeCell ref="J21:Q21"/>
  </mergeCells>
  <phoneticPr fontId="2" type="noConversion"/>
  <pageMargins left="0.75" right="0.75" top="1" bottom="1" header="0.5" footer="0.5"/>
  <pageSetup paperSize="199" scale="57" orientation="landscape" r:id="rId1"/>
  <headerFooter alignWithMargins="0">
    <oddHeader>&amp;CCALCULATION SPREADSHEET FOR GPSA ENGINEERING DATA BOOK, 13&amp;Xth&amp;X ED.
EXAMPLE 23-7</oddHeader>
  </headerFooter>
  <ignoredErrors>
    <ignoredError sqref="L16"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R26"/>
  <sheetViews>
    <sheetView zoomScaleNormal="100" workbookViewId="0">
      <selection activeCell="I30" sqref="I30"/>
    </sheetView>
  </sheetViews>
  <sheetFormatPr defaultRowHeight="15" x14ac:dyDescent="0.25"/>
  <cols>
    <col min="1" max="1" width="21.42578125" style="152" customWidth="1"/>
    <col min="2" max="2" width="5.28515625" style="151" customWidth="1"/>
    <col min="3" max="3" width="9.85546875" style="151" customWidth="1"/>
    <col min="4" max="4" width="10.5703125" style="152" customWidth="1"/>
    <col min="5" max="5" width="13.7109375" style="152" customWidth="1"/>
    <col min="6" max="6" width="9.140625" style="152"/>
    <col min="7" max="7" width="14.7109375" style="152" customWidth="1"/>
    <col min="8" max="8" width="9.140625" style="152"/>
    <col min="9" max="9" width="13" style="152" customWidth="1"/>
    <col min="10" max="10" width="7.140625" style="152" customWidth="1"/>
    <col min="11" max="11" width="22.140625" style="152" customWidth="1"/>
    <col min="12" max="12" width="5.85546875" style="151" customWidth="1"/>
    <col min="13" max="13" width="10.5703125" style="151" customWidth="1"/>
    <col min="14" max="14" width="12.85546875" style="152" customWidth="1"/>
    <col min="15" max="15" width="4.7109375" style="152" customWidth="1"/>
    <col min="16" max="16" width="9.140625" style="152"/>
    <col min="17" max="17" width="18" style="152" customWidth="1"/>
    <col min="18" max="18" width="18.5703125" style="152" customWidth="1"/>
    <col min="19" max="16384" width="9.140625" style="152"/>
  </cols>
  <sheetData>
    <row r="1" spans="1:18" x14ac:dyDescent="0.25">
      <c r="A1" s="150" t="s">
        <v>264</v>
      </c>
    </row>
    <row r="5" spans="1:18" ht="15" customHeight="1" x14ac:dyDescent="0.25">
      <c r="A5" s="312" t="s">
        <v>251</v>
      </c>
      <c r="B5" s="313"/>
      <c r="C5" s="313"/>
      <c r="D5" s="313"/>
      <c r="E5" s="313"/>
      <c r="F5" s="313"/>
      <c r="G5" s="313"/>
      <c r="H5" s="15"/>
      <c r="I5" s="15"/>
      <c r="K5" s="314" t="s">
        <v>251</v>
      </c>
      <c r="L5" s="315"/>
      <c r="M5" s="315"/>
      <c r="N5" s="315"/>
      <c r="O5" s="315"/>
      <c r="P5" s="315"/>
      <c r="Q5" s="315"/>
      <c r="R5" s="180"/>
    </row>
    <row r="6" spans="1:18" ht="20.25" customHeight="1" x14ac:dyDescent="0.25">
      <c r="A6" s="8" t="s">
        <v>2</v>
      </c>
      <c r="B6" s="58"/>
      <c r="C6" s="58"/>
      <c r="D6" s="2"/>
      <c r="E6" s="3"/>
      <c r="F6" s="3"/>
      <c r="G6" s="3"/>
      <c r="H6" s="15"/>
      <c r="I6" s="15"/>
      <c r="K6" s="170" t="s">
        <v>2</v>
      </c>
      <c r="L6" s="157"/>
      <c r="M6" s="157"/>
      <c r="N6" s="158"/>
      <c r="O6" s="164"/>
      <c r="P6" s="164"/>
      <c r="Q6" s="164"/>
      <c r="R6" s="180"/>
    </row>
    <row r="7" spans="1:18" x14ac:dyDescent="0.25">
      <c r="A7" s="54" t="s">
        <v>17</v>
      </c>
      <c r="B7" s="58" t="s">
        <v>1</v>
      </c>
      <c r="C7" s="6">
        <v>1000</v>
      </c>
      <c r="D7" s="2" t="s">
        <v>0</v>
      </c>
      <c r="E7" s="3"/>
      <c r="F7" s="3"/>
      <c r="G7" s="3"/>
      <c r="H7" s="15"/>
      <c r="I7" s="15"/>
      <c r="K7" s="156" t="s">
        <v>17</v>
      </c>
      <c r="L7" s="157" t="s">
        <v>1</v>
      </c>
      <c r="M7" s="118">
        <v>1000</v>
      </c>
      <c r="N7" s="158" t="s">
        <v>0</v>
      </c>
      <c r="O7" s="164"/>
      <c r="P7" s="164"/>
      <c r="Q7" s="164"/>
      <c r="R7" s="180"/>
    </row>
    <row r="8" spans="1:18" x14ac:dyDescent="0.25">
      <c r="A8" s="54" t="s">
        <v>18</v>
      </c>
      <c r="B8" s="58" t="s">
        <v>1</v>
      </c>
      <c r="C8" s="58">
        <v>100</v>
      </c>
      <c r="D8" s="2" t="s">
        <v>4</v>
      </c>
      <c r="E8" s="3"/>
      <c r="F8" s="3"/>
      <c r="G8" s="3"/>
      <c r="H8" s="15"/>
      <c r="I8" s="15"/>
      <c r="K8" s="156" t="s">
        <v>18</v>
      </c>
      <c r="L8" s="157" t="s">
        <v>1</v>
      </c>
      <c r="M8" s="80">
        <v>100</v>
      </c>
      <c r="N8" s="158" t="s">
        <v>4</v>
      </c>
      <c r="O8" s="164"/>
      <c r="P8" s="164"/>
      <c r="Q8" s="164"/>
      <c r="R8" s="180"/>
    </row>
    <row r="9" spans="1:18" x14ac:dyDescent="0.25">
      <c r="A9" s="54" t="s">
        <v>19</v>
      </c>
      <c r="B9" s="58" t="s">
        <v>7</v>
      </c>
      <c r="C9" s="38">
        <v>22</v>
      </c>
      <c r="D9" s="2" t="s">
        <v>20</v>
      </c>
      <c r="E9" s="3"/>
      <c r="F9" s="3"/>
      <c r="G9" s="3"/>
      <c r="H9" s="15"/>
      <c r="I9" s="15"/>
      <c r="K9" s="156" t="s">
        <v>19</v>
      </c>
      <c r="L9" s="157" t="s">
        <v>7</v>
      </c>
      <c r="M9" s="108">
        <v>22</v>
      </c>
      <c r="N9" s="158" t="s">
        <v>20</v>
      </c>
      <c r="O9" s="164"/>
      <c r="P9" s="164"/>
      <c r="Q9" s="164"/>
      <c r="R9" s="180"/>
    </row>
    <row r="10" spans="1:18" ht="16.5" x14ac:dyDescent="0.3">
      <c r="A10" s="54" t="s">
        <v>22</v>
      </c>
      <c r="B10" s="58" t="s">
        <v>7</v>
      </c>
      <c r="C10" s="6">
        <v>409</v>
      </c>
      <c r="D10" s="2" t="s">
        <v>158</v>
      </c>
      <c r="E10" s="3"/>
      <c r="F10" s="3"/>
      <c r="G10" s="3"/>
      <c r="H10" s="15"/>
      <c r="I10" s="15"/>
      <c r="K10" s="156" t="s">
        <v>22</v>
      </c>
      <c r="L10" s="157" t="s">
        <v>7</v>
      </c>
      <c r="M10" s="118">
        <v>409</v>
      </c>
      <c r="N10" s="158" t="s">
        <v>158</v>
      </c>
      <c r="O10" s="164"/>
      <c r="P10" s="164"/>
      <c r="Q10" s="164"/>
      <c r="R10" s="180"/>
    </row>
    <row r="11" spans="1:18" ht="16.5" x14ac:dyDescent="0.3">
      <c r="A11" s="54" t="s">
        <v>23</v>
      </c>
      <c r="B11" s="58" t="s">
        <v>1</v>
      </c>
      <c r="C11" s="6">
        <v>665</v>
      </c>
      <c r="D11" s="2" t="s">
        <v>0</v>
      </c>
      <c r="E11" s="3"/>
      <c r="F11" s="3"/>
      <c r="G11" s="3"/>
      <c r="H11" s="15"/>
      <c r="I11" s="15"/>
      <c r="K11" s="156" t="s">
        <v>23</v>
      </c>
      <c r="L11" s="157" t="s">
        <v>1</v>
      </c>
      <c r="M11" s="118">
        <v>665</v>
      </c>
      <c r="N11" s="158" t="s">
        <v>0</v>
      </c>
      <c r="O11" s="164"/>
      <c r="P11" s="164"/>
      <c r="Q11" s="164"/>
      <c r="R11" s="180"/>
    </row>
    <row r="12" spans="1:18" ht="18" x14ac:dyDescent="0.25">
      <c r="A12" s="54" t="s">
        <v>24</v>
      </c>
      <c r="B12" s="58" t="s">
        <v>1</v>
      </c>
      <c r="C12" s="115" t="s">
        <v>186</v>
      </c>
      <c r="D12" s="15"/>
      <c r="E12" s="2" t="s">
        <v>13</v>
      </c>
      <c r="F12" s="3"/>
      <c r="G12" s="3"/>
      <c r="H12" s="15"/>
      <c r="I12" s="15"/>
      <c r="K12" s="156" t="s">
        <v>24</v>
      </c>
      <c r="L12" s="157" t="s">
        <v>1</v>
      </c>
      <c r="M12" s="175">
        <f>M9/28.9625</f>
        <v>0.75960293482952101</v>
      </c>
      <c r="N12" s="158" t="s">
        <v>13</v>
      </c>
      <c r="O12" s="164"/>
      <c r="P12" s="164"/>
      <c r="Q12" s="164"/>
      <c r="R12" s="180"/>
    </row>
    <row r="13" spans="1:18" ht="19.5" x14ac:dyDescent="0.35">
      <c r="A13" s="54" t="s">
        <v>25</v>
      </c>
      <c r="B13" s="58" t="s">
        <v>1</v>
      </c>
      <c r="C13" s="46">
        <v>1.0500000000000001E-2</v>
      </c>
      <c r="D13" s="2" t="s">
        <v>26</v>
      </c>
      <c r="E13" s="15"/>
      <c r="F13" s="2" t="s">
        <v>176</v>
      </c>
      <c r="G13" s="3"/>
      <c r="H13" s="15"/>
      <c r="I13" s="15"/>
      <c r="K13" s="156" t="s">
        <v>25</v>
      </c>
      <c r="L13" s="157" t="s">
        <v>1</v>
      </c>
      <c r="M13" s="119">
        <v>1.0500000000000001E-2</v>
      </c>
      <c r="N13" s="158" t="s">
        <v>26</v>
      </c>
      <c r="O13" s="180"/>
      <c r="P13" s="158" t="s">
        <v>176</v>
      </c>
      <c r="Q13" s="164"/>
      <c r="R13" s="180"/>
    </row>
    <row r="14" spans="1:18" ht="18.75" x14ac:dyDescent="0.35">
      <c r="A14" s="114" t="s">
        <v>27</v>
      </c>
      <c r="B14" s="58" t="s">
        <v>1</v>
      </c>
      <c r="C14" s="116" t="s">
        <v>187</v>
      </c>
      <c r="D14" s="2"/>
      <c r="E14" s="2" t="s">
        <v>13</v>
      </c>
      <c r="F14" s="3"/>
      <c r="G14" s="3"/>
      <c r="H14" s="15"/>
      <c r="I14" s="15"/>
      <c r="K14" s="275" t="s">
        <v>27</v>
      </c>
      <c r="L14" s="157" t="s">
        <v>1</v>
      </c>
      <c r="M14" s="178">
        <f>(M8+459.67)/M10</f>
        <v>1.3683863080684597</v>
      </c>
      <c r="N14" s="158" t="s">
        <v>13</v>
      </c>
      <c r="O14" s="164"/>
      <c r="P14" s="164"/>
      <c r="Q14" s="164"/>
      <c r="R14" s="180"/>
    </row>
    <row r="15" spans="1:18" ht="18.75" x14ac:dyDescent="0.35">
      <c r="A15" s="114" t="s">
        <v>28</v>
      </c>
      <c r="B15" s="58" t="s">
        <v>7</v>
      </c>
      <c r="C15" s="116" t="s">
        <v>188</v>
      </c>
      <c r="D15" s="2"/>
      <c r="E15" s="2" t="s">
        <v>13</v>
      </c>
      <c r="F15" s="3"/>
      <c r="G15" s="3"/>
      <c r="H15" s="15"/>
      <c r="I15" s="15"/>
      <c r="K15" s="275" t="s">
        <v>28</v>
      </c>
      <c r="L15" s="157" t="s">
        <v>7</v>
      </c>
      <c r="M15" s="178">
        <f>M7/M11</f>
        <v>1.5037593984962405</v>
      </c>
      <c r="N15" s="158" t="s">
        <v>13</v>
      </c>
      <c r="O15" s="164"/>
      <c r="P15" s="164"/>
      <c r="Q15" s="164"/>
      <c r="R15" s="180"/>
    </row>
    <row r="16" spans="1:18" ht="16.5" x14ac:dyDescent="0.3">
      <c r="A16" s="55" t="s">
        <v>177</v>
      </c>
      <c r="B16" s="16" t="s">
        <v>1</v>
      </c>
      <c r="C16" s="47">
        <v>1.21</v>
      </c>
      <c r="D16" s="15"/>
      <c r="E16" s="18" t="s">
        <v>13</v>
      </c>
      <c r="F16" s="2" t="s">
        <v>178</v>
      </c>
      <c r="G16" s="3"/>
      <c r="H16" s="15"/>
      <c r="I16" s="15"/>
      <c r="K16" s="179" t="s">
        <v>177</v>
      </c>
      <c r="L16" s="218" t="s">
        <v>1</v>
      </c>
      <c r="M16" s="120">
        <v>1.21</v>
      </c>
      <c r="N16" s="232" t="s">
        <v>13</v>
      </c>
      <c r="O16" s="164"/>
      <c r="P16" s="158" t="s">
        <v>178</v>
      </c>
      <c r="Q16" s="164"/>
      <c r="R16" s="180"/>
    </row>
    <row r="17" spans="1:18" x14ac:dyDescent="0.25">
      <c r="A17" s="54" t="s">
        <v>29</v>
      </c>
      <c r="B17" s="58" t="s">
        <v>1</v>
      </c>
      <c r="C17" s="117" t="s">
        <v>189</v>
      </c>
      <c r="D17" s="15"/>
      <c r="E17" s="2" t="s">
        <v>26</v>
      </c>
      <c r="F17" s="3"/>
      <c r="G17" s="3"/>
      <c r="H17" s="15"/>
      <c r="I17" s="15"/>
      <c r="K17" s="156" t="s">
        <v>29</v>
      </c>
      <c r="L17" s="157" t="s">
        <v>1</v>
      </c>
      <c r="M17" s="221">
        <f>M16*M13</f>
        <v>1.2705000000000001E-2</v>
      </c>
      <c r="N17" s="158" t="s">
        <v>26</v>
      </c>
      <c r="O17" s="164"/>
      <c r="P17" s="164"/>
      <c r="Q17" s="164"/>
      <c r="R17" s="180"/>
    </row>
    <row r="18" spans="1:18" x14ac:dyDescent="0.25">
      <c r="A18" s="2"/>
      <c r="B18" s="58"/>
      <c r="C18" s="4"/>
      <c r="D18" s="2"/>
      <c r="E18" s="3"/>
      <c r="F18" s="3"/>
      <c r="G18" s="3"/>
      <c r="H18" s="15"/>
      <c r="I18" s="15"/>
      <c r="K18" s="158"/>
      <c r="L18" s="157"/>
      <c r="M18" s="163"/>
      <c r="N18" s="158"/>
      <c r="O18" s="164"/>
      <c r="P18" s="164"/>
      <c r="Q18" s="164"/>
      <c r="R18" s="180"/>
    </row>
    <row r="19" spans="1:18" x14ac:dyDescent="0.25">
      <c r="A19" s="2" t="s">
        <v>30</v>
      </c>
      <c r="B19" s="41"/>
      <c r="C19" s="41"/>
      <c r="D19" s="42"/>
      <c r="E19" s="42"/>
      <c r="F19" s="42"/>
      <c r="G19" s="42"/>
      <c r="H19" s="15"/>
      <c r="I19" s="15"/>
      <c r="K19" s="158" t="s">
        <v>30</v>
      </c>
      <c r="L19" s="271"/>
      <c r="M19" s="271"/>
      <c r="N19" s="273"/>
      <c r="O19" s="273"/>
      <c r="P19" s="273"/>
      <c r="Q19" s="273"/>
      <c r="R19" s="180"/>
    </row>
    <row r="22" spans="1:18" x14ac:dyDescent="0.25">
      <c r="A22" s="165" t="s">
        <v>126</v>
      </c>
    </row>
    <row r="23" spans="1:18" x14ac:dyDescent="0.25">
      <c r="A23" s="165" t="s">
        <v>269</v>
      </c>
    </row>
    <row r="24" spans="1:18" x14ac:dyDescent="0.25">
      <c r="A24" s="165" t="s">
        <v>270</v>
      </c>
    </row>
    <row r="25" spans="1:18" x14ac:dyDescent="0.25">
      <c r="A25" s="165" t="s">
        <v>271</v>
      </c>
    </row>
    <row r="26" spans="1:18" x14ac:dyDescent="0.25">
      <c r="A26" s="166" t="s">
        <v>272</v>
      </c>
    </row>
  </sheetData>
  <sheetProtection password="E156" sheet="1" objects="1" scenarios="1"/>
  <mergeCells count="2">
    <mergeCell ref="A5:G5"/>
    <mergeCell ref="K5:Q5"/>
  </mergeCells>
  <pageMargins left="0.75" right="0.75" top="1" bottom="1" header="0.5" footer="0.5"/>
  <pageSetup paperSize="199" scale="55" orientation="landscape" r:id="rId1"/>
  <headerFooter alignWithMargins="0">
    <oddHeader>&amp;CCALCULATION SPREADSHEET FOR GPSA ENGINEERING DATA BOOK, 13&amp;Xth&amp;X ED.
EXAMPLE 23-8</oddHeader>
  </headerFooter>
  <ignoredErrors>
    <ignoredError sqref="M12 M13 M14 M15 M17 M16"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Q36"/>
  <sheetViews>
    <sheetView zoomScaleNormal="100" workbookViewId="0">
      <selection activeCell="C2" sqref="C2"/>
    </sheetView>
  </sheetViews>
  <sheetFormatPr defaultRowHeight="15" x14ac:dyDescent="0.25"/>
  <cols>
    <col min="1" max="1" width="21.42578125" style="152" customWidth="1"/>
    <col min="2" max="2" width="9.140625" style="151"/>
    <col min="3" max="3" width="43.42578125" style="151" bestFit="1" customWidth="1"/>
    <col min="4" max="5" width="10.5703125" style="152" customWidth="1"/>
    <col min="6" max="6" width="10.42578125" style="152" customWidth="1"/>
    <col min="7" max="7" width="13.7109375" style="152" customWidth="1"/>
    <col min="8" max="8" width="10.28515625" style="152" customWidth="1"/>
    <col min="9" max="9" width="9.140625" style="152"/>
    <col min="10" max="10" width="22.140625" style="152" customWidth="1"/>
    <col min="11" max="11" width="9.140625" style="151"/>
    <col min="12" max="12" width="17" style="151" customWidth="1"/>
    <col min="13" max="13" width="10.7109375" style="152" bestFit="1" customWidth="1"/>
    <col min="14" max="14" width="9.140625" style="152"/>
    <col min="15" max="15" width="8.5703125" style="152" bestFit="1" customWidth="1"/>
    <col min="16" max="16" width="14.7109375" style="152" customWidth="1"/>
    <col min="17" max="17" width="7.85546875" style="152" customWidth="1"/>
    <col min="18" max="16384" width="9.140625" style="152"/>
  </cols>
  <sheetData>
    <row r="1" spans="1:17" x14ac:dyDescent="0.25">
      <c r="A1" s="150" t="s">
        <v>264</v>
      </c>
    </row>
    <row r="5" spans="1:17" ht="17.25" customHeight="1" x14ac:dyDescent="0.25">
      <c r="A5" s="319" t="s">
        <v>252</v>
      </c>
      <c r="B5" s="319"/>
      <c r="C5" s="319"/>
      <c r="D5" s="319"/>
      <c r="E5" s="319"/>
      <c r="F5" s="319"/>
      <c r="G5" s="319"/>
      <c r="H5" s="319"/>
      <c r="J5" s="320" t="s">
        <v>252</v>
      </c>
      <c r="K5" s="320"/>
      <c r="L5" s="320"/>
      <c r="M5" s="320"/>
      <c r="N5" s="320"/>
      <c r="O5" s="320"/>
      <c r="P5" s="320"/>
      <c r="Q5" s="320"/>
    </row>
    <row r="6" spans="1:17" ht="21.75" customHeight="1" x14ac:dyDescent="0.25">
      <c r="A6" s="8" t="s">
        <v>2</v>
      </c>
      <c r="B6" s="58"/>
      <c r="C6" s="58"/>
      <c r="D6" s="2"/>
      <c r="E6" s="3"/>
      <c r="F6" s="3"/>
      <c r="G6" s="3"/>
      <c r="H6" s="3"/>
      <c r="J6" s="170" t="s">
        <v>2</v>
      </c>
      <c r="K6" s="157"/>
      <c r="L6" s="157"/>
      <c r="M6" s="158"/>
      <c r="N6" s="164"/>
      <c r="O6" s="164"/>
      <c r="P6" s="164"/>
      <c r="Q6" s="164"/>
    </row>
    <row r="7" spans="1:17" x14ac:dyDescent="0.25">
      <c r="A7" s="54" t="s">
        <v>17</v>
      </c>
      <c r="B7" s="58" t="s">
        <v>1</v>
      </c>
      <c r="C7" s="6">
        <v>300</v>
      </c>
      <c r="D7" s="2" t="s">
        <v>0</v>
      </c>
      <c r="E7" s="3"/>
      <c r="F7" s="3"/>
      <c r="G7" s="3"/>
      <c r="H7" s="3"/>
      <c r="J7" s="156" t="s">
        <v>17</v>
      </c>
      <c r="K7" s="157" t="s">
        <v>1</v>
      </c>
      <c r="L7" s="118">
        <v>300</v>
      </c>
      <c r="M7" s="158" t="s">
        <v>0</v>
      </c>
      <c r="N7" s="164"/>
      <c r="O7" s="164"/>
      <c r="P7" s="164"/>
      <c r="Q7" s="164"/>
    </row>
    <row r="8" spans="1:17" x14ac:dyDescent="0.25">
      <c r="A8" s="54" t="s">
        <v>18</v>
      </c>
      <c r="B8" s="58" t="s">
        <v>1</v>
      </c>
      <c r="C8" s="58">
        <v>50</v>
      </c>
      <c r="D8" s="2" t="s">
        <v>130</v>
      </c>
      <c r="E8" s="3"/>
      <c r="F8" s="3"/>
      <c r="G8" s="3"/>
      <c r="H8" s="3"/>
      <c r="J8" s="156" t="s">
        <v>18</v>
      </c>
      <c r="K8" s="157" t="s">
        <v>1</v>
      </c>
      <c r="L8" s="80">
        <v>50</v>
      </c>
      <c r="M8" s="158" t="s">
        <v>130</v>
      </c>
      <c r="N8" s="164"/>
      <c r="O8" s="164"/>
      <c r="P8" s="164"/>
      <c r="Q8" s="164"/>
    </row>
    <row r="9" spans="1:17" x14ac:dyDescent="0.25">
      <c r="A9" s="54" t="s">
        <v>69</v>
      </c>
      <c r="B9" s="58" t="s">
        <v>7</v>
      </c>
      <c r="C9" s="58">
        <v>80</v>
      </c>
      <c r="D9" s="2" t="s">
        <v>31</v>
      </c>
      <c r="E9" s="3"/>
      <c r="F9" s="3"/>
      <c r="G9" s="3"/>
      <c r="H9" s="3"/>
      <c r="J9" s="156" t="s">
        <v>69</v>
      </c>
      <c r="K9" s="157" t="s">
        <v>7</v>
      </c>
      <c r="L9" s="80">
        <v>80</v>
      </c>
      <c r="M9" s="158" t="s">
        <v>31</v>
      </c>
      <c r="N9" s="164"/>
      <c r="O9" s="164"/>
      <c r="P9" s="164"/>
      <c r="Q9" s="164"/>
    </row>
    <row r="10" spans="1:17" x14ac:dyDescent="0.25">
      <c r="A10" s="54" t="s">
        <v>117</v>
      </c>
      <c r="B10" s="58" t="s">
        <v>7</v>
      </c>
      <c r="C10" s="6">
        <v>15</v>
      </c>
      <c r="D10" s="2" t="s">
        <v>31</v>
      </c>
      <c r="E10" s="3"/>
      <c r="F10" s="3"/>
      <c r="G10" s="3"/>
      <c r="H10" s="3"/>
      <c r="J10" s="156" t="s">
        <v>117</v>
      </c>
      <c r="K10" s="157" t="s">
        <v>7</v>
      </c>
      <c r="L10" s="118">
        <v>15</v>
      </c>
      <c r="M10" s="158" t="s">
        <v>31</v>
      </c>
      <c r="N10" s="164"/>
      <c r="O10" s="164"/>
      <c r="P10" s="164"/>
      <c r="Q10" s="164"/>
    </row>
    <row r="11" spans="1:17" x14ac:dyDescent="0.25">
      <c r="A11" s="54" t="s">
        <v>70</v>
      </c>
      <c r="B11" s="58" t="s">
        <v>1</v>
      </c>
      <c r="C11" s="6">
        <v>5</v>
      </c>
      <c r="D11" s="2" t="s">
        <v>31</v>
      </c>
      <c r="E11" s="3"/>
      <c r="F11" s="3"/>
      <c r="G11" s="3"/>
      <c r="H11" s="3"/>
      <c r="J11" s="156" t="s">
        <v>70</v>
      </c>
      <c r="K11" s="157" t="s">
        <v>1</v>
      </c>
      <c r="L11" s="118">
        <v>5</v>
      </c>
      <c r="M11" s="158" t="s">
        <v>31</v>
      </c>
      <c r="N11" s="164"/>
      <c r="O11" s="164"/>
      <c r="P11" s="164"/>
      <c r="Q11" s="164"/>
    </row>
    <row r="12" spans="1:17" x14ac:dyDescent="0.25">
      <c r="A12" s="2"/>
      <c r="B12" s="58"/>
      <c r="C12" s="6"/>
      <c r="D12" s="2"/>
      <c r="E12" s="3"/>
      <c r="F12" s="3"/>
      <c r="G12" s="3"/>
      <c r="H12" s="3"/>
      <c r="J12" s="158"/>
      <c r="K12" s="157"/>
      <c r="L12" s="272"/>
      <c r="M12" s="158"/>
      <c r="N12" s="164"/>
      <c r="O12" s="164"/>
      <c r="P12" s="164"/>
      <c r="Q12" s="164"/>
    </row>
    <row r="13" spans="1:17" ht="31.5" x14ac:dyDescent="0.25">
      <c r="A13" s="18" t="s">
        <v>63</v>
      </c>
      <c r="B13" s="21" t="s">
        <v>214</v>
      </c>
      <c r="C13" s="48" t="s">
        <v>19</v>
      </c>
      <c r="D13" s="16" t="s">
        <v>120</v>
      </c>
      <c r="E13" s="16" t="s">
        <v>253</v>
      </c>
      <c r="F13" s="16" t="s">
        <v>123</v>
      </c>
      <c r="G13" s="16" t="s">
        <v>124</v>
      </c>
      <c r="H13" s="16" t="s">
        <v>125</v>
      </c>
      <c r="J13" s="232" t="s">
        <v>63</v>
      </c>
      <c r="K13" s="217" t="s">
        <v>121</v>
      </c>
      <c r="L13" s="276" t="s">
        <v>19</v>
      </c>
      <c r="M13" s="218" t="s">
        <v>120</v>
      </c>
      <c r="N13" s="218" t="s">
        <v>222</v>
      </c>
      <c r="O13" s="218" t="s">
        <v>123</v>
      </c>
      <c r="P13" s="218" t="s">
        <v>124</v>
      </c>
      <c r="Q13" s="218" t="s">
        <v>125</v>
      </c>
    </row>
    <row r="14" spans="1:17" x14ac:dyDescent="0.25">
      <c r="A14" s="58" t="s">
        <v>106</v>
      </c>
      <c r="B14" s="138">
        <v>0.8</v>
      </c>
      <c r="C14" s="12">
        <v>16.042999999999999</v>
      </c>
      <c r="D14" s="43">
        <v>667</v>
      </c>
      <c r="E14" s="38">
        <v>343</v>
      </c>
      <c r="F14" s="24">
        <v>9.8799999999999999E-2</v>
      </c>
      <c r="G14" s="138">
        <f>C14*F14*B14</f>
        <v>1.2680387199999998</v>
      </c>
      <c r="H14" s="24">
        <f>0.2882*B14</f>
        <v>0.23056000000000001</v>
      </c>
      <c r="J14" s="158" t="s">
        <v>106</v>
      </c>
      <c r="K14" s="178">
        <v>0.8</v>
      </c>
      <c r="L14" s="175">
        <v>16.042999999999999</v>
      </c>
      <c r="M14" s="277">
        <v>667</v>
      </c>
      <c r="N14" s="171">
        <v>343</v>
      </c>
      <c r="O14" s="221">
        <v>9.8799999999999999E-2</v>
      </c>
      <c r="P14" s="178">
        <f>L14*O14*K14</f>
        <v>1.2680387199999998</v>
      </c>
      <c r="Q14" s="221">
        <f>0.2882*K14</f>
        <v>0.23056000000000001</v>
      </c>
    </row>
    <row r="15" spans="1:17" x14ac:dyDescent="0.25">
      <c r="A15" s="58" t="s">
        <v>105</v>
      </c>
      <c r="B15" s="138">
        <v>0.15</v>
      </c>
      <c r="C15" s="12">
        <v>28.013000000000002</v>
      </c>
      <c r="D15" s="43">
        <v>492.5</v>
      </c>
      <c r="E15" s="38">
        <v>227.2</v>
      </c>
      <c r="F15" s="24">
        <v>5.0999999999999997E-2</v>
      </c>
      <c r="G15" s="138">
        <f t="shared" ref="G15:G16" si="0">C15*F15*B15</f>
        <v>0.21429945</v>
      </c>
      <c r="H15" s="24">
        <f>0.2891*B15</f>
        <v>4.3365000000000001E-2</v>
      </c>
      <c r="J15" s="158" t="s">
        <v>105</v>
      </c>
      <c r="K15" s="178">
        <v>0.15</v>
      </c>
      <c r="L15" s="175">
        <v>28.013000000000002</v>
      </c>
      <c r="M15" s="277">
        <v>492.5</v>
      </c>
      <c r="N15" s="171">
        <v>227.2</v>
      </c>
      <c r="O15" s="221">
        <v>5.0999999999999997E-2</v>
      </c>
      <c r="P15" s="178">
        <f t="shared" ref="P15:P16" si="1">L15*O15*K15</f>
        <v>0.21429945</v>
      </c>
      <c r="Q15" s="221">
        <f>0.2891*K15</f>
        <v>4.3365000000000001E-2</v>
      </c>
    </row>
    <row r="16" spans="1:17" ht="15.75" thickBot="1" x14ac:dyDescent="0.3">
      <c r="A16" s="58" t="s">
        <v>100</v>
      </c>
      <c r="B16" s="125">
        <v>0.05</v>
      </c>
      <c r="C16" s="126">
        <v>44.01</v>
      </c>
      <c r="D16" s="43">
        <v>1069.5</v>
      </c>
      <c r="E16" s="60">
        <v>547.4</v>
      </c>
      <c r="F16" s="24">
        <v>3.4200000000000001E-2</v>
      </c>
      <c r="G16" s="125">
        <f t="shared" si="0"/>
        <v>7.5257100000000007E-2</v>
      </c>
      <c r="H16" s="127">
        <f>0.2749*B16</f>
        <v>1.3745E-2</v>
      </c>
      <c r="J16" s="158" t="s">
        <v>100</v>
      </c>
      <c r="K16" s="278">
        <v>0.05</v>
      </c>
      <c r="L16" s="279">
        <v>44.01</v>
      </c>
      <c r="M16" s="277">
        <v>1069.5</v>
      </c>
      <c r="N16" s="172">
        <v>547.4</v>
      </c>
      <c r="O16" s="221">
        <v>3.4200000000000001E-2</v>
      </c>
      <c r="P16" s="278">
        <f t="shared" si="1"/>
        <v>7.5257100000000007E-2</v>
      </c>
      <c r="Q16" s="280">
        <f>0.2749*K16</f>
        <v>1.3745E-2</v>
      </c>
    </row>
    <row r="17" spans="1:17" ht="15.75" thickTop="1" x14ac:dyDescent="0.25">
      <c r="A17" s="58" t="s">
        <v>119</v>
      </c>
      <c r="B17" s="138">
        <f>SUM(B14:B16)</f>
        <v>1</v>
      </c>
      <c r="C17" s="12">
        <f>((B14*C14)+(B15*C15)+(B16*C16))</f>
        <v>19.236849999999997</v>
      </c>
      <c r="D17" s="58"/>
      <c r="E17" s="38">
        <f>((B14*E14)+(B15*E15)+(B16*E16))</f>
        <v>335.85</v>
      </c>
      <c r="F17" s="58"/>
      <c r="G17" s="4">
        <f>SUM(G14:G16)</f>
        <v>1.5575952699999998</v>
      </c>
      <c r="H17" s="24">
        <f>SUM(H14:H16)</f>
        <v>0.28767000000000004</v>
      </c>
      <c r="J17" s="158" t="s">
        <v>119</v>
      </c>
      <c r="K17" s="178">
        <f>SUM(K14:K16)</f>
        <v>1</v>
      </c>
      <c r="L17" s="175">
        <f>((K14*L14)+(K15*L15)+(K16*L16))</f>
        <v>19.236849999999997</v>
      </c>
      <c r="M17" s="157" t="s">
        <v>81</v>
      </c>
      <c r="N17" s="171">
        <f>((K14*N14)+(K15*N15)+(K16*N16))</f>
        <v>335.85</v>
      </c>
      <c r="O17" s="157"/>
      <c r="P17" s="163">
        <f>SUM(P14:P16)</f>
        <v>1.5575952699999998</v>
      </c>
      <c r="Q17" s="221">
        <f>SUM(Q14:Q16)</f>
        <v>0.28767000000000004</v>
      </c>
    </row>
    <row r="18" spans="1:17" x14ac:dyDescent="0.25">
      <c r="A18" s="2"/>
      <c r="B18" s="58"/>
      <c r="C18" s="6"/>
      <c r="D18" s="2"/>
      <c r="E18" s="3"/>
      <c r="F18" s="3"/>
      <c r="G18" s="3"/>
      <c r="H18" s="3"/>
      <c r="J18" s="158"/>
      <c r="K18" s="157"/>
      <c r="L18" s="272"/>
      <c r="M18" s="158"/>
      <c r="N18" s="164"/>
      <c r="O18" s="164"/>
      <c r="P18" s="164"/>
      <c r="Q18" s="164"/>
    </row>
    <row r="19" spans="1:17" s="176" customFormat="1" ht="14.25" x14ac:dyDescent="0.2">
      <c r="A19" s="7" t="s">
        <v>21</v>
      </c>
      <c r="B19" s="8"/>
      <c r="C19" s="9"/>
      <c r="D19" s="7"/>
      <c r="E19" s="10"/>
      <c r="F19" s="10"/>
      <c r="G19" s="10"/>
      <c r="H19" s="10"/>
      <c r="J19" s="281" t="s">
        <v>21</v>
      </c>
      <c r="K19" s="170"/>
      <c r="L19" s="282"/>
      <c r="M19" s="281"/>
      <c r="N19" s="177"/>
      <c r="O19" s="177"/>
      <c r="P19" s="177"/>
      <c r="Q19" s="177"/>
    </row>
    <row r="20" spans="1:17" ht="16.5" customHeight="1" x14ac:dyDescent="0.3">
      <c r="A20" s="54" t="s">
        <v>32</v>
      </c>
      <c r="B20" s="58" t="s">
        <v>1</v>
      </c>
      <c r="C20" s="43">
        <f>E17</f>
        <v>335.85</v>
      </c>
      <c r="D20" s="2" t="s">
        <v>158</v>
      </c>
      <c r="E20" s="3"/>
      <c r="F20" s="318" t="s">
        <v>254</v>
      </c>
      <c r="G20" s="318"/>
      <c r="H20" s="318"/>
      <c r="J20" s="156" t="s">
        <v>32</v>
      </c>
      <c r="K20" s="157" t="s">
        <v>1</v>
      </c>
      <c r="L20" s="277">
        <f>N17</f>
        <v>335.85</v>
      </c>
      <c r="M20" s="158" t="s">
        <v>158</v>
      </c>
      <c r="N20" s="164"/>
      <c r="O20" s="321" t="s">
        <v>254</v>
      </c>
      <c r="P20" s="321"/>
      <c r="Q20" s="321"/>
    </row>
    <row r="21" spans="1:17" ht="18.75" customHeight="1" x14ac:dyDescent="0.3">
      <c r="A21" s="54" t="s">
        <v>33</v>
      </c>
      <c r="B21" s="58" t="s">
        <v>1</v>
      </c>
      <c r="C21" s="12">
        <f>G17</f>
        <v>1.5575952699999998</v>
      </c>
      <c r="D21" s="2" t="s">
        <v>122</v>
      </c>
      <c r="E21" s="3"/>
      <c r="F21" s="318" t="s">
        <v>254</v>
      </c>
      <c r="G21" s="318"/>
      <c r="H21" s="318"/>
      <c r="J21" s="156" t="s">
        <v>33</v>
      </c>
      <c r="K21" s="157" t="s">
        <v>1</v>
      </c>
      <c r="L21" s="175">
        <f>P17</f>
        <v>1.5575952699999998</v>
      </c>
      <c r="M21" s="158" t="s">
        <v>122</v>
      </c>
      <c r="N21" s="164"/>
      <c r="O21" s="321" t="s">
        <v>254</v>
      </c>
      <c r="P21" s="321"/>
      <c r="Q21" s="321"/>
    </row>
    <row r="22" spans="1:17" ht="16.5" x14ac:dyDescent="0.3">
      <c r="A22" s="54" t="s">
        <v>35</v>
      </c>
      <c r="B22" s="58" t="s">
        <v>1</v>
      </c>
      <c r="C22" s="43" t="s">
        <v>215</v>
      </c>
      <c r="D22" s="2" t="s">
        <v>0</v>
      </c>
      <c r="E22" s="3"/>
      <c r="F22" s="3"/>
      <c r="G22" s="3"/>
      <c r="H22" s="3"/>
      <c r="J22" s="156" t="s">
        <v>35</v>
      </c>
      <c r="K22" s="157" t="s">
        <v>1</v>
      </c>
      <c r="L22" s="277">
        <f>L23*10.73*L20/L21</f>
        <v>665.55665178348966</v>
      </c>
      <c r="M22" s="158" t="s">
        <v>0</v>
      </c>
      <c r="N22" s="164"/>
      <c r="O22" s="164"/>
      <c r="P22" s="164"/>
      <c r="Q22" s="164"/>
    </row>
    <row r="23" spans="1:17" ht="16.5" x14ac:dyDescent="0.3">
      <c r="A23" s="91" t="s">
        <v>34</v>
      </c>
      <c r="B23" s="27" t="s">
        <v>1</v>
      </c>
      <c r="C23" s="39">
        <f>H17</f>
        <v>0.28767000000000004</v>
      </c>
      <c r="D23" s="15" t="s">
        <v>13</v>
      </c>
      <c r="E23" s="15"/>
      <c r="F23" s="15"/>
      <c r="G23" s="15"/>
      <c r="H23" s="15"/>
      <c r="J23" s="234" t="s">
        <v>34</v>
      </c>
      <c r="K23" s="226" t="s">
        <v>1</v>
      </c>
      <c r="L23" s="268">
        <f>Q17</f>
        <v>0.28767000000000004</v>
      </c>
      <c r="M23" s="180" t="s">
        <v>13</v>
      </c>
      <c r="N23" s="180"/>
      <c r="O23" s="180"/>
      <c r="P23" s="180"/>
      <c r="Q23" s="180"/>
    </row>
    <row r="24" spans="1:17" ht="18" x14ac:dyDescent="0.25">
      <c r="A24" s="110" t="s">
        <v>36</v>
      </c>
      <c r="B24" s="16" t="s">
        <v>1</v>
      </c>
      <c r="C24" s="17" t="s">
        <v>220</v>
      </c>
      <c r="D24" s="18" t="s">
        <v>13</v>
      </c>
      <c r="E24" s="49"/>
      <c r="F24" s="318" t="s">
        <v>216</v>
      </c>
      <c r="G24" s="318"/>
      <c r="H24" s="318"/>
      <c r="J24" s="264" t="s">
        <v>36</v>
      </c>
      <c r="K24" s="218" t="s">
        <v>1</v>
      </c>
      <c r="L24" s="231">
        <f>5.4402*((L20^0.1666)/(L22^0.6666)/(L17^0.5))</f>
        <v>4.2901113329114053E-2</v>
      </c>
      <c r="M24" s="232" t="s">
        <v>13</v>
      </c>
      <c r="N24" s="283"/>
      <c r="O24" s="321" t="s">
        <v>216</v>
      </c>
      <c r="P24" s="321"/>
      <c r="Q24" s="321"/>
    </row>
    <row r="25" spans="1:17" ht="18.75" x14ac:dyDescent="0.35">
      <c r="A25" s="114" t="s">
        <v>27</v>
      </c>
      <c r="B25" s="58" t="s">
        <v>1</v>
      </c>
      <c r="C25" s="4">
        <f>(C8+459.67)/C20</f>
        <v>1.517552478785172</v>
      </c>
      <c r="D25" s="2" t="s">
        <v>13</v>
      </c>
      <c r="E25" s="3"/>
      <c r="F25" s="3"/>
      <c r="G25" s="3"/>
      <c r="H25" s="3"/>
      <c r="J25" s="275" t="s">
        <v>27</v>
      </c>
      <c r="K25" s="157" t="s">
        <v>1</v>
      </c>
      <c r="L25" s="163">
        <f>(L8+459.67)/L20</f>
        <v>1.517552478785172</v>
      </c>
      <c r="M25" s="158" t="s">
        <v>13</v>
      </c>
      <c r="N25" s="164"/>
      <c r="O25" s="164"/>
      <c r="P25" s="164"/>
      <c r="Q25" s="164"/>
    </row>
    <row r="26" spans="1:17" ht="18.75" x14ac:dyDescent="0.35">
      <c r="A26" s="114" t="s">
        <v>37</v>
      </c>
      <c r="B26" s="58" t="s">
        <v>7</v>
      </c>
      <c r="C26" s="50">
        <f>166.8*10^-5*(0.1338*C25-0.0932)^0.5555</f>
        <v>4.8905447096629672E-4</v>
      </c>
      <c r="D26" s="2" t="s">
        <v>13</v>
      </c>
      <c r="E26" s="3"/>
      <c r="F26" s="318" t="s">
        <v>217</v>
      </c>
      <c r="G26" s="318"/>
      <c r="H26" s="318"/>
      <c r="J26" s="275" t="s">
        <v>37</v>
      </c>
      <c r="K26" s="157" t="s">
        <v>7</v>
      </c>
      <c r="L26" s="284">
        <f>166.8*10^-5*(0.1338*L25-0.0932)^0.5555</f>
        <v>4.8905447096629672E-4</v>
      </c>
      <c r="M26" s="158" t="s">
        <v>13</v>
      </c>
      <c r="N26" s="164"/>
      <c r="O26" s="164"/>
      <c r="P26" s="164"/>
      <c r="Q26" s="164"/>
    </row>
    <row r="27" spans="1:17" ht="20.25" x14ac:dyDescent="0.35">
      <c r="A27" s="54" t="s">
        <v>219</v>
      </c>
      <c r="B27" s="58" t="s">
        <v>1</v>
      </c>
      <c r="C27" s="22" t="s">
        <v>221</v>
      </c>
      <c r="D27" s="2" t="s">
        <v>26</v>
      </c>
      <c r="E27" s="3"/>
      <c r="F27" s="318" t="s">
        <v>218</v>
      </c>
      <c r="G27" s="318"/>
      <c r="H27" s="318"/>
      <c r="J27" s="285" t="s">
        <v>38</v>
      </c>
      <c r="K27" s="157" t="s">
        <v>1</v>
      </c>
      <c r="L27" s="229">
        <f>L26/L24</f>
        <v>1.1399575279423084E-2</v>
      </c>
      <c r="M27" s="158" t="s">
        <v>26</v>
      </c>
      <c r="N27" s="164"/>
      <c r="O27" s="164"/>
      <c r="P27" s="164"/>
      <c r="Q27" s="164"/>
    </row>
    <row r="28" spans="1:17" ht="18.75" x14ac:dyDescent="0.3">
      <c r="A28" s="54"/>
      <c r="B28" s="58"/>
      <c r="C28" s="22"/>
      <c r="D28" s="2"/>
      <c r="E28" s="3"/>
      <c r="F28" s="141"/>
      <c r="G28" s="141"/>
      <c r="H28" s="141"/>
      <c r="J28" s="286"/>
      <c r="K28" s="157"/>
      <c r="L28" s="229"/>
      <c r="M28" s="158"/>
      <c r="N28" s="164"/>
      <c r="O28" s="164"/>
      <c r="P28" s="164"/>
      <c r="Q28" s="164"/>
    </row>
    <row r="29" spans="1:17" x14ac:dyDescent="0.25">
      <c r="A29" s="15" t="s">
        <v>118</v>
      </c>
      <c r="B29" s="27"/>
      <c r="C29" s="27"/>
      <c r="D29" s="15"/>
      <c r="E29" s="15"/>
      <c r="F29" s="15"/>
      <c r="G29" s="15"/>
      <c r="H29" s="15"/>
      <c r="J29" s="180" t="s">
        <v>118</v>
      </c>
      <c r="K29" s="226"/>
      <c r="L29" s="226"/>
      <c r="M29" s="180"/>
      <c r="N29" s="180"/>
      <c r="O29" s="180"/>
      <c r="P29" s="180"/>
      <c r="Q29" s="180"/>
    </row>
    <row r="32" spans="1:17" x14ac:dyDescent="0.25">
      <c r="A32" s="165" t="s">
        <v>126</v>
      </c>
    </row>
    <row r="33" spans="1:1" x14ac:dyDescent="0.25">
      <c r="A33" s="165" t="s">
        <v>269</v>
      </c>
    </row>
    <row r="34" spans="1:1" x14ac:dyDescent="0.25">
      <c r="A34" s="165" t="s">
        <v>270</v>
      </c>
    </row>
    <row r="35" spans="1:1" x14ac:dyDescent="0.25">
      <c r="A35" s="165" t="s">
        <v>271</v>
      </c>
    </row>
    <row r="36" spans="1:1" x14ac:dyDescent="0.25">
      <c r="A36" s="166" t="s">
        <v>272</v>
      </c>
    </row>
  </sheetData>
  <sheetProtection password="E156" sheet="1" objects="1" scenarios="1"/>
  <mergeCells count="10">
    <mergeCell ref="F27:H27"/>
    <mergeCell ref="F24:H24"/>
    <mergeCell ref="A5:H5"/>
    <mergeCell ref="J5:Q5"/>
    <mergeCell ref="O24:Q24"/>
    <mergeCell ref="F26:H26"/>
    <mergeCell ref="F20:H20"/>
    <mergeCell ref="F21:H21"/>
    <mergeCell ref="O20:Q20"/>
    <mergeCell ref="O21:Q21"/>
  </mergeCells>
  <pageMargins left="0.75" right="0.75" top="1" bottom="1" header="0.5" footer="0.5"/>
  <pageSetup paperSize="199" scale="47" orientation="landscape" r:id="rId1"/>
  <headerFooter alignWithMargins="0">
    <oddHeader>&amp;CCALCULATION SPREADSHEET FOR GPSA ENGINEERING DATA BOOK, 13&amp;Xth&amp;X ED.
EXAMPLE 23-9</oddHeader>
  </headerFooter>
  <ignoredErrors>
    <ignoredError sqref="K17 L23:L27 L20:L21"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M25"/>
  <sheetViews>
    <sheetView zoomScaleNormal="100" workbookViewId="0">
      <selection activeCell="F3" sqref="F3"/>
    </sheetView>
  </sheetViews>
  <sheetFormatPr defaultRowHeight="15" x14ac:dyDescent="0.25"/>
  <cols>
    <col min="1" max="1" width="21.42578125" style="152" customWidth="1"/>
    <col min="2" max="2" width="9.140625" style="151"/>
    <col min="3" max="3" width="52.42578125" style="151" bestFit="1" customWidth="1"/>
    <col min="4" max="4" width="10.5703125" style="152" customWidth="1"/>
    <col min="5" max="5" width="5.28515625" style="152" customWidth="1"/>
    <col min="6" max="6" width="18" style="152" customWidth="1"/>
    <col min="7" max="7" width="9.140625" style="152"/>
    <col min="8" max="8" width="22.140625" style="152" customWidth="1"/>
    <col min="9" max="9" width="9.140625" style="151"/>
    <col min="10" max="10" width="12.7109375" style="151" customWidth="1"/>
    <col min="11" max="11" width="10.7109375" style="152" bestFit="1" customWidth="1"/>
    <col min="12" max="12" width="9.140625" style="152"/>
    <col min="13" max="13" width="55.5703125" style="152" customWidth="1"/>
    <col min="14" max="16384" width="9.140625" style="152"/>
  </cols>
  <sheetData>
    <row r="1" spans="1:13" x14ac:dyDescent="0.25">
      <c r="A1" s="150" t="s">
        <v>264</v>
      </c>
    </row>
    <row r="5" spans="1:13" ht="29.25" customHeight="1" x14ac:dyDescent="0.25">
      <c r="A5" s="312" t="s">
        <v>255</v>
      </c>
      <c r="B5" s="313"/>
      <c r="C5" s="313"/>
      <c r="D5" s="313"/>
      <c r="E5" s="313"/>
      <c r="F5" s="313"/>
      <c r="H5" s="314" t="s">
        <v>255</v>
      </c>
      <c r="I5" s="315"/>
      <c r="J5" s="315"/>
      <c r="K5" s="315"/>
      <c r="L5" s="315"/>
      <c r="M5" s="315"/>
    </row>
    <row r="6" spans="1:13" ht="16.5" customHeight="1" x14ac:dyDescent="0.25">
      <c r="A6" s="8" t="s">
        <v>2</v>
      </c>
      <c r="B6" s="58"/>
      <c r="C6" s="58"/>
      <c r="D6" s="2"/>
      <c r="E6" s="3"/>
      <c r="F6" s="3"/>
      <c r="H6" s="170" t="s">
        <v>2</v>
      </c>
      <c r="I6" s="157"/>
      <c r="J6" s="157"/>
      <c r="K6" s="158"/>
      <c r="L6" s="164"/>
      <c r="M6" s="164"/>
    </row>
    <row r="7" spans="1:13" x14ac:dyDescent="0.25">
      <c r="A7" s="54" t="s">
        <v>44</v>
      </c>
      <c r="B7" s="58" t="s">
        <v>1</v>
      </c>
      <c r="C7" s="58">
        <v>100</v>
      </c>
      <c r="D7" s="2" t="s">
        <v>130</v>
      </c>
      <c r="E7" s="3"/>
      <c r="F7" s="3"/>
      <c r="H7" s="156" t="s">
        <v>44</v>
      </c>
      <c r="I7" s="157" t="s">
        <v>1</v>
      </c>
      <c r="J7" s="80">
        <v>100</v>
      </c>
      <c r="K7" s="158" t="s">
        <v>130</v>
      </c>
      <c r="L7" s="164"/>
      <c r="M7" s="164"/>
    </row>
    <row r="8" spans="1:13" x14ac:dyDescent="0.25">
      <c r="A8" s="54" t="s">
        <v>45</v>
      </c>
      <c r="B8" s="58" t="s">
        <v>7</v>
      </c>
      <c r="C8" s="58">
        <v>210</v>
      </c>
      <c r="D8" s="2" t="s">
        <v>130</v>
      </c>
      <c r="E8" s="3"/>
      <c r="F8" s="3"/>
      <c r="H8" s="156" t="s">
        <v>45</v>
      </c>
      <c r="I8" s="157" t="s">
        <v>7</v>
      </c>
      <c r="J8" s="80">
        <v>210</v>
      </c>
      <c r="K8" s="158" t="s">
        <v>130</v>
      </c>
      <c r="L8" s="164"/>
      <c r="M8" s="164"/>
    </row>
    <row r="9" spans="1:13" ht="16.5" x14ac:dyDescent="0.3">
      <c r="A9" s="54" t="s">
        <v>43</v>
      </c>
      <c r="B9" s="58" t="s">
        <v>1</v>
      </c>
      <c r="C9" s="6">
        <v>325</v>
      </c>
      <c r="D9" s="2" t="s">
        <v>130</v>
      </c>
      <c r="E9" s="2" t="s">
        <v>223</v>
      </c>
      <c r="F9" s="3"/>
      <c r="H9" s="156" t="s">
        <v>43</v>
      </c>
      <c r="I9" s="157" t="s">
        <v>1</v>
      </c>
      <c r="J9" s="118">
        <v>325</v>
      </c>
      <c r="K9" s="158" t="s">
        <v>130</v>
      </c>
      <c r="L9" s="158" t="s">
        <v>223</v>
      </c>
      <c r="M9" s="164"/>
    </row>
    <row r="10" spans="1:13" x14ac:dyDescent="0.25">
      <c r="A10" s="54" t="s">
        <v>39</v>
      </c>
      <c r="B10" s="58" t="s">
        <v>1</v>
      </c>
      <c r="C10" s="58">
        <v>0.76880000000000004</v>
      </c>
      <c r="D10" s="2" t="s">
        <v>13</v>
      </c>
      <c r="E10" s="3"/>
      <c r="F10" s="3"/>
      <c r="H10" s="156" t="s">
        <v>39</v>
      </c>
      <c r="I10" s="157" t="s">
        <v>1</v>
      </c>
      <c r="J10" s="80">
        <v>0.76880000000000004</v>
      </c>
      <c r="K10" s="158" t="s">
        <v>13</v>
      </c>
      <c r="L10" s="164"/>
      <c r="M10" s="164"/>
    </row>
    <row r="11" spans="1:13" s="176" customFormat="1" ht="14.25" x14ac:dyDescent="0.2">
      <c r="A11" s="7" t="s">
        <v>21</v>
      </c>
      <c r="B11" s="8"/>
      <c r="C11" s="9"/>
      <c r="D11" s="7"/>
      <c r="E11" s="10"/>
      <c r="F11" s="10"/>
      <c r="H11" s="281" t="s">
        <v>21</v>
      </c>
      <c r="I11" s="170"/>
      <c r="J11" s="282"/>
      <c r="K11" s="281"/>
      <c r="L11" s="177"/>
      <c r="M11" s="177"/>
    </row>
    <row r="12" spans="1:13" ht="18.75" x14ac:dyDescent="0.3">
      <c r="A12" s="54" t="s">
        <v>48</v>
      </c>
      <c r="B12" s="58" t="s">
        <v>1</v>
      </c>
      <c r="C12" s="11" t="s">
        <v>227</v>
      </c>
      <c r="D12" s="2" t="s">
        <v>13</v>
      </c>
      <c r="E12" s="3"/>
      <c r="F12" s="3"/>
      <c r="H12" s="156" t="s">
        <v>48</v>
      </c>
      <c r="I12" s="157" t="s">
        <v>1</v>
      </c>
      <c r="J12" s="287">
        <f>(J9+459.67)^0.3333/J10</f>
        <v>11.9946013568374</v>
      </c>
      <c r="K12" s="158" t="s">
        <v>13</v>
      </c>
      <c r="L12" s="164"/>
      <c r="M12" s="164"/>
    </row>
    <row r="13" spans="1:13" x14ac:dyDescent="0.25">
      <c r="A13" s="91" t="s">
        <v>40</v>
      </c>
      <c r="B13" s="27" t="s">
        <v>1</v>
      </c>
      <c r="C13" s="30" t="s">
        <v>228</v>
      </c>
      <c r="D13" s="15" t="s">
        <v>13</v>
      </c>
      <c r="E13" s="15"/>
      <c r="F13" s="15"/>
      <c r="H13" s="234" t="s">
        <v>40</v>
      </c>
      <c r="I13" s="226" t="s">
        <v>1</v>
      </c>
      <c r="J13" s="236">
        <f>4.717+(0.00292*(J9+459.67))</f>
        <v>7.0082363999999995</v>
      </c>
      <c r="K13" s="180" t="s">
        <v>13</v>
      </c>
      <c r="L13" s="180"/>
      <c r="M13" s="180"/>
    </row>
    <row r="14" spans="1:13" ht="18" x14ac:dyDescent="0.25">
      <c r="A14" s="54" t="s">
        <v>226</v>
      </c>
      <c r="B14" s="58" t="s">
        <v>1</v>
      </c>
      <c r="C14" s="43" t="s">
        <v>229</v>
      </c>
      <c r="D14" s="2" t="s">
        <v>47</v>
      </c>
      <c r="E14" s="3"/>
      <c r="F14" s="3"/>
      <c r="H14" s="156" t="s">
        <v>41</v>
      </c>
      <c r="I14" s="157" t="s">
        <v>1</v>
      </c>
      <c r="J14" s="277">
        <f>2.7182818^J13</f>
        <v>1105.7026858358342</v>
      </c>
      <c r="K14" s="158" t="s">
        <v>47</v>
      </c>
      <c r="L14" s="164"/>
      <c r="M14" s="164"/>
    </row>
    <row r="15" spans="1:13" ht="18" x14ac:dyDescent="0.25">
      <c r="A15" s="128" t="s">
        <v>42</v>
      </c>
      <c r="B15" s="58" t="s">
        <v>1</v>
      </c>
      <c r="C15" s="51" t="s">
        <v>230</v>
      </c>
      <c r="D15" s="2" t="s">
        <v>13</v>
      </c>
      <c r="E15" s="3"/>
      <c r="F15" s="3"/>
      <c r="H15" s="288" t="s">
        <v>42</v>
      </c>
      <c r="I15" s="157" t="s">
        <v>1</v>
      </c>
      <c r="J15" s="289">
        <f>((101.78*(J9+459.67)^-0.175)-29.263)*J12/J14</f>
        <v>2.6462532563864605E-2</v>
      </c>
      <c r="K15" s="158" t="s">
        <v>13</v>
      </c>
      <c r="L15" s="164"/>
      <c r="M15" s="164"/>
    </row>
    <row r="16" spans="1:13" ht="18" x14ac:dyDescent="0.25">
      <c r="A16" s="129" t="s">
        <v>224</v>
      </c>
      <c r="B16" s="16" t="s">
        <v>1</v>
      </c>
      <c r="C16" s="17" t="s">
        <v>231</v>
      </c>
      <c r="D16" s="18" t="s">
        <v>46</v>
      </c>
      <c r="E16" s="49"/>
      <c r="F16" s="52"/>
      <c r="H16" s="290" t="s">
        <v>224</v>
      </c>
      <c r="I16" s="218" t="s">
        <v>1</v>
      </c>
      <c r="J16" s="231">
        <f>J15*2.7182818285^((1.8*J14/(J7+459.67)))</f>
        <v>0.92692234966978582</v>
      </c>
      <c r="K16" s="232" t="s">
        <v>46</v>
      </c>
      <c r="L16" s="283"/>
      <c r="M16" s="291"/>
    </row>
    <row r="17" spans="1:13" ht="18" x14ac:dyDescent="0.25">
      <c r="A17" s="129" t="s">
        <v>225</v>
      </c>
      <c r="B17" s="58" t="s">
        <v>1</v>
      </c>
      <c r="C17" s="17" t="s">
        <v>232</v>
      </c>
      <c r="D17" s="2" t="s">
        <v>46</v>
      </c>
      <c r="E17" s="3"/>
      <c r="F17" s="3"/>
      <c r="H17" s="290" t="s">
        <v>225</v>
      </c>
      <c r="I17" s="157" t="s">
        <v>1</v>
      </c>
      <c r="J17" s="231">
        <f>J15*2.7182818285^((1.8*J14/(J8+459.67)))</f>
        <v>0.51684251822575478</v>
      </c>
      <c r="K17" s="158" t="s">
        <v>46</v>
      </c>
      <c r="L17" s="164"/>
      <c r="M17" s="164"/>
    </row>
    <row r="18" spans="1:13" ht="15.75" x14ac:dyDescent="0.25">
      <c r="A18" s="129"/>
      <c r="B18" s="58"/>
      <c r="C18" s="17"/>
      <c r="D18" s="2"/>
      <c r="E18" s="3"/>
      <c r="F18" s="3"/>
      <c r="H18" s="290"/>
      <c r="I18" s="157"/>
      <c r="J18" s="231"/>
      <c r="K18" s="158"/>
      <c r="L18" s="164"/>
      <c r="M18" s="164"/>
    </row>
    <row r="21" spans="1:13" x14ac:dyDescent="0.25">
      <c r="A21" s="165" t="s">
        <v>126</v>
      </c>
    </row>
    <row r="22" spans="1:13" x14ac:dyDescent="0.25">
      <c r="A22" s="165" t="s">
        <v>269</v>
      </c>
    </row>
    <row r="23" spans="1:13" x14ac:dyDescent="0.25">
      <c r="A23" s="165" t="s">
        <v>270</v>
      </c>
    </row>
    <row r="24" spans="1:13" x14ac:dyDescent="0.25">
      <c r="A24" s="165" t="s">
        <v>271</v>
      </c>
    </row>
    <row r="25" spans="1:13" x14ac:dyDescent="0.25">
      <c r="A25" s="166" t="s">
        <v>272</v>
      </c>
    </row>
  </sheetData>
  <sheetProtection password="E156" sheet="1" objects="1" scenarios="1"/>
  <mergeCells count="2">
    <mergeCell ref="A5:F5"/>
    <mergeCell ref="H5:M5"/>
  </mergeCells>
  <printOptions horizontalCentered="1"/>
  <pageMargins left="0.75" right="0.75" top="1" bottom="1" header="0.5" footer="0.5"/>
  <pageSetup paperSize="199" scale="76" orientation="landscape" r:id="rId1"/>
  <headerFooter alignWithMargins="0">
    <oddHeader>&amp;CCALCULATION SPREADSHEET FOR GPSA ENGINEERING DATA BOOK, 13&amp;Xth&amp;X ED.
EXAMPLE 23-10</oddHeader>
  </headerFooter>
  <ignoredErrors>
    <ignoredError sqref="J12 J13:J14 J15 J16:J17"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L25"/>
  <sheetViews>
    <sheetView zoomScaleNormal="100" workbookViewId="0">
      <selection activeCell="J31" sqref="J31"/>
    </sheetView>
  </sheetViews>
  <sheetFormatPr defaultRowHeight="15" x14ac:dyDescent="0.25"/>
  <cols>
    <col min="1" max="1" width="21.42578125" style="152" customWidth="1"/>
    <col min="2" max="2" width="4.28515625" style="151" customWidth="1"/>
    <col min="3" max="3" width="20.7109375" style="151" bestFit="1" customWidth="1"/>
    <col min="4" max="4" width="21.140625" style="152" bestFit="1" customWidth="1"/>
    <col min="5" max="5" width="3.5703125" style="152" customWidth="1"/>
    <col min="6" max="6" width="15" style="152" bestFit="1" customWidth="1"/>
    <col min="7" max="7" width="9.140625" style="152"/>
    <col min="8" max="8" width="22.140625" style="152" customWidth="1"/>
    <col min="9" max="9" width="9.140625" style="151"/>
    <col min="10" max="10" width="12.7109375" style="151" customWidth="1"/>
    <col min="11" max="11" width="21.140625" style="152" bestFit="1" customWidth="1"/>
    <col min="12" max="12" width="15" style="152" bestFit="1" customWidth="1"/>
    <col min="13" max="16384" width="9.140625" style="152"/>
  </cols>
  <sheetData>
    <row r="1" spans="1:12" x14ac:dyDescent="0.25">
      <c r="A1" s="150" t="s">
        <v>264</v>
      </c>
    </row>
    <row r="5" spans="1:12" ht="18.75" customHeight="1" x14ac:dyDescent="0.25">
      <c r="A5" s="312" t="s">
        <v>256</v>
      </c>
      <c r="B5" s="312"/>
      <c r="C5" s="312"/>
      <c r="D5" s="312"/>
      <c r="E5" s="312"/>
      <c r="F5" s="312"/>
      <c r="H5" s="314" t="s">
        <v>256</v>
      </c>
      <c r="I5" s="314"/>
      <c r="J5" s="314"/>
      <c r="K5" s="314"/>
      <c r="L5" s="314"/>
    </row>
    <row r="6" spans="1:12" x14ac:dyDescent="0.25">
      <c r="A6" s="8" t="s">
        <v>2</v>
      </c>
      <c r="B6" s="58"/>
      <c r="C6" s="58"/>
      <c r="D6" s="2"/>
      <c r="E6" s="3"/>
      <c r="F6" s="3"/>
      <c r="H6" s="170" t="s">
        <v>2</v>
      </c>
      <c r="I6" s="157"/>
      <c r="J6" s="157"/>
      <c r="K6" s="158"/>
      <c r="L6" s="164"/>
    </row>
    <row r="7" spans="1:12" x14ac:dyDescent="0.25">
      <c r="A7" s="54" t="s">
        <v>17</v>
      </c>
      <c r="B7" s="58" t="s">
        <v>1</v>
      </c>
      <c r="C7" s="58">
        <v>700</v>
      </c>
      <c r="D7" s="2" t="s">
        <v>0</v>
      </c>
      <c r="E7" s="3"/>
      <c r="F7" s="3"/>
      <c r="H7" s="156" t="s">
        <v>17</v>
      </c>
      <c r="I7" s="157" t="s">
        <v>1</v>
      </c>
      <c r="J7" s="80">
        <v>700</v>
      </c>
      <c r="K7" s="158" t="s">
        <v>0</v>
      </c>
      <c r="L7" s="164"/>
    </row>
    <row r="8" spans="1:12" x14ac:dyDescent="0.25">
      <c r="A8" s="54" t="s">
        <v>18</v>
      </c>
      <c r="B8" s="58" t="s">
        <v>7</v>
      </c>
      <c r="C8" s="58">
        <v>300</v>
      </c>
      <c r="D8" s="2" t="s">
        <v>130</v>
      </c>
      <c r="E8" s="3"/>
      <c r="F8" s="3"/>
      <c r="H8" s="156" t="s">
        <v>18</v>
      </c>
      <c r="I8" s="157" t="s">
        <v>7</v>
      </c>
      <c r="J8" s="80">
        <v>300</v>
      </c>
      <c r="K8" s="158" t="s">
        <v>130</v>
      </c>
      <c r="L8" s="164"/>
    </row>
    <row r="9" spans="1:12" ht="16.5" x14ac:dyDescent="0.3">
      <c r="A9" s="54" t="s">
        <v>22</v>
      </c>
      <c r="B9" s="58" t="s">
        <v>1</v>
      </c>
      <c r="C9" s="58">
        <v>440</v>
      </c>
      <c r="D9" s="2" t="s">
        <v>158</v>
      </c>
      <c r="E9" s="3"/>
      <c r="F9" s="3"/>
      <c r="H9" s="156" t="s">
        <v>22</v>
      </c>
      <c r="I9" s="157" t="s">
        <v>1</v>
      </c>
      <c r="J9" s="80">
        <v>440</v>
      </c>
      <c r="K9" s="158" t="s">
        <v>158</v>
      </c>
      <c r="L9" s="164"/>
    </row>
    <row r="10" spans="1:12" ht="16.5" x14ac:dyDescent="0.3">
      <c r="A10" s="54" t="s">
        <v>23</v>
      </c>
      <c r="B10" s="58" t="s">
        <v>1</v>
      </c>
      <c r="C10" s="58">
        <v>660</v>
      </c>
      <c r="D10" s="2" t="s">
        <v>0</v>
      </c>
      <c r="E10" s="3"/>
      <c r="F10" s="3"/>
      <c r="H10" s="156" t="s">
        <v>23</v>
      </c>
      <c r="I10" s="157" t="s">
        <v>1</v>
      </c>
      <c r="J10" s="80">
        <v>660</v>
      </c>
      <c r="K10" s="158" t="s">
        <v>0</v>
      </c>
      <c r="L10" s="164"/>
    </row>
    <row r="11" spans="1:12" s="176" customFormat="1" ht="14.25" x14ac:dyDescent="0.2">
      <c r="A11" s="7" t="s">
        <v>21</v>
      </c>
      <c r="B11" s="8"/>
      <c r="C11" s="9"/>
      <c r="D11" s="7"/>
      <c r="E11" s="10"/>
      <c r="F11" s="10"/>
      <c r="H11" s="281" t="s">
        <v>21</v>
      </c>
      <c r="I11" s="170"/>
      <c r="J11" s="282"/>
      <c r="K11" s="281"/>
      <c r="L11" s="177"/>
    </row>
    <row r="12" spans="1:12" ht="16.5" x14ac:dyDescent="0.3">
      <c r="A12" s="54" t="s">
        <v>49</v>
      </c>
      <c r="B12" s="58" t="s">
        <v>1</v>
      </c>
      <c r="C12" s="46">
        <v>2.4799999999999999E-2</v>
      </c>
      <c r="D12" s="2" t="s">
        <v>257</v>
      </c>
      <c r="E12" s="3"/>
      <c r="F12" s="2" t="s">
        <v>258</v>
      </c>
      <c r="H12" s="156" t="s">
        <v>49</v>
      </c>
      <c r="I12" s="157" t="s">
        <v>1</v>
      </c>
      <c r="J12" s="119">
        <v>2.4799999999999999E-2</v>
      </c>
      <c r="K12" s="158" t="s">
        <v>257</v>
      </c>
      <c r="L12" s="158" t="s">
        <v>258</v>
      </c>
    </row>
    <row r="13" spans="1:12" ht="16.5" x14ac:dyDescent="0.3">
      <c r="A13" s="91" t="s">
        <v>51</v>
      </c>
      <c r="B13" s="27" t="s">
        <v>1</v>
      </c>
      <c r="C13" s="30" t="s">
        <v>233</v>
      </c>
      <c r="D13" s="15" t="s">
        <v>13</v>
      </c>
      <c r="E13" s="15"/>
      <c r="F13" s="15"/>
      <c r="H13" s="234" t="s">
        <v>51</v>
      </c>
      <c r="I13" s="226" t="s">
        <v>1</v>
      </c>
      <c r="J13" s="236">
        <f>(J8+459.67)/J9</f>
        <v>1.7265227272727275</v>
      </c>
      <c r="K13" s="180" t="s">
        <v>13</v>
      </c>
      <c r="L13" s="180"/>
    </row>
    <row r="14" spans="1:12" ht="16.5" x14ac:dyDescent="0.3">
      <c r="A14" s="54" t="s">
        <v>52</v>
      </c>
      <c r="B14" s="58" t="s">
        <v>1</v>
      </c>
      <c r="C14" s="11" t="s">
        <v>234</v>
      </c>
      <c r="D14" s="2" t="s">
        <v>13</v>
      </c>
      <c r="E14" s="3"/>
      <c r="F14" s="3"/>
      <c r="H14" s="156" t="s">
        <v>52</v>
      </c>
      <c r="I14" s="157" t="s">
        <v>1</v>
      </c>
      <c r="J14" s="287">
        <f>J7/J10</f>
        <v>1.0606060606060606</v>
      </c>
      <c r="K14" s="158" t="s">
        <v>13</v>
      </c>
      <c r="L14" s="164"/>
    </row>
    <row r="15" spans="1:12" ht="18.75" x14ac:dyDescent="0.35">
      <c r="A15" s="128" t="s">
        <v>53</v>
      </c>
      <c r="B15" s="58" t="s">
        <v>1</v>
      </c>
      <c r="C15" s="11">
        <v>1.1499999999999999</v>
      </c>
      <c r="D15" s="2" t="s">
        <v>13</v>
      </c>
      <c r="E15" s="3"/>
      <c r="F15" s="2" t="s">
        <v>259</v>
      </c>
      <c r="H15" s="288" t="s">
        <v>53</v>
      </c>
      <c r="I15" s="157" t="s">
        <v>1</v>
      </c>
      <c r="J15" s="130">
        <v>1.1499999999999999</v>
      </c>
      <c r="K15" s="158" t="s">
        <v>13</v>
      </c>
      <c r="L15" s="158" t="s">
        <v>259</v>
      </c>
    </row>
    <row r="16" spans="1:12" ht="15.75" x14ac:dyDescent="0.25">
      <c r="A16" s="129" t="s">
        <v>54</v>
      </c>
      <c r="B16" s="58" t="s">
        <v>1</v>
      </c>
      <c r="C16" s="53" t="s">
        <v>235</v>
      </c>
      <c r="D16" s="2" t="s">
        <v>257</v>
      </c>
      <c r="E16" s="3"/>
      <c r="F16" s="3"/>
      <c r="H16" s="290" t="s">
        <v>54</v>
      </c>
      <c r="I16" s="157" t="s">
        <v>1</v>
      </c>
      <c r="J16" s="292">
        <f>J15*J12</f>
        <v>2.8519999999999997E-2</v>
      </c>
      <c r="K16" s="158" t="s">
        <v>257</v>
      </c>
      <c r="L16" s="164"/>
    </row>
    <row r="17" spans="1:12" ht="15.75" x14ac:dyDescent="0.25">
      <c r="A17" s="129"/>
      <c r="B17" s="58"/>
      <c r="C17" s="53"/>
      <c r="D17" s="2"/>
      <c r="E17" s="3"/>
      <c r="F17" s="3"/>
      <c r="H17" s="290"/>
      <c r="I17" s="157"/>
      <c r="J17" s="292"/>
      <c r="K17" s="158"/>
      <c r="L17" s="164"/>
    </row>
    <row r="18" spans="1:12" ht="15.75" x14ac:dyDescent="0.25">
      <c r="A18" s="129"/>
      <c r="B18" s="58"/>
      <c r="C18" s="53"/>
      <c r="D18" s="2"/>
      <c r="E18" s="3"/>
      <c r="F18" s="3"/>
      <c r="H18" s="290"/>
      <c r="I18" s="157"/>
      <c r="J18" s="292"/>
      <c r="K18" s="158"/>
      <c r="L18" s="164"/>
    </row>
    <row r="21" spans="1:12" x14ac:dyDescent="0.25">
      <c r="A21" s="165" t="s">
        <v>126</v>
      </c>
    </row>
    <row r="22" spans="1:12" x14ac:dyDescent="0.25">
      <c r="A22" s="165" t="s">
        <v>269</v>
      </c>
    </row>
    <row r="23" spans="1:12" x14ac:dyDescent="0.25">
      <c r="A23" s="165" t="s">
        <v>270</v>
      </c>
    </row>
    <row r="24" spans="1:12" x14ac:dyDescent="0.25">
      <c r="A24" s="165" t="s">
        <v>271</v>
      </c>
    </row>
    <row r="25" spans="1:12" x14ac:dyDescent="0.25">
      <c r="A25" s="166" t="s">
        <v>272</v>
      </c>
    </row>
  </sheetData>
  <sheetProtection password="E156" sheet="1" objects="1" scenarios="1"/>
  <mergeCells count="2">
    <mergeCell ref="A5:F5"/>
    <mergeCell ref="H5:L5"/>
  </mergeCells>
  <printOptions horizontalCentered="1"/>
  <pageMargins left="0.75" right="0.75" top="1" bottom="1" header="0.5" footer="0.5"/>
  <pageSetup paperSize="199" scale="76" orientation="landscape" r:id="rId1"/>
  <headerFooter alignWithMargins="0">
    <oddHeader>&amp;CCALCULATION SPREADSHEET FOR GPSA ENGINEERING DATA BOOK, 13&amp;Xth&amp;X ED.
EXAMPLE 23-11</oddHeader>
  </headerFooter>
  <ignoredErrors>
    <ignoredError sqref="J13 J14 J15 J16"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O23"/>
  <sheetViews>
    <sheetView zoomScaleNormal="100" workbookViewId="0">
      <selection activeCell="I32" sqref="I32"/>
    </sheetView>
  </sheetViews>
  <sheetFormatPr defaultRowHeight="15" x14ac:dyDescent="0.25"/>
  <cols>
    <col min="1" max="1" width="14.28515625" style="152" customWidth="1"/>
    <col min="2" max="2" width="7.85546875" style="151" bestFit="1" customWidth="1"/>
    <col min="3" max="3" width="22.5703125" style="151" customWidth="1"/>
    <col min="4" max="4" width="11" style="152" customWidth="1"/>
    <col min="5" max="5" width="10.7109375" style="152" customWidth="1"/>
    <col min="6" max="6" width="9.7109375" style="152" customWidth="1"/>
    <col min="7" max="7" width="16" style="152" customWidth="1"/>
    <col min="8" max="8" width="9.140625" style="152"/>
    <col min="9" max="9" width="21.28515625" style="152" customWidth="1"/>
    <col min="10" max="10" width="9.140625" style="151"/>
    <col min="11" max="11" width="20" style="151" customWidth="1"/>
    <col min="12" max="12" width="10.7109375" style="152" bestFit="1" customWidth="1"/>
    <col min="13" max="13" width="9.140625" style="152"/>
    <col min="14" max="14" width="13.140625" style="152" customWidth="1"/>
    <col min="15" max="15" width="17.85546875" style="152" customWidth="1"/>
    <col min="16" max="16384" width="9.140625" style="152"/>
  </cols>
  <sheetData>
    <row r="1" spans="1:15" x14ac:dyDescent="0.25">
      <c r="A1" s="150" t="s">
        <v>264</v>
      </c>
    </row>
    <row r="5" spans="1:15" ht="46.5" customHeight="1" x14ac:dyDescent="0.25">
      <c r="A5" s="295" t="s">
        <v>260</v>
      </c>
      <c r="B5" s="296"/>
      <c r="C5" s="296"/>
      <c r="D5" s="296"/>
      <c r="E5" s="296"/>
      <c r="F5" s="296"/>
      <c r="G5" s="296"/>
      <c r="I5" s="297" t="s">
        <v>263</v>
      </c>
      <c r="J5" s="322"/>
      <c r="K5" s="322"/>
      <c r="L5" s="322"/>
      <c r="M5" s="322"/>
      <c r="N5" s="322"/>
      <c r="O5" s="322"/>
    </row>
    <row r="6" spans="1:15" ht="21" customHeight="1" x14ac:dyDescent="0.25">
      <c r="A6" s="8" t="s">
        <v>2</v>
      </c>
      <c r="B6" s="140"/>
      <c r="C6" s="140"/>
      <c r="D6" s="140"/>
      <c r="E6" s="140"/>
      <c r="F6" s="140"/>
      <c r="G6" s="140"/>
      <c r="I6" s="170" t="s">
        <v>2</v>
      </c>
      <c r="J6" s="161"/>
      <c r="K6" s="161"/>
      <c r="L6" s="161"/>
      <c r="M6" s="161"/>
      <c r="N6" s="161"/>
      <c r="O6" s="161"/>
    </row>
    <row r="7" spans="1:15" ht="30" x14ac:dyDescent="0.25">
      <c r="A7" s="13" t="s">
        <v>63</v>
      </c>
      <c r="B7" s="21" t="s">
        <v>98</v>
      </c>
      <c r="C7" s="21" t="s">
        <v>262</v>
      </c>
      <c r="D7" s="21" t="s">
        <v>19</v>
      </c>
      <c r="E7" s="16" t="s">
        <v>101</v>
      </c>
      <c r="F7" s="16" t="s">
        <v>102</v>
      </c>
      <c r="G7" s="16" t="s">
        <v>103</v>
      </c>
      <c r="I7" s="242" t="s">
        <v>63</v>
      </c>
      <c r="J7" s="217" t="s">
        <v>98</v>
      </c>
      <c r="K7" s="217" t="s">
        <v>262</v>
      </c>
      <c r="L7" s="217" t="s">
        <v>99</v>
      </c>
      <c r="M7" s="218" t="s">
        <v>127</v>
      </c>
      <c r="N7" s="218" t="s">
        <v>128</v>
      </c>
      <c r="O7" s="218" t="s">
        <v>103</v>
      </c>
    </row>
    <row r="8" spans="1:15" x14ac:dyDescent="0.25">
      <c r="A8" s="58" t="s">
        <v>100</v>
      </c>
      <c r="B8" s="138">
        <v>0.1</v>
      </c>
      <c r="C8" s="58">
        <v>1.2699999999999999E-2</v>
      </c>
      <c r="D8" s="58">
        <v>44.01</v>
      </c>
      <c r="E8" s="4">
        <f>D8^0.3333</f>
        <v>3.530170416392274</v>
      </c>
      <c r="F8" s="24">
        <f>B8*E8</f>
        <v>0.35301704163922742</v>
      </c>
      <c r="G8" s="22">
        <f>F8*C8</f>
        <v>4.4833164288181878E-3</v>
      </c>
      <c r="I8" s="158" t="s">
        <v>100</v>
      </c>
      <c r="J8" s="109">
        <v>0.1</v>
      </c>
      <c r="K8" s="80">
        <v>1.2699999999999999E-2</v>
      </c>
      <c r="L8" s="157">
        <v>44.01</v>
      </c>
      <c r="M8" s="163">
        <f>L8^0.3333</f>
        <v>3.530170416392274</v>
      </c>
      <c r="N8" s="221">
        <f>J8*M8</f>
        <v>0.35301704163922742</v>
      </c>
      <c r="O8" s="229">
        <f>N8*K8</f>
        <v>4.4833164288181878E-3</v>
      </c>
    </row>
    <row r="9" spans="1:15" x14ac:dyDescent="0.25">
      <c r="A9" s="58" t="s">
        <v>104</v>
      </c>
      <c r="B9" s="138">
        <v>0.2</v>
      </c>
      <c r="C9" s="58">
        <v>1.3599999999999999E-2</v>
      </c>
      <c r="D9" s="58">
        <v>34.076000000000001</v>
      </c>
      <c r="E9" s="4">
        <f t="shared" ref="E9:E12" si="0">D9^0.3333</f>
        <v>3.2416425296728089</v>
      </c>
      <c r="F9" s="24">
        <f t="shared" ref="F9:F12" si="1">B9*E9</f>
        <v>0.64832850593456182</v>
      </c>
      <c r="G9" s="22">
        <f t="shared" ref="G9:G12" si="2">F9*C9</f>
        <v>8.8172676807100406E-3</v>
      </c>
      <c r="I9" s="158" t="s">
        <v>104</v>
      </c>
      <c r="J9" s="109">
        <v>0.2</v>
      </c>
      <c r="K9" s="80">
        <v>1.3599999999999999E-2</v>
      </c>
      <c r="L9" s="157">
        <v>34.076000000000001</v>
      </c>
      <c r="M9" s="163">
        <f t="shared" ref="M9:M12" si="3">L9^0.3333</f>
        <v>3.2416425296728089</v>
      </c>
      <c r="N9" s="221">
        <f t="shared" ref="N9:N12" si="4">J9*M9</f>
        <v>0.64832850593456182</v>
      </c>
      <c r="O9" s="229">
        <f t="shared" ref="O9:O12" si="5">N9*K9</f>
        <v>8.8172676807100406E-3</v>
      </c>
    </row>
    <row r="10" spans="1:15" x14ac:dyDescent="0.25">
      <c r="A10" s="58" t="s">
        <v>105</v>
      </c>
      <c r="B10" s="138">
        <v>0.05</v>
      </c>
      <c r="C10" s="46">
        <v>1.7500000000000002E-2</v>
      </c>
      <c r="D10" s="58">
        <v>28.013000000000002</v>
      </c>
      <c r="E10" s="4">
        <f t="shared" si="0"/>
        <v>3.0367214824991988</v>
      </c>
      <c r="F10" s="24">
        <f t="shared" si="1"/>
        <v>0.15183607412495995</v>
      </c>
      <c r="G10" s="22">
        <f t="shared" si="2"/>
        <v>2.6571312971867991E-3</v>
      </c>
      <c r="I10" s="158" t="s">
        <v>105</v>
      </c>
      <c r="J10" s="109">
        <v>0.05</v>
      </c>
      <c r="K10" s="119">
        <v>1.7500000000000002E-2</v>
      </c>
      <c r="L10" s="157">
        <v>28.013000000000002</v>
      </c>
      <c r="M10" s="163">
        <f t="shared" si="3"/>
        <v>3.0367214824991988</v>
      </c>
      <c r="N10" s="221">
        <f t="shared" si="4"/>
        <v>0.15183607412495995</v>
      </c>
      <c r="O10" s="229">
        <f t="shared" si="5"/>
        <v>2.6571312971867991E-3</v>
      </c>
    </row>
    <row r="11" spans="1:15" x14ac:dyDescent="0.25">
      <c r="A11" s="58" t="s">
        <v>106</v>
      </c>
      <c r="B11" s="138">
        <v>0.6</v>
      </c>
      <c r="C11" s="58">
        <v>2.58E-2</v>
      </c>
      <c r="D11" s="58">
        <v>16.042999999999999</v>
      </c>
      <c r="E11" s="4">
        <f t="shared" si="0"/>
        <v>2.5218641329939224</v>
      </c>
      <c r="F11" s="24">
        <f t="shared" si="1"/>
        <v>1.5131184797963535</v>
      </c>
      <c r="G11" s="22">
        <f t="shared" si="2"/>
        <v>3.9038456778745921E-2</v>
      </c>
      <c r="I11" s="158" t="s">
        <v>106</v>
      </c>
      <c r="J11" s="109">
        <v>0.6</v>
      </c>
      <c r="K11" s="80">
        <v>2.58E-2</v>
      </c>
      <c r="L11" s="157">
        <v>16.042999999999999</v>
      </c>
      <c r="M11" s="163">
        <f t="shared" si="3"/>
        <v>2.5218641329939224</v>
      </c>
      <c r="N11" s="221">
        <f t="shared" si="4"/>
        <v>1.5131184797963535</v>
      </c>
      <c r="O11" s="229">
        <f t="shared" si="5"/>
        <v>3.9038456778745921E-2</v>
      </c>
    </row>
    <row r="12" spans="1:15" ht="15.75" thickBot="1" x14ac:dyDescent="0.3">
      <c r="A12" s="58" t="s">
        <v>107</v>
      </c>
      <c r="B12" s="125">
        <v>0.05</v>
      </c>
      <c r="C12" s="58">
        <v>1.7600000000000001E-2</v>
      </c>
      <c r="D12" s="58">
        <v>30.07</v>
      </c>
      <c r="E12" s="4">
        <f t="shared" si="0"/>
        <v>3.1092945927123203</v>
      </c>
      <c r="F12" s="127">
        <f t="shared" si="1"/>
        <v>0.15546472963561603</v>
      </c>
      <c r="G12" s="131">
        <f t="shared" si="2"/>
        <v>2.7361792415868422E-3</v>
      </c>
      <c r="I12" s="158" t="s">
        <v>107</v>
      </c>
      <c r="J12" s="132">
        <v>0.05</v>
      </c>
      <c r="K12" s="80">
        <v>1.7600000000000001E-2</v>
      </c>
      <c r="L12" s="157">
        <v>30.07</v>
      </c>
      <c r="M12" s="163">
        <f t="shared" si="3"/>
        <v>3.1092945927123203</v>
      </c>
      <c r="N12" s="280">
        <f t="shared" si="4"/>
        <v>0.15546472963561603</v>
      </c>
      <c r="O12" s="293">
        <f t="shared" si="5"/>
        <v>2.7361792415868422E-3</v>
      </c>
    </row>
    <row r="13" spans="1:15" ht="15.75" thickTop="1" x14ac:dyDescent="0.25">
      <c r="A13" s="58" t="s">
        <v>79</v>
      </c>
      <c r="B13" s="138">
        <f>SUM(B8:B12)</f>
        <v>1</v>
      </c>
      <c r="C13" s="6"/>
      <c r="D13" s="2"/>
      <c r="E13" s="3"/>
      <c r="F13" s="24">
        <f>SUM(F8:F12)</f>
        <v>2.8217648311307189</v>
      </c>
      <c r="G13" s="22">
        <f>SUM(G8:G12)</f>
        <v>5.7732351427047787E-2</v>
      </c>
      <c r="I13" s="158" t="s">
        <v>79</v>
      </c>
      <c r="J13" s="178">
        <f>SUM(J8:J12)</f>
        <v>1</v>
      </c>
      <c r="K13" s="272"/>
      <c r="L13" s="158"/>
      <c r="M13" s="164"/>
      <c r="N13" s="221">
        <f>SUM(N8:N12)</f>
        <v>2.8217648311307189</v>
      </c>
      <c r="O13" s="229">
        <f>SUM(O8:O12)</f>
        <v>5.7732351427047787E-2</v>
      </c>
    </row>
    <row r="14" spans="1:15" s="176" customFormat="1" ht="21" customHeight="1" x14ac:dyDescent="0.2">
      <c r="A14" s="8" t="s">
        <v>261</v>
      </c>
      <c r="B14" s="8"/>
      <c r="C14" s="9"/>
      <c r="D14" s="7"/>
      <c r="E14" s="10"/>
      <c r="F14" s="10"/>
      <c r="G14" s="10"/>
      <c r="I14" s="170" t="s">
        <v>261</v>
      </c>
      <c r="J14" s="170"/>
      <c r="K14" s="282"/>
      <c r="L14" s="281"/>
      <c r="M14" s="177"/>
      <c r="N14" s="177"/>
      <c r="O14" s="177"/>
    </row>
    <row r="15" spans="1:15" ht="16.5" x14ac:dyDescent="0.3">
      <c r="A15" s="55" t="s">
        <v>237</v>
      </c>
      <c r="B15" s="16" t="s">
        <v>1</v>
      </c>
      <c r="C15" s="53" t="s">
        <v>239</v>
      </c>
      <c r="D15" s="18" t="s">
        <v>50</v>
      </c>
      <c r="E15" s="49"/>
      <c r="F15" s="49"/>
      <c r="G15" s="2" t="s">
        <v>236</v>
      </c>
      <c r="I15" s="179" t="s">
        <v>238</v>
      </c>
      <c r="J15" s="218" t="s">
        <v>1</v>
      </c>
      <c r="K15" s="292">
        <f>O13/N13</f>
        <v>2.0459660844207795E-2</v>
      </c>
      <c r="L15" s="232" t="s">
        <v>50</v>
      </c>
      <c r="M15" s="283"/>
      <c r="N15" s="283"/>
      <c r="O15" s="232" t="s">
        <v>236</v>
      </c>
    </row>
    <row r="16" spans="1:15" x14ac:dyDescent="0.25">
      <c r="A16" s="55"/>
      <c r="B16" s="16"/>
      <c r="C16" s="53"/>
      <c r="D16" s="18"/>
      <c r="E16" s="49"/>
      <c r="F16" s="49"/>
      <c r="G16" s="2"/>
      <c r="I16" s="179"/>
      <c r="J16" s="218"/>
      <c r="K16" s="292"/>
      <c r="L16" s="232"/>
      <c r="M16" s="283"/>
      <c r="N16" s="283"/>
      <c r="O16" s="232"/>
    </row>
    <row r="19" spans="1:1" x14ac:dyDescent="0.25">
      <c r="A19" s="165" t="s">
        <v>126</v>
      </c>
    </row>
    <row r="20" spans="1:1" x14ac:dyDescent="0.25">
      <c r="A20" s="165" t="s">
        <v>269</v>
      </c>
    </row>
    <row r="21" spans="1:1" x14ac:dyDescent="0.25">
      <c r="A21" s="165" t="s">
        <v>270</v>
      </c>
    </row>
    <row r="22" spans="1:1" x14ac:dyDescent="0.25">
      <c r="A22" s="165" t="s">
        <v>271</v>
      </c>
    </row>
    <row r="23" spans="1:1" x14ac:dyDescent="0.25">
      <c r="A23" s="166" t="s">
        <v>272</v>
      </c>
    </row>
  </sheetData>
  <sheetProtection password="E156" sheet="1" objects="1" scenarios="1"/>
  <mergeCells count="2">
    <mergeCell ref="A5:G5"/>
    <mergeCell ref="I5:O5"/>
  </mergeCells>
  <printOptions horizontalCentered="1"/>
  <pageMargins left="0.75" right="0.75" top="1" bottom="1" header="0.5" footer="0.5"/>
  <pageSetup paperSize="199" scale="61" orientation="landscape" r:id="rId1"/>
  <headerFooter alignWithMargins="0">
    <oddHeader>&amp;CCALCULATION SPREADSHEET FOR GPSA ENGINEERING DATA BOOK, 13&amp;Xth&amp;X ED.
EXAMPLE 23-12</oddHeader>
  </headerFooter>
  <ignoredErrors>
    <ignoredError sqref="K15"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5"/>
  <sheetViews>
    <sheetView tabSelected="1" zoomScaleNormal="100" workbookViewId="0">
      <selection sqref="A1:XFD1048576"/>
    </sheetView>
  </sheetViews>
  <sheetFormatPr defaultRowHeight="15" x14ac:dyDescent="0.25"/>
  <cols>
    <col min="1" max="1" width="9.42578125" style="1" bestFit="1" customWidth="1"/>
    <col min="2" max="8" width="9.140625" style="1"/>
  </cols>
  <sheetData>
    <row r="1" spans="1:15" x14ac:dyDescent="0.25">
      <c r="A1" s="143" t="s">
        <v>264</v>
      </c>
    </row>
    <row r="5" spans="1:15" ht="14.25" x14ac:dyDescent="0.2">
      <c r="A5" s="294" t="s">
        <v>108</v>
      </c>
      <c r="B5" s="294"/>
      <c r="C5" s="294"/>
      <c r="D5" s="294"/>
      <c r="E5" s="294"/>
      <c r="F5" s="294"/>
      <c r="G5" s="294"/>
      <c r="H5" s="294"/>
      <c r="I5" s="294"/>
      <c r="J5" s="294"/>
      <c r="K5" s="294"/>
      <c r="L5" s="294"/>
      <c r="M5" s="294"/>
      <c r="N5" s="294"/>
      <c r="O5" s="294"/>
    </row>
  </sheetData>
  <sheetProtection password="E156" sheet="1" objects="1" scenarios="1" selectLockedCells="1"/>
  <mergeCells count="1">
    <mergeCell ref="A5:O5"/>
  </mergeCells>
  <pageMargins left="0.7" right="0.7" top="0.75" bottom="0.75" header="0.3" footer="0.3"/>
  <pageSetup paperSize="201" scale="60" orientation="portrait" r:id="rId1"/>
  <headerFooter>
    <oddHeader>&amp;CCALCULATION SPREADSHEET FOR GPSA ENGINEERING DATA BOOK, 13th EDITION
NOMENCLATURE</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O17"/>
  <sheetViews>
    <sheetView zoomScaleNormal="100" workbookViewId="0">
      <selection activeCell="C7" sqref="C7"/>
    </sheetView>
  </sheetViews>
  <sheetFormatPr defaultRowHeight="15" x14ac:dyDescent="0.25"/>
  <cols>
    <col min="1" max="1" width="38.42578125" style="152" customWidth="1"/>
    <col min="2" max="2" width="7.5703125" style="151" customWidth="1"/>
    <col min="3" max="3" width="35.5703125" style="151" bestFit="1" customWidth="1"/>
    <col min="4" max="5" width="10.5703125" style="152" customWidth="1"/>
    <col min="6" max="6" width="9.140625" style="152"/>
    <col min="7" max="7" width="16" style="152" customWidth="1"/>
    <col min="8" max="8" width="9.140625" style="152"/>
    <col min="9" max="9" width="21.42578125" style="152" customWidth="1"/>
    <col min="10" max="10" width="5.5703125" style="151" customWidth="1"/>
    <col min="11" max="11" width="7.140625" style="151" customWidth="1"/>
    <col min="12" max="12" width="10.7109375" style="152" bestFit="1" customWidth="1"/>
    <col min="13" max="14" width="9.140625" style="152"/>
    <col min="15" max="15" width="39" style="152" customWidth="1"/>
    <col min="16" max="16384" width="9.140625" style="152"/>
  </cols>
  <sheetData>
    <row r="1" spans="1:15" x14ac:dyDescent="0.25">
      <c r="A1" s="150" t="s">
        <v>264</v>
      </c>
    </row>
    <row r="5" spans="1:15" s="153" customFormat="1" ht="36.75" customHeight="1" x14ac:dyDescent="0.2">
      <c r="A5" s="295" t="s">
        <v>240</v>
      </c>
      <c r="B5" s="296"/>
      <c r="C5" s="296"/>
      <c r="D5" s="296"/>
      <c r="E5" s="296"/>
      <c r="F5" s="296"/>
      <c r="G5" s="296"/>
      <c r="I5" s="297" t="s">
        <v>240</v>
      </c>
      <c r="J5" s="298"/>
      <c r="K5" s="298"/>
      <c r="L5" s="298"/>
      <c r="M5" s="298"/>
      <c r="N5" s="298"/>
      <c r="O5" s="298"/>
    </row>
    <row r="6" spans="1:15" s="153" customFormat="1" x14ac:dyDescent="0.25">
      <c r="A6" s="54" t="s">
        <v>18</v>
      </c>
      <c r="B6" s="58" t="s">
        <v>1</v>
      </c>
      <c r="C6" s="58">
        <v>200</v>
      </c>
      <c r="D6" s="2" t="s">
        <v>130</v>
      </c>
      <c r="E6" s="54"/>
      <c r="F6" s="54"/>
      <c r="G6" s="54"/>
      <c r="I6" s="156" t="s">
        <v>18</v>
      </c>
      <c r="J6" s="157" t="s">
        <v>1</v>
      </c>
      <c r="K6" s="80">
        <v>400</v>
      </c>
      <c r="L6" s="158" t="s">
        <v>130</v>
      </c>
      <c r="M6" s="156"/>
      <c r="N6" s="156"/>
      <c r="O6" s="159"/>
    </row>
    <row r="7" spans="1:15" s="153" customFormat="1" x14ac:dyDescent="0.25">
      <c r="A7" s="54" t="s">
        <v>17</v>
      </c>
      <c r="B7" s="58" t="s">
        <v>7</v>
      </c>
      <c r="C7" s="58">
        <v>100</v>
      </c>
      <c r="D7" s="2" t="s">
        <v>0</v>
      </c>
      <c r="E7" s="54"/>
      <c r="F7" s="54"/>
      <c r="G7" s="54"/>
      <c r="I7" s="156" t="s">
        <v>17</v>
      </c>
      <c r="J7" s="157" t="s">
        <v>7</v>
      </c>
      <c r="K7" s="80">
        <v>100</v>
      </c>
      <c r="L7" s="158" t="s">
        <v>0</v>
      </c>
      <c r="M7" s="156"/>
      <c r="N7" s="156"/>
      <c r="O7" s="159"/>
    </row>
    <row r="8" spans="1:15" ht="15" customHeight="1" x14ac:dyDescent="0.25">
      <c r="A8" s="54" t="s">
        <v>129</v>
      </c>
      <c r="B8" s="58" t="s">
        <v>1</v>
      </c>
      <c r="C8" s="58">
        <v>1.5</v>
      </c>
      <c r="D8" s="2" t="s">
        <v>58</v>
      </c>
      <c r="E8" s="57" t="s">
        <v>132</v>
      </c>
      <c r="F8" s="54"/>
      <c r="G8" s="54"/>
      <c r="I8" s="156" t="s">
        <v>129</v>
      </c>
      <c r="J8" s="157" t="s">
        <v>1</v>
      </c>
      <c r="K8" s="80">
        <v>1.5</v>
      </c>
      <c r="L8" s="158" t="s">
        <v>58</v>
      </c>
      <c r="M8" s="160" t="s">
        <v>132</v>
      </c>
      <c r="N8" s="156"/>
      <c r="O8" s="161"/>
    </row>
    <row r="9" spans="1:15" ht="15" customHeight="1" x14ac:dyDescent="0.25">
      <c r="A9" s="54" t="s">
        <v>59</v>
      </c>
      <c r="B9" s="58" t="s">
        <v>7</v>
      </c>
      <c r="C9" s="4" t="s">
        <v>212</v>
      </c>
      <c r="D9" s="2" t="s">
        <v>60</v>
      </c>
      <c r="E9" s="3"/>
      <c r="F9" s="3"/>
      <c r="G9" s="3"/>
      <c r="I9" s="156" t="s">
        <v>59</v>
      </c>
      <c r="J9" s="157" t="s">
        <v>7</v>
      </c>
      <c r="K9" s="163">
        <f>1/K8</f>
        <v>0.66666666666666663</v>
      </c>
      <c r="L9" s="158" t="s">
        <v>60</v>
      </c>
      <c r="M9" s="164"/>
      <c r="N9" s="164"/>
      <c r="O9" s="164"/>
    </row>
    <row r="10" spans="1:15" ht="15" customHeight="1" x14ac:dyDescent="0.25">
      <c r="A10" s="54" t="s">
        <v>131</v>
      </c>
      <c r="B10" s="58" t="s">
        <v>7</v>
      </c>
      <c r="C10" s="4" t="s">
        <v>213</v>
      </c>
      <c r="D10" s="2"/>
      <c r="E10" s="3"/>
      <c r="F10" s="3"/>
      <c r="G10" s="3"/>
      <c r="I10" s="156" t="s">
        <v>131</v>
      </c>
      <c r="J10" s="157" t="s">
        <v>7</v>
      </c>
      <c r="K10" s="163">
        <f>44.1*K7/10.73/(458.67+K6)/K9</f>
        <v>0.71796593120870478</v>
      </c>
      <c r="L10" s="158"/>
      <c r="M10" s="164"/>
      <c r="N10" s="164"/>
      <c r="O10" s="164"/>
    </row>
    <row r="13" spans="1:15" x14ac:dyDescent="0.25">
      <c r="A13" s="165" t="s">
        <v>126</v>
      </c>
    </row>
    <row r="14" spans="1:15" x14ac:dyDescent="0.25">
      <c r="A14" s="165" t="s">
        <v>269</v>
      </c>
    </row>
    <row r="15" spans="1:15" x14ac:dyDescent="0.25">
      <c r="A15" s="165" t="s">
        <v>270</v>
      </c>
    </row>
    <row r="16" spans="1:15" x14ac:dyDescent="0.25">
      <c r="A16" s="165" t="s">
        <v>271</v>
      </c>
    </row>
    <row r="17" spans="1:1" x14ac:dyDescent="0.25">
      <c r="A17" s="166" t="s">
        <v>272</v>
      </c>
    </row>
  </sheetData>
  <sheetProtection password="E156" sheet="1" objects="1" scenarios="1"/>
  <mergeCells count="2">
    <mergeCell ref="A5:G5"/>
    <mergeCell ref="I5:O5"/>
  </mergeCells>
  <pageMargins left="0.75" right="0.75" top="1" bottom="1" header="0.5" footer="0.5"/>
  <pageSetup paperSize="199" scale="55" orientation="landscape" r:id="rId1"/>
  <headerFooter alignWithMargins="0">
    <oddHeader>&amp;CCALCULATION SPREADSHEET FOR GPSA ENGINEERING DATA BOOK, 13&amp;Xth&amp;X ED.
EXAMPLE 23-1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31"/>
  <sheetViews>
    <sheetView zoomScaleNormal="100" workbookViewId="0">
      <selection activeCell="H34" sqref="H34"/>
    </sheetView>
  </sheetViews>
  <sheetFormatPr defaultRowHeight="15" x14ac:dyDescent="0.25"/>
  <cols>
    <col min="1" max="1" width="14" style="152" customWidth="1"/>
    <col min="2" max="2" width="2.140625" style="151" bestFit="1" customWidth="1"/>
    <col min="3" max="3" width="9.7109375" style="151" customWidth="1"/>
    <col min="4" max="8" width="9.7109375" style="152" customWidth="1"/>
    <col min="9" max="9" width="9.140625" style="152"/>
    <col min="10" max="10" width="15.42578125" style="152" customWidth="1"/>
    <col min="11" max="11" width="4.42578125" style="151" customWidth="1"/>
    <col min="12" max="12" width="9.7109375" style="151" customWidth="1"/>
    <col min="13" max="17" width="9.7109375" style="152" customWidth="1"/>
    <col min="18" max="16384" width="9.140625" style="152"/>
  </cols>
  <sheetData>
    <row r="1" spans="1:17" x14ac:dyDescent="0.25">
      <c r="A1" s="150" t="s">
        <v>264</v>
      </c>
    </row>
    <row r="5" spans="1:17" s="153" customFormat="1" ht="15" customHeight="1" x14ac:dyDescent="0.2">
      <c r="A5" s="300" t="s">
        <v>133</v>
      </c>
      <c r="B5" s="300"/>
      <c r="C5" s="300"/>
      <c r="D5" s="300"/>
      <c r="E5" s="300"/>
      <c r="F5" s="300"/>
      <c r="G5" s="300"/>
      <c r="H5" s="300"/>
      <c r="I5" s="167"/>
      <c r="J5" s="301" t="s">
        <v>133</v>
      </c>
      <c r="K5" s="301"/>
      <c r="L5" s="301"/>
      <c r="M5" s="301"/>
      <c r="N5" s="301"/>
      <c r="O5" s="301"/>
      <c r="P5" s="301"/>
      <c r="Q5" s="301"/>
    </row>
    <row r="6" spans="1:17" x14ac:dyDescent="0.25">
      <c r="A6" s="133" t="s">
        <v>18</v>
      </c>
      <c r="B6" s="59" t="s">
        <v>134</v>
      </c>
      <c r="C6" s="58">
        <v>100</v>
      </c>
      <c r="D6" s="2" t="s">
        <v>130</v>
      </c>
      <c r="E6" s="3"/>
      <c r="F6" s="3"/>
      <c r="G6" s="3"/>
      <c r="H6" s="3"/>
      <c r="J6" s="168" t="s">
        <v>18</v>
      </c>
      <c r="K6" s="169" t="s">
        <v>134</v>
      </c>
      <c r="L6" s="80">
        <v>100</v>
      </c>
      <c r="M6" s="158" t="s">
        <v>130</v>
      </c>
      <c r="N6" s="164"/>
      <c r="O6" s="164"/>
      <c r="P6" s="164"/>
      <c r="Q6" s="164"/>
    </row>
    <row r="7" spans="1:17" x14ac:dyDescent="0.25">
      <c r="A7" s="133" t="s">
        <v>17</v>
      </c>
      <c r="B7" s="59" t="s">
        <v>134</v>
      </c>
      <c r="C7" s="58">
        <v>1000</v>
      </c>
      <c r="D7" s="2" t="s">
        <v>0</v>
      </c>
      <c r="E7" s="3"/>
      <c r="F7" s="3"/>
      <c r="G7" s="3"/>
      <c r="H7" s="3"/>
      <c r="J7" s="168" t="s">
        <v>17</v>
      </c>
      <c r="K7" s="169" t="s">
        <v>134</v>
      </c>
      <c r="L7" s="80">
        <v>1000</v>
      </c>
      <c r="M7" s="158" t="s">
        <v>0</v>
      </c>
      <c r="N7" s="164"/>
      <c r="O7" s="164"/>
      <c r="P7" s="164"/>
      <c r="Q7" s="164"/>
    </row>
    <row r="8" spans="1:17" x14ac:dyDescent="0.25">
      <c r="A8" s="54"/>
      <c r="B8" s="58"/>
      <c r="C8" s="58"/>
      <c r="D8" s="2"/>
      <c r="E8" s="3"/>
      <c r="F8" s="3"/>
      <c r="G8" s="3"/>
      <c r="H8" s="3"/>
      <c r="J8" s="156"/>
      <c r="K8" s="157"/>
      <c r="L8" s="157"/>
      <c r="M8" s="158"/>
      <c r="N8" s="164"/>
      <c r="O8" s="164"/>
      <c r="P8" s="164"/>
      <c r="Q8" s="164"/>
    </row>
    <row r="9" spans="1:17" ht="17.25" x14ac:dyDescent="0.3">
      <c r="A9" s="8" t="s">
        <v>63</v>
      </c>
      <c r="B9" s="58"/>
      <c r="C9" s="8" t="s">
        <v>146</v>
      </c>
      <c r="D9" s="8" t="s">
        <v>143</v>
      </c>
      <c r="E9" s="8" t="s">
        <v>144</v>
      </c>
      <c r="F9" s="8" t="s">
        <v>145</v>
      </c>
      <c r="G9" s="8" t="s">
        <v>145</v>
      </c>
      <c r="H9" s="8" t="s">
        <v>19</v>
      </c>
      <c r="J9" s="170" t="s">
        <v>63</v>
      </c>
      <c r="K9" s="157"/>
      <c r="L9" s="170" t="s">
        <v>146</v>
      </c>
      <c r="M9" s="170" t="s">
        <v>143</v>
      </c>
      <c r="N9" s="170" t="s">
        <v>144</v>
      </c>
      <c r="O9" s="170" t="s">
        <v>145</v>
      </c>
      <c r="P9" s="170" t="s">
        <v>145</v>
      </c>
      <c r="Q9" s="170" t="s">
        <v>19</v>
      </c>
    </row>
    <row r="10" spans="1:17" ht="16.5" x14ac:dyDescent="0.3">
      <c r="A10" s="58" t="s">
        <v>135</v>
      </c>
      <c r="B10" s="58"/>
      <c r="C10" s="62">
        <v>0.83189999999999997</v>
      </c>
      <c r="D10" s="38">
        <v>343</v>
      </c>
      <c r="E10" s="38">
        <f>C10*D10</f>
        <v>285.3417</v>
      </c>
      <c r="F10" s="38">
        <v>666.4</v>
      </c>
      <c r="G10" s="38">
        <f>F10*C10</f>
        <v>554.37815999999998</v>
      </c>
      <c r="H10" s="4">
        <v>16.042999999999999</v>
      </c>
      <c r="J10" s="157" t="s">
        <v>135</v>
      </c>
      <c r="K10" s="157"/>
      <c r="L10" s="81">
        <v>0.83189999999999997</v>
      </c>
      <c r="M10" s="171">
        <v>343</v>
      </c>
      <c r="N10" s="171">
        <f>L10*M10</f>
        <v>285.3417</v>
      </c>
      <c r="O10" s="171">
        <v>666.4</v>
      </c>
      <c r="P10" s="171">
        <f>O10*L10</f>
        <v>554.37815999999998</v>
      </c>
      <c r="Q10" s="163">
        <v>16.042999999999999</v>
      </c>
    </row>
    <row r="11" spans="1:17" ht="16.5" x14ac:dyDescent="0.3">
      <c r="A11" s="58" t="s">
        <v>136</v>
      </c>
      <c r="B11" s="58"/>
      <c r="C11" s="62">
        <v>8.48E-2</v>
      </c>
      <c r="D11" s="38">
        <v>549.6</v>
      </c>
      <c r="E11" s="38">
        <f t="shared" ref="E11:E17" si="0">C11*D11</f>
        <v>46.606079999999999</v>
      </c>
      <c r="F11" s="38">
        <v>706.5</v>
      </c>
      <c r="G11" s="38">
        <f t="shared" ref="G11:G17" si="1">F11*C11</f>
        <v>59.911200000000001</v>
      </c>
      <c r="H11" s="4">
        <v>30.07</v>
      </c>
      <c r="J11" s="157" t="s">
        <v>136</v>
      </c>
      <c r="K11" s="157"/>
      <c r="L11" s="81">
        <v>8.48E-2</v>
      </c>
      <c r="M11" s="171">
        <v>549.6</v>
      </c>
      <c r="N11" s="171">
        <f t="shared" ref="N11:N17" si="2">L11*M11</f>
        <v>46.606079999999999</v>
      </c>
      <c r="O11" s="171">
        <v>706.5</v>
      </c>
      <c r="P11" s="171">
        <f t="shared" ref="P11:P17" si="3">O11*L11</f>
        <v>59.911200000000001</v>
      </c>
      <c r="Q11" s="163">
        <v>30.07</v>
      </c>
    </row>
    <row r="12" spans="1:17" ht="16.5" x14ac:dyDescent="0.3">
      <c r="A12" s="58" t="s">
        <v>137</v>
      </c>
      <c r="B12" s="58"/>
      <c r="C12" s="62">
        <v>4.3700000000000003E-2</v>
      </c>
      <c r="D12" s="38">
        <v>665.7</v>
      </c>
      <c r="E12" s="38">
        <f t="shared" si="0"/>
        <v>29.091090000000005</v>
      </c>
      <c r="F12" s="38">
        <v>616</v>
      </c>
      <c r="G12" s="38">
        <f t="shared" si="1"/>
        <v>26.9192</v>
      </c>
      <c r="H12" s="4">
        <v>44.097000000000001</v>
      </c>
      <c r="J12" s="157" t="s">
        <v>137</v>
      </c>
      <c r="K12" s="157"/>
      <c r="L12" s="81">
        <v>4.3700000000000003E-2</v>
      </c>
      <c r="M12" s="171">
        <v>665.7</v>
      </c>
      <c r="N12" s="171">
        <f t="shared" si="2"/>
        <v>29.091090000000005</v>
      </c>
      <c r="O12" s="171">
        <v>616</v>
      </c>
      <c r="P12" s="171">
        <f t="shared" si="3"/>
        <v>26.9192</v>
      </c>
      <c r="Q12" s="163">
        <v>44.097000000000001</v>
      </c>
    </row>
    <row r="13" spans="1:17" ht="16.5" x14ac:dyDescent="0.3">
      <c r="A13" s="58" t="s">
        <v>138</v>
      </c>
      <c r="B13" s="58"/>
      <c r="C13" s="62">
        <v>7.6E-3</v>
      </c>
      <c r="D13" s="38">
        <v>734.1</v>
      </c>
      <c r="E13" s="38">
        <f t="shared" si="0"/>
        <v>5.5791599999999999</v>
      </c>
      <c r="F13" s="38">
        <v>527.9</v>
      </c>
      <c r="G13" s="38">
        <f t="shared" si="1"/>
        <v>4.0120399999999998</v>
      </c>
      <c r="H13" s="4">
        <v>58.122999999999998</v>
      </c>
      <c r="J13" s="157" t="s">
        <v>138</v>
      </c>
      <c r="K13" s="157"/>
      <c r="L13" s="81">
        <v>7.6E-3</v>
      </c>
      <c r="M13" s="171">
        <v>734.1</v>
      </c>
      <c r="N13" s="171">
        <f t="shared" si="2"/>
        <v>5.5791599999999999</v>
      </c>
      <c r="O13" s="171">
        <v>527.9</v>
      </c>
      <c r="P13" s="171">
        <f t="shared" si="3"/>
        <v>4.0120399999999998</v>
      </c>
      <c r="Q13" s="163">
        <v>58.122999999999998</v>
      </c>
    </row>
    <row r="14" spans="1:17" ht="16.5" x14ac:dyDescent="0.3">
      <c r="A14" s="58" t="s">
        <v>139</v>
      </c>
      <c r="B14" s="58"/>
      <c r="C14" s="62">
        <v>1.6799999999999999E-2</v>
      </c>
      <c r="D14" s="38">
        <v>765.3</v>
      </c>
      <c r="E14" s="38">
        <f t="shared" si="0"/>
        <v>12.857039999999998</v>
      </c>
      <c r="F14" s="38">
        <v>550.6</v>
      </c>
      <c r="G14" s="38">
        <f t="shared" si="1"/>
        <v>9.2500800000000005</v>
      </c>
      <c r="H14" s="4">
        <v>58.122999999999998</v>
      </c>
      <c r="J14" s="157" t="s">
        <v>139</v>
      </c>
      <c r="K14" s="157"/>
      <c r="L14" s="81">
        <v>1.6799999999999999E-2</v>
      </c>
      <c r="M14" s="171">
        <v>765.3</v>
      </c>
      <c r="N14" s="171">
        <f t="shared" si="2"/>
        <v>12.857039999999998</v>
      </c>
      <c r="O14" s="171">
        <v>550.6</v>
      </c>
      <c r="P14" s="171">
        <f t="shared" si="3"/>
        <v>9.2500800000000005</v>
      </c>
      <c r="Q14" s="163">
        <v>58.122999999999998</v>
      </c>
    </row>
    <row r="15" spans="1:17" ht="16.5" x14ac:dyDescent="0.3">
      <c r="A15" s="58" t="s">
        <v>140</v>
      </c>
      <c r="B15" s="58"/>
      <c r="C15" s="62">
        <v>5.7000000000000002E-3</v>
      </c>
      <c r="D15" s="38">
        <v>828.8</v>
      </c>
      <c r="E15" s="38">
        <f t="shared" si="0"/>
        <v>4.7241599999999995</v>
      </c>
      <c r="F15" s="38">
        <v>490.4</v>
      </c>
      <c r="G15" s="38">
        <f t="shared" si="1"/>
        <v>2.79528</v>
      </c>
      <c r="H15" s="4">
        <v>72.150000000000006</v>
      </c>
      <c r="J15" s="157" t="s">
        <v>140</v>
      </c>
      <c r="K15" s="157"/>
      <c r="L15" s="81">
        <v>5.7000000000000002E-3</v>
      </c>
      <c r="M15" s="171">
        <v>828.8</v>
      </c>
      <c r="N15" s="171">
        <f t="shared" si="2"/>
        <v>4.7241599999999995</v>
      </c>
      <c r="O15" s="171">
        <v>490.4</v>
      </c>
      <c r="P15" s="171">
        <f t="shared" si="3"/>
        <v>2.79528</v>
      </c>
      <c r="Q15" s="163">
        <v>72.150000000000006</v>
      </c>
    </row>
    <row r="16" spans="1:17" ht="16.5" x14ac:dyDescent="0.3">
      <c r="A16" s="58" t="s">
        <v>141</v>
      </c>
      <c r="B16" s="58"/>
      <c r="C16" s="62">
        <v>3.2000000000000002E-3</v>
      </c>
      <c r="D16" s="38">
        <v>845.5</v>
      </c>
      <c r="E16" s="38">
        <f t="shared" si="0"/>
        <v>2.7056</v>
      </c>
      <c r="F16" s="38">
        <v>488.6</v>
      </c>
      <c r="G16" s="38">
        <f t="shared" si="1"/>
        <v>1.5635200000000002</v>
      </c>
      <c r="H16" s="4">
        <v>72.150000000000006</v>
      </c>
      <c r="J16" s="157" t="s">
        <v>141</v>
      </c>
      <c r="K16" s="157"/>
      <c r="L16" s="81">
        <v>3.2000000000000002E-3</v>
      </c>
      <c r="M16" s="171">
        <v>845.5</v>
      </c>
      <c r="N16" s="171">
        <f t="shared" si="2"/>
        <v>2.7056</v>
      </c>
      <c r="O16" s="171">
        <v>488.6</v>
      </c>
      <c r="P16" s="171">
        <f t="shared" si="3"/>
        <v>1.5635200000000002</v>
      </c>
      <c r="Q16" s="163">
        <v>72.150000000000006</v>
      </c>
    </row>
    <row r="17" spans="1:17" ht="17.25" thickBot="1" x14ac:dyDescent="0.35">
      <c r="A17" s="58" t="s">
        <v>142</v>
      </c>
      <c r="B17" s="58"/>
      <c r="C17" s="63">
        <v>6.3E-3</v>
      </c>
      <c r="D17" s="38">
        <v>913.3</v>
      </c>
      <c r="E17" s="60">
        <f t="shared" si="0"/>
        <v>5.7537899999999995</v>
      </c>
      <c r="F17" s="38">
        <v>436.9</v>
      </c>
      <c r="G17" s="60">
        <f t="shared" si="1"/>
        <v>2.7524699999999998</v>
      </c>
      <c r="H17" s="61">
        <v>86.177000000000007</v>
      </c>
      <c r="J17" s="157" t="s">
        <v>142</v>
      </c>
      <c r="K17" s="157"/>
      <c r="L17" s="82">
        <v>6.3E-3</v>
      </c>
      <c r="M17" s="171">
        <v>913.3</v>
      </c>
      <c r="N17" s="172">
        <f t="shared" si="2"/>
        <v>5.7537899999999995</v>
      </c>
      <c r="O17" s="171">
        <v>436.9</v>
      </c>
      <c r="P17" s="172">
        <f t="shared" si="3"/>
        <v>2.7524699999999998</v>
      </c>
      <c r="Q17" s="173">
        <v>86.177000000000007</v>
      </c>
    </row>
    <row r="18" spans="1:17" ht="15.75" thickTop="1" x14ac:dyDescent="0.25">
      <c r="A18" s="54"/>
      <c r="B18" s="58"/>
      <c r="C18" s="62">
        <f>SUM(C10:C17)</f>
        <v>1</v>
      </c>
      <c r="D18" s="2"/>
      <c r="E18" s="38">
        <f>SUM(E10:E17)</f>
        <v>392.65861999999998</v>
      </c>
      <c r="F18" s="3"/>
      <c r="G18" s="38">
        <f>SUM(G10:G17)</f>
        <v>661.58195000000012</v>
      </c>
      <c r="H18" s="4">
        <f t="array" ref="H18">SUM(C10:C17*H10:H17)</f>
        <v>20.426397899999998</v>
      </c>
      <c r="J18" s="156"/>
      <c r="K18" s="157"/>
      <c r="L18" s="174">
        <f>SUM(L10:L17)</f>
        <v>1</v>
      </c>
      <c r="M18" s="158"/>
      <c r="N18" s="171">
        <f>SUM(N10:N17)</f>
        <v>392.65861999999998</v>
      </c>
      <c r="O18" s="164"/>
      <c r="P18" s="171">
        <f>SUM(P10:P17)</f>
        <v>661.58195000000012</v>
      </c>
      <c r="Q18" s="163">
        <f t="array" ref="Q18">SUM(L10:L17*Q10:Q17)</f>
        <v>20.426397899999998</v>
      </c>
    </row>
    <row r="19" spans="1:17" x14ac:dyDescent="0.25">
      <c r="A19" s="54"/>
      <c r="B19" s="58"/>
      <c r="C19" s="58"/>
      <c r="D19" s="2"/>
      <c r="E19" s="3"/>
      <c r="F19" s="3"/>
      <c r="G19" s="3"/>
      <c r="H19" s="3"/>
      <c r="J19" s="156"/>
      <c r="K19" s="157"/>
      <c r="L19" s="157"/>
      <c r="M19" s="158"/>
      <c r="N19" s="164"/>
      <c r="O19" s="164"/>
      <c r="P19" s="164"/>
      <c r="Q19" s="164"/>
    </row>
    <row r="20" spans="1:17" ht="16.5" x14ac:dyDescent="0.3">
      <c r="A20" s="54" t="s">
        <v>51</v>
      </c>
      <c r="B20" s="59" t="s">
        <v>134</v>
      </c>
      <c r="C20" s="64" t="s">
        <v>151</v>
      </c>
      <c r="D20" s="2"/>
      <c r="E20" s="3"/>
      <c r="F20" s="3"/>
      <c r="G20" s="3"/>
      <c r="H20" s="3"/>
      <c r="J20" s="156" t="s">
        <v>51</v>
      </c>
      <c r="K20" s="169" t="s">
        <v>134</v>
      </c>
      <c r="L20" s="163">
        <f>(L6+459.67)/N18</f>
        <v>1.4253348111904436</v>
      </c>
      <c r="M20" s="158" t="s">
        <v>149</v>
      </c>
      <c r="N20" s="164"/>
      <c r="O20" s="164"/>
      <c r="P20" s="164"/>
      <c r="Q20" s="164"/>
    </row>
    <row r="21" spans="1:17" ht="16.5" x14ac:dyDescent="0.3">
      <c r="A21" s="54" t="s">
        <v>52</v>
      </c>
      <c r="B21" s="59" t="s">
        <v>134</v>
      </c>
      <c r="C21" s="64" t="s">
        <v>152</v>
      </c>
      <c r="D21" s="2"/>
      <c r="E21" s="3"/>
      <c r="F21" s="3"/>
      <c r="G21" s="3"/>
      <c r="H21" s="3"/>
      <c r="J21" s="156" t="s">
        <v>52</v>
      </c>
      <c r="K21" s="169" t="s">
        <v>134</v>
      </c>
      <c r="L21" s="175">
        <f>L7/P18</f>
        <v>1.5115285415510502</v>
      </c>
      <c r="M21" s="158" t="s">
        <v>148</v>
      </c>
      <c r="N21" s="164"/>
      <c r="O21" s="164"/>
      <c r="P21" s="164"/>
      <c r="Q21" s="164"/>
    </row>
    <row r="22" spans="1:17" s="176" customFormat="1" ht="16.5" x14ac:dyDescent="0.3">
      <c r="A22" s="54" t="s">
        <v>147</v>
      </c>
      <c r="B22" s="59" t="s">
        <v>134</v>
      </c>
      <c r="C22" s="58">
        <v>0.86</v>
      </c>
      <c r="D22" s="2" t="s">
        <v>175</v>
      </c>
      <c r="E22" s="10"/>
      <c r="F22" s="10"/>
      <c r="G22" s="10"/>
      <c r="H22" s="10"/>
      <c r="J22" s="156" t="s">
        <v>147</v>
      </c>
      <c r="K22" s="169" t="s">
        <v>134</v>
      </c>
      <c r="L22" s="80">
        <v>0.86</v>
      </c>
      <c r="M22" s="158" t="s">
        <v>175</v>
      </c>
      <c r="N22" s="177"/>
      <c r="O22" s="177"/>
      <c r="P22" s="177"/>
      <c r="Q22" s="177"/>
    </row>
    <row r="23" spans="1:17" ht="14.25" customHeight="1" x14ac:dyDescent="0.25">
      <c r="A23" s="54" t="s">
        <v>150</v>
      </c>
      <c r="B23" s="59" t="s">
        <v>134</v>
      </c>
      <c r="C23" s="299" t="s">
        <v>211</v>
      </c>
      <c r="D23" s="299"/>
      <c r="E23" s="299"/>
      <c r="F23" s="299"/>
      <c r="G23" s="2" t="s">
        <v>115</v>
      </c>
      <c r="H23" s="3"/>
      <c r="J23" s="156" t="s">
        <v>150</v>
      </c>
      <c r="K23" s="169" t="s">
        <v>134</v>
      </c>
      <c r="L23" s="178">
        <f>Q18*L7/10.732/L22/(L6+459.67)</f>
        <v>3.9544004265432657</v>
      </c>
      <c r="M23" s="158" t="s">
        <v>115</v>
      </c>
      <c r="N23" s="164"/>
      <c r="O23" s="164"/>
      <c r="P23" s="164"/>
      <c r="Q23" s="164"/>
    </row>
    <row r="24" spans="1:17" x14ac:dyDescent="0.25">
      <c r="A24" s="2"/>
      <c r="B24" s="58"/>
      <c r="C24" s="6"/>
      <c r="D24" s="2"/>
      <c r="E24" s="3"/>
      <c r="F24" s="3"/>
      <c r="G24" s="3"/>
      <c r="H24" s="3"/>
      <c r="J24" s="179"/>
      <c r="K24" s="157"/>
      <c r="L24" s="175"/>
      <c r="M24" s="158"/>
      <c r="N24" s="164"/>
      <c r="O24" s="164"/>
      <c r="P24" s="180"/>
      <c r="Q24" s="180"/>
    </row>
    <row r="27" spans="1:17" x14ac:dyDescent="0.25">
      <c r="A27" s="165" t="s">
        <v>126</v>
      </c>
    </row>
    <row r="28" spans="1:17" x14ac:dyDescent="0.25">
      <c r="A28" s="165" t="s">
        <v>269</v>
      </c>
    </row>
    <row r="29" spans="1:17" x14ac:dyDescent="0.25">
      <c r="A29" s="165" t="s">
        <v>270</v>
      </c>
    </row>
    <row r="30" spans="1:17" x14ac:dyDescent="0.25">
      <c r="A30" s="165" t="s">
        <v>271</v>
      </c>
    </row>
    <row r="31" spans="1:17" x14ac:dyDescent="0.25">
      <c r="A31" s="166" t="s">
        <v>272</v>
      </c>
    </row>
  </sheetData>
  <sheetProtection password="E156" sheet="1" objects="1" scenarios="1"/>
  <mergeCells count="3">
    <mergeCell ref="C23:F23"/>
    <mergeCell ref="A5:H5"/>
    <mergeCell ref="J5:Q5"/>
  </mergeCells>
  <pageMargins left="0.7" right="0.7" top="0.75" bottom="0.75" header="0.3" footer="0.3"/>
  <pageSetup paperSize="201" scale="48" orientation="portrait" r:id="rId1"/>
  <headerFooter>
    <oddHeader>&amp;CCALCULATION SPREADSHEET FOR GPSA ENGINEERING DATA BOOK 13th EDITION
EXAMPLE 23-2</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M26"/>
  <sheetViews>
    <sheetView zoomScaleNormal="100" workbookViewId="0">
      <selection activeCell="H34" sqref="H34"/>
    </sheetView>
  </sheetViews>
  <sheetFormatPr defaultRowHeight="15" x14ac:dyDescent="0.25"/>
  <cols>
    <col min="1" max="1" width="40.85546875" style="150" customWidth="1"/>
    <col min="2" max="2" width="4.5703125" style="181" customWidth="1"/>
    <col min="3" max="3" width="39.42578125" style="181" bestFit="1" customWidth="1"/>
    <col min="4" max="4" width="10.5703125" style="150" customWidth="1"/>
    <col min="5" max="5" width="14.5703125" style="150" bestFit="1" customWidth="1"/>
    <col min="6" max="6" width="4.42578125" style="150" customWidth="1"/>
    <col min="7" max="7" width="9.140625" style="150"/>
    <col min="8" max="8" width="43.5703125" style="150" customWidth="1"/>
    <col min="9" max="9" width="7.28515625" style="181" customWidth="1"/>
    <col min="10" max="10" width="15.42578125" style="181" customWidth="1"/>
    <col min="11" max="11" width="10.7109375" style="150" bestFit="1" customWidth="1"/>
    <col min="12" max="12" width="15.140625" style="150" customWidth="1"/>
    <col min="13" max="13" width="25.140625" style="150" customWidth="1"/>
    <col min="14" max="16384" width="9.140625" style="150"/>
  </cols>
  <sheetData>
    <row r="1" spans="1:13" x14ac:dyDescent="0.25">
      <c r="A1" s="150" t="s">
        <v>264</v>
      </c>
    </row>
    <row r="5" spans="1:13" s="182" customFormat="1" ht="31.5" customHeight="1" x14ac:dyDescent="0.2">
      <c r="A5" s="302" t="s">
        <v>241</v>
      </c>
      <c r="B5" s="303"/>
      <c r="C5" s="303"/>
      <c r="D5" s="303"/>
      <c r="E5" s="303"/>
      <c r="F5" s="303"/>
      <c r="H5" s="304" t="s">
        <v>242</v>
      </c>
      <c r="I5" s="305"/>
      <c r="J5" s="305"/>
      <c r="K5" s="305"/>
      <c r="L5" s="305"/>
      <c r="M5" s="305"/>
    </row>
    <row r="6" spans="1:13" ht="15" customHeight="1" x14ac:dyDescent="0.25">
      <c r="A6" s="70" t="s">
        <v>2</v>
      </c>
      <c r="B6" s="66"/>
      <c r="C6" s="66"/>
      <c r="D6" s="65"/>
      <c r="E6" s="67"/>
      <c r="F6" s="67"/>
      <c r="H6" s="183" t="s">
        <v>2</v>
      </c>
      <c r="I6" s="184"/>
      <c r="J6" s="184"/>
      <c r="K6" s="185"/>
      <c r="L6" s="186"/>
      <c r="M6" s="186"/>
    </row>
    <row r="7" spans="1:13" x14ac:dyDescent="0.25">
      <c r="A7" s="83" t="s">
        <v>17</v>
      </c>
      <c r="B7" s="66" t="s">
        <v>1</v>
      </c>
      <c r="C7" s="66">
        <v>1000</v>
      </c>
      <c r="D7" s="65" t="s">
        <v>0</v>
      </c>
      <c r="E7" s="67"/>
      <c r="F7" s="67"/>
      <c r="H7" s="187" t="s">
        <v>17</v>
      </c>
      <c r="I7" s="184" t="s">
        <v>1</v>
      </c>
      <c r="J7" s="88">
        <v>1000</v>
      </c>
      <c r="K7" s="185" t="s">
        <v>0</v>
      </c>
      <c r="L7" s="186"/>
      <c r="M7" s="186"/>
    </row>
    <row r="8" spans="1:13" x14ac:dyDescent="0.25">
      <c r="A8" s="83" t="s">
        <v>18</v>
      </c>
      <c r="B8" s="66" t="s">
        <v>7</v>
      </c>
      <c r="C8" s="66">
        <v>100</v>
      </c>
      <c r="D8" s="65" t="s">
        <v>130</v>
      </c>
      <c r="E8" s="67"/>
      <c r="F8" s="67"/>
      <c r="H8" s="187" t="s">
        <v>18</v>
      </c>
      <c r="I8" s="184" t="s">
        <v>7</v>
      </c>
      <c r="J8" s="88">
        <v>100</v>
      </c>
      <c r="K8" s="185" t="s">
        <v>130</v>
      </c>
      <c r="L8" s="186"/>
      <c r="M8" s="186"/>
    </row>
    <row r="9" spans="1:13" ht="16.5" x14ac:dyDescent="0.3">
      <c r="A9" s="83" t="s">
        <v>55</v>
      </c>
      <c r="B9" s="66" t="s">
        <v>1</v>
      </c>
      <c r="C9" s="66">
        <v>433.9</v>
      </c>
      <c r="D9" s="65" t="s">
        <v>11</v>
      </c>
      <c r="E9" s="67"/>
      <c r="F9" s="67"/>
      <c r="H9" s="187" t="s">
        <v>55</v>
      </c>
      <c r="I9" s="184" t="s">
        <v>1</v>
      </c>
      <c r="J9" s="88">
        <v>433.9</v>
      </c>
      <c r="K9" s="185" t="s">
        <v>11</v>
      </c>
      <c r="L9" s="186"/>
      <c r="M9" s="186"/>
    </row>
    <row r="10" spans="1:13" ht="16.5" x14ac:dyDescent="0.3">
      <c r="A10" s="83" t="s">
        <v>56</v>
      </c>
      <c r="B10" s="66" t="s">
        <v>1</v>
      </c>
      <c r="C10" s="66">
        <v>826.9</v>
      </c>
      <c r="D10" s="65" t="s">
        <v>0</v>
      </c>
      <c r="E10" s="67"/>
      <c r="F10" s="67"/>
      <c r="H10" s="187" t="s">
        <v>56</v>
      </c>
      <c r="I10" s="184" t="s">
        <v>1</v>
      </c>
      <c r="J10" s="88">
        <v>826.9</v>
      </c>
      <c r="K10" s="185" t="s">
        <v>0</v>
      </c>
      <c r="L10" s="186"/>
      <c r="M10" s="186"/>
    </row>
    <row r="11" spans="1:13" ht="16.5" x14ac:dyDescent="0.3">
      <c r="A11" s="83" t="s">
        <v>61</v>
      </c>
      <c r="B11" s="66" t="s">
        <v>1</v>
      </c>
      <c r="C11" s="134">
        <v>0.2</v>
      </c>
      <c r="D11" s="65"/>
      <c r="E11" s="67"/>
      <c r="F11" s="67"/>
      <c r="H11" s="187" t="s">
        <v>110</v>
      </c>
      <c r="I11" s="184" t="s">
        <v>1</v>
      </c>
      <c r="J11" s="135">
        <v>0.2</v>
      </c>
      <c r="K11" s="185"/>
      <c r="L11" s="186"/>
      <c r="M11" s="186"/>
    </row>
    <row r="12" spans="1:13" x14ac:dyDescent="0.25">
      <c r="A12" s="65"/>
      <c r="B12" s="66"/>
      <c r="C12" s="68"/>
      <c r="D12" s="65"/>
      <c r="E12" s="67"/>
      <c r="F12" s="67"/>
      <c r="H12" s="185"/>
      <c r="I12" s="184"/>
      <c r="J12" s="188"/>
      <c r="K12" s="185"/>
      <c r="L12" s="186"/>
      <c r="M12" s="186"/>
    </row>
    <row r="13" spans="1:13" s="189" customFormat="1" ht="14.25" x14ac:dyDescent="0.2">
      <c r="A13" s="69" t="s">
        <v>21</v>
      </c>
      <c r="B13" s="70"/>
      <c r="C13" s="71"/>
      <c r="D13" s="69"/>
      <c r="E13" s="72"/>
      <c r="F13" s="72"/>
      <c r="H13" s="190" t="s">
        <v>21</v>
      </c>
      <c r="I13" s="183"/>
      <c r="J13" s="191"/>
      <c r="K13" s="190"/>
      <c r="L13" s="192"/>
      <c r="M13" s="192"/>
    </row>
    <row r="14" spans="1:13" x14ac:dyDescent="0.25">
      <c r="A14" s="83" t="s">
        <v>57</v>
      </c>
      <c r="B14" s="66" t="s">
        <v>1</v>
      </c>
      <c r="C14" s="111">
        <v>29.8</v>
      </c>
      <c r="D14" s="65" t="s">
        <v>130</v>
      </c>
      <c r="E14" s="65" t="s">
        <v>206</v>
      </c>
      <c r="F14" s="67"/>
      <c r="H14" s="187" t="s">
        <v>57</v>
      </c>
      <c r="I14" s="184" t="s">
        <v>1</v>
      </c>
      <c r="J14" s="113">
        <v>29.8</v>
      </c>
      <c r="K14" s="185" t="s">
        <v>130</v>
      </c>
      <c r="L14" s="185" t="s">
        <v>206</v>
      </c>
      <c r="M14" s="186"/>
    </row>
    <row r="15" spans="1:13" ht="17.25" customHeight="1" x14ac:dyDescent="0.3">
      <c r="A15" s="84" t="s">
        <v>109</v>
      </c>
      <c r="B15" s="66" t="s">
        <v>1</v>
      </c>
      <c r="C15" s="87" t="s">
        <v>207</v>
      </c>
      <c r="D15" s="65" t="s">
        <v>11</v>
      </c>
      <c r="E15" s="67"/>
      <c r="F15" s="67"/>
      <c r="H15" s="193" t="s">
        <v>109</v>
      </c>
      <c r="I15" s="184" t="s">
        <v>1</v>
      </c>
      <c r="J15" s="194">
        <f>J9-J14</f>
        <v>404.09999999999997</v>
      </c>
      <c r="K15" s="185" t="s">
        <v>11</v>
      </c>
      <c r="L15" s="186"/>
      <c r="M15" s="186"/>
    </row>
    <row r="16" spans="1:13" ht="15.75" customHeight="1" x14ac:dyDescent="0.3">
      <c r="A16" s="85" t="s">
        <v>111</v>
      </c>
      <c r="B16" s="74" t="s">
        <v>1</v>
      </c>
      <c r="C16" s="112" t="s">
        <v>208</v>
      </c>
      <c r="D16" s="75" t="s">
        <v>0</v>
      </c>
      <c r="E16" s="76"/>
      <c r="F16" s="76"/>
      <c r="H16" s="195" t="s">
        <v>111</v>
      </c>
      <c r="I16" s="196" t="s">
        <v>1</v>
      </c>
      <c r="J16" s="197">
        <f>J10*J15/(J9+(J11*(1-J11)*J14))</f>
        <v>761.73846736028156</v>
      </c>
      <c r="K16" s="198" t="s">
        <v>0</v>
      </c>
      <c r="L16" s="199"/>
      <c r="M16" s="199"/>
    </row>
    <row r="17" spans="1:13" ht="16.5" x14ac:dyDescent="0.3">
      <c r="A17" s="84" t="s">
        <v>112</v>
      </c>
      <c r="B17" s="77" t="s">
        <v>1</v>
      </c>
      <c r="C17" s="78" t="s">
        <v>209</v>
      </c>
      <c r="D17" s="79" t="s">
        <v>13</v>
      </c>
      <c r="E17" s="67"/>
      <c r="F17" s="67"/>
      <c r="H17" s="193" t="s">
        <v>112</v>
      </c>
      <c r="I17" s="200" t="s">
        <v>1</v>
      </c>
      <c r="J17" s="201">
        <f>(J8+459.67)/J15</f>
        <v>1.3849789656025739</v>
      </c>
      <c r="K17" s="202" t="s">
        <v>13</v>
      </c>
      <c r="L17" s="186"/>
      <c r="M17" s="186"/>
    </row>
    <row r="18" spans="1:13" ht="16.5" x14ac:dyDescent="0.3">
      <c r="A18" s="83" t="s">
        <v>113</v>
      </c>
      <c r="B18" s="66" t="s">
        <v>1</v>
      </c>
      <c r="C18" s="73" t="s">
        <v>210</v>
      </c>
      <c r="D18" s="65" t="s">
        <v>13</v>
      </c>
      <c r="E18" s="67"/>
      <c r="F18" s="67"/>
      <c r="H18" s="187" t="s">
        <v>113</v>
      </c>
      <c r="I18" s="200" t="s">
        <v>1</v>
      </c>
      <c r="J18" s="201">
        <f>J7/J16</f>
        <v>1.3127865308750741</v>
      </c>
      <c r="K18" s="202" t="s">
        <v>13</v>
      </c>
      <c r="L18" s="186"/>
      <c r="M18" s="186"/>
    </row>
    <row r="19" spans="1:13" ht="18.75" x14ac:dyDescent="0.35">
      <c r="A19" s="86" t="s">
        <v>114</v>
      </c>
      <c r="B19" s="77" t="s">
        <v>1</v>
      </c>
      <c r="C19" s="78">
        <v>0.83099999999999996</v>
      </c>
      <c r="D19" s="79" t="s">
        <v>13</v>
      </c>
      <c r="E19" s="67"/>
      <c r="F19" s="67"/>
      <c r="H19" s="203" t="s">
        <v>114</v>
      </c>
      <c r="I19" s="200" t="s">
        <v>1</v>
      </c>
      <c r="J19" s="89">
        <v>0.83099999999999996</v>
      </c>
      <c r="K19" s="202" t="s">
        <v>13</v>
      </c>
      <c r="L19" s="186"/>
      <c r="M19" s="186"/>
    </row>
    <row r="22" spans="1:13" x14ac:dyDescent="0.25">
      <c r="A22" s="165" t="s">
        <v>126</v>
      </c>
    </row>
    <row r="23" spans="1:13" x14ac:dyDescent="0.25">
      <c r="A23" s="165" t="s">
        <v>269</v>
      </c>
    </row>
    <row r="24" spans="1:13" x14ac:dyDescent="0.25">
      <c r="A24" s="165" t="s">
        <v>270</v>
      </c>
    </row>
    <row r="25" spans="1:13" x14ac:dyDescent="0.25">
      <c r="A25" s="165" t="s">
        <v>271</v>
      </c>
    </row>
    <row r="26" spans="1:13" x14ac:dyDescent="0.25">
      <c r="A26" s="166" t="s">
        <v>272</v>
      </c>
    </row>
  </sheetData>
  <sheetProtection password="E156" sheet="1" objects="1" scenarios="1"/>
  <mergeCells count="2">
    <mergeCell ref="A5:F5"/>
    <mergeCell ref="H5:M5"/>
  </mergeCells>
  <pageMargins left="0.7" right="0.7" top="0.75" bottom="0.75" header="0.3" footer="0.3"/>
  <pageSetup paperSize="201" scale="48" orientation="portrait" r:id="rId1"/>
  <headerFooter>
    <oddHeader>&amp;CCALCULATION SPREADSHEET FOR GPSA ENGINEERING DATA BOOK 13th EDITION
EXAMPLE 23-2</oddHeader>
  </headerFooter>
  <ignoredErrors>
    <ignoredError sqref="J15:J18"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M43"/>
  <sheetViews>
    <sheetView zoomScaleNormal="100" workbookViewId="0">
      <selection activeCell="G24" sqref="G24"/>
    </sheetView>
  </sheetViews>
  <sheetFormatPr defaultRowHeight="15" x14ac:dyDescent="0.25"/>
  <cols>
    <col min="1" max="1" width="35.7109375" style="152" customWidth="1"/>
    <col min="2" max="2" width="12.28515625" style="151" bestFit="1" customWidth="1"/>
    <col min="3" max="3" width="38.28515625" style="151" bestFit="1" customWidth="1"/>
    <col min="4" max="4" width="9.42578125" style="152" bestFit="1" customWidth="1"/>
    <col min="5" max="5" width="21.5703125" style="152" customWidth="1"/>
    <col min="6" max="6" width="12.42578125" style="152" bestFit="1" customWidth="1"/>
    <col min="7" max="7" width="5.85546875" style="152" customWidth="1"/>
    <col min="8" max="8" width="44.42578125" style="152" customWidth="1"/>
    <col min="9" max="9" width="13.42578125" style="151" customWidth="1"/>
    <col min="10" max="10" width="12.85546875" style="151" customWidth="1"/>
    <col min="11" max="11" width="13" style="152" customWidth="1"/>
    <col min="12" max="12" width="19.42578125" style="152" customWidth="1"/>
    <col min="13" max="13" width="17" style="152" customWidth="1"/>
    <col min="14" max="16384" width="9.140625" style="152"/>
  </cols>
  <sheetData>
    <row r="1" spans="1:13" x14ac:dyDescent="0.25">
      <c r="A1" s="150" t="s">
        <v>264</v>
      </c>
    </row>
    <row r="5" spans="1:13" s="153" customFormat="1" x14ac:dyDescent="0.2">
      <c r="A5" s="93" t="s">
        <v>153</v>
      </c>
      <c r="B5" s="137"/>
      <c r="C5" s="137"/>
      <c r="D5" s="137"/>
      <c r="E5" s="137"/>
      <c r="F5" s="137"/>
      <c r="H5" s="204" t="s">
        <v>153</v>
      </c>
      <c r="I5" s="159"/>
      <c r="J5" s="159"/>
      <c r="K5" s="159"/>
      <c r="L5" s="159"/>
      <c r="M5" s="159"/>
    </row>
    <row r="6" spans="1:13" s="153" customFormat="1" ht="12.75" customHeight="1" x14ac:dyDescent="0.25">
      <c r="A6" s="136" t="s">
        <v>18</v>
      </c>
      <c r="B6" s="27" t="s">
        <v>1</v>
      </c>
      <c r="C6" s="37">
        <v>120</v>
      </c>
      <c r="D6" s="15" t="s">
        <v>130</v>
      </c>
      <c r="E6" s="137"/>
      <c r="F6" s="137"/>
      <c r="H6" s="208" t="s">
        <v>18</v>
      </c>
      <c r="I6" s="159" t="s">
        <v>1</v>
      </c>
      <c r="J6" s="94">
        <v>120</v>
      </c>
      <c r="K6" s="159" t="s">
        <v>130</v>
      </c>
      <c r="L6" s="159"/>
      <c r="M6" s="159"/>
    </row>
    <row r="7" spans="1:13" s="153" customFormat="1" x14ac:dyDescent="0.25">
      <c r="A7" s="136" t="s">
        <v>17</v>
      </c>
      <c r="B7" s="27" t="s">
        <v>1</v>
      </c>
      <c r="C7" s="37">
        <v>1760</v>
      </c>
      <c r="D7" s="15" t="s">
        <v>0</v>
      </c>
      <c r="E7" s="137"/>
      <c r="F7" s="137"/>
      <c r="H7" s="208" t="s">
        <v>17</v>
      </c>
      <c r="I7" s="159" t="s">
        <v>1</v>
      </c>
      <c r="J7" s="94">
        <v>1760</v>
      </c>
      <c r="K7" s="159" t="s">
        <v>0</v>
      </c>
      <c r="L7" s="159"/>
      <c r="M7" s="159"/>
    </row>
    <row r="8" spans="1:13" ht="21" customHeight="1" x14ac:dyDescent="0.25">
      <c r="A8" s="5" t="s">
        <v>62</v>
      </c>
      <c r="B8" s="140"/>
      <c r="C8" s="140"/>
      <c r="D8" s="140"/>
      <c r="E8" s="20"/>
      <c r="F8" s="20"/>
      <c r="H8" s="168" t="s">
        <v>62</v>
      </c>
      <c r="I8" s="212"/>
      <c r="J8" s="212"/>
      <c r="K8" s="212"/>
      <c r="L8" s="212"/>
      <c r="M8" s="212"/>
    </row>
    <row r="9" spans="1:13" s="153" customFormat="1" x14ac:dyDescent="0.2">
      <c r="A9" s="90" t="s">
        <v>63</v>
      </c>
      <c r="B9" s="21" t="s">
        <v>64</v>
      </c>
      <c r="C9" s="16" t="s">
        <v>65</v>
      </c>
      <c r="D9" s="18" t="s">
        <v>66</v>
      </c>
      <c r="E9" s="21" t="s">
        <v>67</v>
      </c>
      <c r="F9" s="21" t="s">
        <v>68</v>
      </c>
      <c r="H9" s="216" t="s">
        <v>63</v>
      </c>
      <c r="I9" s="217" t="s">
        <v>64</v>
      </c>
      <c r="J9" s="218" t="s">
        <v>65</v>
      </c>
      <c r="K9" s="218" t="s">
        <v>66</v>
      </c>
      <c r="L9" s="217" t="s">
        <v>67</v>
      </c>
      <c r="M9" s="217" t="s">
        <v>68</v>
      </c>
    </row>
    <row r="10" spans="1:13" x14ac:dyDescent="0.25">
      <c r="A10" s="54" t="s">
        <v>69</v>
      </c>
      <c r="B10" s="22">
        <v>0.20896000000000001</v>
      </c>
      <c r="C10" s="4">
        <v>16.042999999999999</v>
      </c>
      <c r="D10" s="23">
        <f>B10*C10</f>
        <v>3.3523452799999998</v>
      </c>
      <c r="E10" s="58" t="s">
        <v>81</v>
      </c>
      <c r="F10" s="58" t="s">
        <v>81</v>
      </c>
      <c r="H10" s="156" t="s">
        <v>69</v>
      </c>
      <c r="I10" s="95">
        <v>0.20896000000000001</v>
      </c>
      <c r="J10" s="163">
        <v>16.042999999999999</v>
      </c>
      <c r="K10" s="163">
        <f>I10*J10</f>
        <v>3.3523452799999998</v>
      </c>
      <c r="L10" s="157" t="s">
        <v>81</v>
      </c>
      <c r="M10" s="157" t="s">
        <v>81</v>
      </c>
    </row>
    <row r="11" spans="1:13" x14ac:dyDescent="0.25">
      <c r="A11" s="54" t="s">
        <v>70</v>
      </c>
      <c r="B11" s="22">
        <v>0.39729999999999999</v>
      </c>
      <c r="C11" s="4">
        <v>44.01</v>
      </c>
      <c r="D11" s="23">
        <f t="shared" ref="D11:D20" si="0">B11*C11</f>
        <v>17.485173</v>
      </c>
      <c r="E11" s="58">
        <v>51.015999999999998</v>
      </c>
      <c r="F11" s="24">
        <f>D11/E11</f>
        <v>0.34273900344989805</v>
      </c>
      <c r="H11" s="156" t="s">
        <v>70</v>
      </c>
      <c r="I11" s="95">
        <v>0.39729999999999999</v>
      </c>
      <c r="J11" s="163">
        <v>44.01</v>
      </c>
      <c r="K11" s="163">
        <f t="shared" ref="K11:K20" si="1">I11*J11</f>
        <v>17.485173</v>
      </c>
      <c r="L11" s="157">
        <v>51.015999999999998</v>
      </c>
      <c r="M11" s="221">
        <f>K11/L11</f>
        <v>0.34273900344989805</v>
      </c>
    </row>
    <row r="12" spans="1:13" x14ac:dyDescent="0.25">
      <c r="A12" s="54" t="s">
        <v>71</v>
      </c>
      <c r="B12" s="22">
        <v>1.8859999999999998E-2</v>
      </c>
      <c r="C12" s="4">
        <v>30.07</v>
      </c>
      <c r="D12" s="23">
        <f t="shared" si="0"/>
        <v>0.56712019999999996</v>
      </c>
      <c r="E12" s="58" t="s">
        <v>81</v>
      </c>
      <c r="F12" s="24" t="s">
        <v>81</v>
      </c>
      <c r="H12" s="156" t="s">
        <v>71</v>
      </c>
      <c r="I12" s="95">
        <v>1.8859999999999998E-2</v>
      </c>
      <c r="J12" s="163">
        <v>30.07</v>
      </c>
      <c r="K12" s="163">
        <f t="shared" si="1"/>
        <v>0.56712019999999996</v>
      </c>
      <c r="L12" s="157" t="s">
        <v>81</v>
      </c>
      <c r="M12" s="221" t="s">
        <v>81</v>
      </c>
    </row>
    <row r="13" spans="1:13" x14ac:dyDescent="0.25">
      <c r="A13" s="54" t="s">
        <v>72</v>
      </c>
      <c r="B13" s="22">
        <v>2.3869999999999999E-2</v>
      </c>
      <c r="C13" s="4">
        <v>44.097000000000001</v>
      </c>
      <c r="D13" s="23">
        <f t="shared" si="0"/>
        <v>1.05259539</v>
      </c>
      <c r="E13" s="58">
        <v>31.619</v>
      </c>
      <c r="F13" s="24">
        <f t="shared" ref="F13:F20" si="2">D13/E13</f>
        <v>3.328996457825991E-2</v>
      </c>
      <c r="H13" s="156" t="s">
        <v>72</v>
      </c>
      <c r="I13" s="95">
        <v>2.3869999999999999E-2</v>
      </c>
      <c r="J13" s="163">
        <v>44.097000000000001</v>
      </c>
      <c r="K13" s="163">
        <f t="shared" si="1"/>
        <v>1.05259539</v>
      </c>
      <c r="L13" s="157">
        <v>31.619</v>
      </c>
      <c r="M13" s="221">
        <f t="shared" ref="M13:M20" si="3">K13/L13</f>
        <v>3.328996457825991E-2</v>
      </c>
    </row>
    <row r="14" spans="1:13" x14ac:dyDescent="0.25">
      <c r="A14" s="54" t="s">
        <v>73</v>
      </c>
      <c r="B14" s="22">
        <v>3.5860000000000003E-2</v>
      </c>
      <c r="C14" s="4">
        <v>58.122999999999998</v>
      </c>
      <c r="D14" s="23">
        <f t="shared" si="0"/>
        <v>2.0842907799999999</v>
      </c>
      <c r="E14" s="58">
        <v>36.423000000000002</v>
      </c>
      <c r="F14" s="24">
        <f t="shared" si="2"/>
        <v>5.7224577327512828E-2</v>
      </c>
      <c r="H14" s="156" t="s">
        <v>73</v>
      </c>
      <c r="I14" s="95">
        <v>3.5860000000000003E-2</v>
      </c>
      <c r="J14" s="163">
        <v>58.122999999999998</v>
      </c>
      <c r="K14" s="163">
        <f t="shared" si="1"/>
        <v>2.0842907799999999</v>
      </c>
      <c r="L14" s="157">
        <v>36.423000000000002</v>
      </c>
      <c r="M14" s="221">
        <f t="shared" si="3"/>
        <v>5.7224577327512828E-2</v>
      </c>
    </row>
    <row r="15" spans="1:13" s="176" customFormat="1" x14ac:dyDescent="0.25">
      <c r="A15" s="54" t="s">
        <v>74</v>
      </c>
      <c r="B15" s="22">
        <v>2.4469999999999999E-2</v>
      </c>
      <c r="C15" s="4">
        <v>72.150000000000006</v>
      </c>
      <c r="D15" s="23">
        <f t="shared" si="0"/>
        <v>1.7655105</v>
      </c>
      <c r="E15" s="58">
        <v>39.36</v>
      </c>
      <c r="F15" s="24">
        <f t="shared" si="2"/>
        <v>4.4855449695121952E-2</v>
      </c>
      <c r="H15" s="156" t="s">
        <v>74</v>
      </c>
      <c r="I15" s="95">
        <v>2.4469999999999999E-2</v>
      </c>
      <c r="J15" s="163">
        <v>72.150000000000006</v>
      </c>
      <c r="K15" s="163">
        <f t="shared" si="1"/>
        <v>1.7655105</v>
      </c>
      <c r="L15" s="157">
        <v>39.36</v>
      </c>
      <c r="M15" s="221">
        <f t="shared" si="3"/>
        <v>4.4855449695121952E-2</v>
      </c>
    </row>
    <row r="16" spans="1:13" x14ac:dyDescent="0.25">
      <c r="A16" s="54" t="s">
        <v>75</v>
      </c>
      <c r="B16" s="22">
        <v>1.8440000000000002E-2</v>
      </c>
      <c r="C16" s="4">
        <v>86.177000000000007</v>
      </c>
      <c r="D16" s="23">
        <f t="shared" si="0"/>
        <v>1.5891038800000004</v>
      </c>
      <c r="E16" s="58">
        <v>41.4</v>
      </c>
      <c r="F16" s="24">
        <f t="shared" si="2"/>
        <v>3.8384151690821267E-2</v>
      </c>
      <c r="H16" s="156" t="s">
        <v>75</v>
      </c>
      <c r="I16" s="95">
        <v>1.8440000000000002E-2</v>
      </c>
      <c r="J16" s="163">
        <v>86.177000000000007</v>
      </c>
      <c r="K16" s="163">
        <f t="shared" si="1"/>
        <v>1.5891038800000004</v>
      </c>
      <c r="L16" s="157">
        <v>41.4</v>
      </c>
      <c r="M16" s="221">
        <f t="shared" si="3"/>
        <v>3.8384151690821267E-2</v>
      </c>
    </row>
    <row r="17" spans="1:13" x14ac:dyDescent="0.25">
      <c r="A17" s="54" t="s">
        <v>80</v>
      </c>
      <c r="B17" s="22">
        <v>2.9829999999999999E-2</v>
      </c>
      <c r="C17" s="4">
        <v>100.20399999999999</v>
      </c>
      <c r="D17" s="23">
        <f t="shared" si="0"/>
        <v>2.9890853199999996</v>
      </c>
      <c r="E17" s="58">
        <v>42.92</v>
      </c>
      <c r="F17" s="24">
        <f t="shared" si="2"/>
        <v>6.9643180801491136E-2</v>
      </c>
      <c r="H17" s="156" t="s">
        <v>80</v>
      </c>
      <c r="I17" s="95">
        <v>2.9829999999999999E-2</v>
      </c>
      <c r="J17" s="163">
        <v>100.20399999999999</v>
      </c>
      <c r="K17" s="163">
        <f t="shared" si="1"/>
        <v>2.9890853199999996</v>
      </c>
      <c r="L17" s="157">
        <v>42.92</v>
      </c>
      <c r="M17" s="221">
        <f t="shared" si="3"/>
        <v>6.9643180801491136E-2</v>
      </c>
    </row>
    <row r="18" spans="1:13" x14ac:dyDescent="0.25">
      <c r="A18" s="54" t="s">
        <v>76</v>
      </c>
      <c r="B18" s="22">
        <v>2.9950000000000001E-2</v>
      </c>
      <c r="C18" s="4">
        <v>114.23099999999999</v>
      </c>
      <c r="D18" s="23">
        <f t="shared" si="0"/>
        <v>3.42121845</v>
      </c>
      <c r="E18" s="58">
        <v>44.09</v>
      </c>
      <c r="F18" s="24">
        <f t="shared" si="2"/>
        <v>7.7596245180312995E-2</v>
      </c>
      <c r="H18" s="156" t="s">
        <v>76</v>
      </c>
      <c r="I18" s="95">
        <v>2.9950000000000001E-2</v>
      </c>
      <c r="J18" s="163">
        <v>114.23099999999999</v>
      </c>
      <c r="K18" s="163">
        <f t="shared" si="1"/>
        <v>3.42121845</v>
      </c>
      <c r="L18" s="157">
        <v>44.09</v>
      </c>
      <c r="M18" s="221">
        <f t="shared" si="3"/>
        <v>7.7596245180312995E-2</v>
      </c>
    </row>
    <row r="19" spans="1:13" ht="18.75" customHeight="1" x14ac:dyDescent="0.25">
      <c r="A19" s="56" t="s">
        <v>77</v>
      </c>
      <c r="B19" s="25">
        <v>0.18207999999999999</v>
      </c>
      <c r="C19" s="26">
        <v>142.285</v>
      </c>
      <c r="D19" s="23">
        <f t="shared" si="0"/>
        <v>25.907252799999998</v>
      </c>
      <c r="E19" s="27">
        <v>45.79</v>
      </c>
      <c r="F19" s="24">
        <f t="shared" si="2"/>
        <v>0.56578407512557327</v>
      </c>
      <c r="H19" s="224" t="s">
        <v>77</v>
      </c>
      <c r="I19" s="96">
        <v>0.18207999999999999</v>
      </c>
      <c r="J19" s="225">
        <v>142.285</v>
      </c>
      <c r="K19" s="163">
        <f t="shared" si="1"/>
        <v>25.907252799999998</v>
      </c>
      <c r="L19" s="226">
        <v>45.79</v>
      </c>
      <c r="M19" s="221">
        <f t="shared" si="3"/>
        <v>0.56578407512557327</v>
      </c>
    </row>
    <row r="20" spans="1:13" ht="16.5" customHeight="1" thickBot="1" x14ac:dyDescent="0.3">
      <c r="A20" s="55" t="s">
        <v>78</v>
      </c>
      <c r="B20" s="100">
        <v>3.0380000000000001E-2</v>
      </c>
      <c r="C20" s="28">
        <v>198.39400000000001</v>
      </c>
      <c r="D20" s="101">
        <f t="shared" si="0"/>
        <v>6.0272097200000001</v>
      </c>
      <c r="E20" s="58">
        <v>47.85</v>
      </c>
      <c r="F20" s="24">
        <f t="shared" si="2"/>
        <v>0.12596049571577847</v>
      </c>
      <c r="H20" s="179" t="s">
        <v>78</v>
      </c>
      <c r="I20" s="99">
        <v>3.0380000000000001E-2</v>
      </c>
      <c r="J20" s="228">
        <v>198.39400000000001</v>
      </c>
      <c r="K20" s="173">
        <f t="shared" si="1"/>
        <v>6.0272097200000001</v>
      </c>
      <c r="L20" s="157">
        <v>47.85</v>
      </c>
      <c r="M20" s="221">
        <f t="shared" si="3"/>
        <v>0.12596049571577847</v>
      </c>
    </row>
    <row r="21" spans="1:13" ht="15.75" thickTop="1" x14ac:dyDescent="0.25">
      <c r="A21" s="54" t="s">
        <v>79</v>
      </c>
      <c r="B21" s="22">
        <f>SUM(B10:B20)</f>
        <v>1</v>
      </c>
      <c r="C21" s="4"/>
      <c r="D21" s="23">
        <f>SUM(D10:D20)</f>
        <v>66.240905319999996</v>
      </c>
      <c r="E21" s="2"/>
      <c r="F21" s="2"/>
      <c r="H21" s="156" t="s">
        <v>79</v>
      </c>
      <c r="I21" s="229">
        <f>SUM(I10:I20)</f>
        <v>1</v>
      </c>
      <c r="J21" s="163"/>
      <c r="K21" s="163">
        <f>SUM(K10:K20)</f>
        <v>66.240905319999996</v>
      </c>
      <c r="L21" s="158"/>
      <c r="M21" s="158"/>
    </row>
    <row r="22" spans="1:13" ht="13.5" customHeight="1" x14ac:dyDescent="0.25">
      <c r="A22" s="19"/>
      <c r="B22" s="16"/>
      <c r="C22" s="17"/>
      <c r="D22" s="18"/>
      <c r="E22" s="2"/>
      <c r="F22" s="2"/>
      <c r="H22" s="230"/>
      <c r="I22" s="218"/>
      <c r="J22" s="231"/>
      <c r="K22" s="232"/>
      <c r="L22" s="158"/>
      <c r="M22" s="158"/>
    </row>
    <row r="23" spans="1:13" ht="18.75" x14ac:dyDescent="0.3">
      <c r="A23" s="91" t="s">
        <v>243</v>
      </c>
      <c r="B23" s="27" t="s">
        <v>1</v>
      </c>
      <c r="C23" s="29" t="s">
        <v>196</v>
      </c>
      <c r="D23" s="27" t="s">
        <v>115</v>
      </c>
      <c r="E23" s="15"/>
      <c r="F23" s="15"/>
      <c r="H23" s="234" t="s">
        <v>243</v>
      </c>
      <c r="I23" s="226" t="s">
        <v>1</v>
      </c>
      <c r="J23" s="235">
        <f>(K13+K14+K15+K16+K17+K18+K19+K20)/(M13+M14+M15+M16+M17+M18+M19+M20)</f>
        <v>44.27231982683535</v>
      </c>
      <c r="K23" s="180" t="s">
        <v>115</v>
      </c>
      <c r="L23" s="180"/>
      <c r="M23" s="180"/>
    </row>
    <row r="24" spans="1:13" ht="18.75" x14ac:dyDescent="0.3">
      <c r="A24" s="91" t="s">
        <v>244</v>
      </c>
      <c r="B24" s="27" t="s">
        <v>1</v>
      </c>
      <c r="C24" s="30" t="s">
        <v>197</v>
      </c>
      <c r="D24" s="27" t="s">
        <v>82</v>
      </c>
      <c r="E24" s="15"/>
      <c r="F24" s="15"/>
      <c r="H24" s="234" t="s">
        <v>244</v>
      </c>
      <c r="I24" s="226" t="s">
        <v>1</v>
      </c>
      <c r="J24" s="236">
        <f>(100*K12)/((K12+(K13+K14+K15+K16+K17+K18+K19+K20)))</f>
        <v>1.2490702499801873</v>
      </c>
      <c r="K24" s="180" t="s">
        <v>82</v>
      </c>
      <c r="L24" s="180"/>
      <c r="M24" s="180"/>
    </row>
    <row r="25" spans="1:13" ht="18.75" x14ac:dyDescent="0.3">
      <c r="A25" s="91" t="s">
        <v>245</v>
      </c>
      <c r="B25" s="27" t="s">
        <v>7</v>
      </c>
      <c r="C25" s="29" t="s">
        <v>198</v>
      </c>
      <c r="D25" s="27" t="s">
        <v>115</v>
      </c>
      <c r="E25" s="15"/>
      <c r="F25" s="15"/>
      <c r="H25" s="234" t="s">
        <v>245</v>
      </c>
      <c r="I25" s="226" t="s">
        <v>7</v>
      </c>
      <c r="J25" s="235">
        <f>((K12+K13+K14+K15+K16+K17+K18+K19+K20)+K11)/(((K12+K13+K14+K15+K16+K17+K18+K19+K20)/J11)+M11)</f>
        <v>45.757111460160985</v>
      </c>
      <c r="K25" s="180" t="s">
        <v>115</v>
      </c>
      <c r="L25" s="180"/>
      <c r="M25" s="180"/>
    </row>
    <row r="26" spans="1:13" ht="16.5" x14ac:dyDescent="0.3">
      <c r="A26" s="91" t="s">
        <v>246</v>
      </c>
      <c r="B26" s="27" t="s">
        <v>1</v>
      </c>
      <c r="C26" s="31" t="s">
        <v>199</v>
      </c>
      <c r="D26" s="27" t="s">
        <v>82</v>
      </c>
      <c r="E26" s="32"/>
      <c r="F26" s="15"/>
      <c r="H26" s="234" t="s">
        <v>246</v>
      </c>
      <c r="I26" s="226" t="s">
        <v>1</v>
      </c>
      <c r="J26" s="237">
        <f>100*K10/K21</f>
        <v>5.0608385616188611</v>
      </c>
      <c r="K26" s="180" t="s">
        <v>82</v>
      </c>
      <c r="L26" s="238"/>
      <c r="M26" s="180"/>
    </row>
    <row r="27" spans="1:13" ht="18" x14ac:dyDescent="0.25">
      <c r="A27" s="92" t="s">
        <v>201</v>
      </c>
      <c r="B27" s="13" t="s">
        <v>1</v>
      </c>
      <c r="C27" s="13">
        <v>42.9</v>
      </c>
      <c r="D27" s="13" t="s">
        <v>115</v>
      </c>
      <c r="E27" s="15" t="s">
        <v>202</v>
      </c>
      <c r="F27" s="15"/>
      <c r="H27" s="240" t="s">
        <v>201</v>
      </c>
      <c r="I27" s="241" t="s">
        <v>1</v>
      </c>
      <c r="J27" s="97">
        <v>42.9</v>
      </c>
      <c r="K27" s="242" t="s">
        <v>115</v>
      </c>
      <c r="L27" s="180" t="s">
        <v>202</v>
      </c>
      <c r="M27" s="180"/>
    </row>
    <row r="28" spans="1:13" ht="18" x14ac:dyDescent="0.25">
      <c r="A28" s="56" t="s">
        <v>203</v>
      </c>
      <c r="B28" s="27" t="s">
        <v>1</v>
      </c>
      <c r="C28" s="13">
        <v>0.7</v>
      </c>
      <c r="D28" s="13" t="s">
        <v>115</v>
      </c>
      <c r="E28" s="15" t="s">
        <v>200</v>
      </c>
      <c r="F28" s="15"/>
      <c r="H28" s="224" t="s">
        <v>203</v>
      </c>
      <c r="I28" s="226" t="s">
        <v>1</v>
      </c>
      <c r="J28" s="97">
        <v>0.7</v>
      </c>
      <c r="K28" s="242" t="s">
        <v>115</v>
      </c>
      <c r="L28" s="180" t="s">
        <v>200</v>
      </c>
      <c r="M28" s="180"/>
    </row>
    <row r="29" spans="1:13" ht="18" x14ac:dyDescent="0.25">
      <c r="A29" s="91" t="s">
        <v>83</v>
      </c>
      <c r="B29" s="27" t="s">
        <v>1</v>
      </c>
      <c r="C29" s="27" t="s">
        <v>204</v>
      </c>
      <c r="D29" s="13" t="s">
        <v>115</v>
      </c>
      <c r="E29" s="15"/>
      <c r="F29" s="15"/>
      <c r="H29" s="234" t="s">
        <v>83</v>
      </c>
      <c r="I29" s="226" t="s">
        <v>1</v>
      </c>
      <c r="J29" s="226">
        <f>J27+J28</f>
        <v>43.6</v>
      </c>
      <c r="K29" s="242" t="s">
        <v>115</v>
      </c>
      <c r="L29" s="180"/>
      <c r="M29" s="180"/>
    </row>
    <row r="30" spans="1:13" ht="18" x14ac:dyDescent="0.25">
      <c r="A30" s="91" t="s">
        <v>84</v>
      </c>
      <c r="B30" s="27" t="s">
        <v>1</v>
      </c>
      <c r="C30" s="27">
        <v>-1.8</v>
      </c>
      <c r="D30" s="13" t="s">
        <v>115</v>
      </c>
      <c r="E30" s="15"/>
      <c r="F30" s="15"/>
      <c r="H30" s="234" t="s">
        <v>84</v>
      </c>
      <c r="I30" s="226" t="s">
        <v>1</v>
      </c>
      <c r="J30" s="98">
        <v>-1.8</v>
      </c>
      <c r="K30" s="242" t="s">
        <v>115</v>
      </c>
      <c r="L30" s="180"/>
      <c r="M30" s="180"/>
    </row>
    <row r="31" spans="1:13" ht="18" x14ac:dyDescent="0.25">
      <c r="A31" s="91" t="s">
        <v>83</v>
      </c>
      <c r="B31" s="27" t="s">
        <v>1</v>
      </c>
      <c r="C31" s="27" t="s">
        <v>205</v>
      </c>
      <c r="D31" s="13" t="s">
        <v>115</v>
      </c>
      <c r="E31" s="15"/>
      <c r="F31" s="15"/>
      <c r="H31" s="234" t="s">
        <v>83</v>
      </c>
      <c r="I31" s="226" t="s">
        <v>1</v>
      </c>
      <c r="J31" s="226">
        <f>J29+J30</f>
        <v>41.800000000000004</v>
      </c>
      <c r="K31" s="242" t="s">
        <v>115</v>
      </c>
      <c r="L31" s="180"/>
      <c r="M31" s="180"/>
    </row>
    <row r="32" spans="1:13" x14ac:dyDescent="0.25">
      <c r="A32" s="15"/>
      <c r="B32" s="27"/>
      <c r="C32" s="27"/>
      <c r="D32" s="15"/>
      <c r="E32" s="15"/>
      <c r="F32" s="15"/>
      <c r="H32" s="180"/>
      <c r="I32" s="226"/>
      <c r="J32" s="226"/>
      <c r="K32" s="180"/>
      <c r="L32" s="180"/>
      <c r="M32" s="180"/>
    </row>
    <row r="33" spans="1:13" x14ac:dyDescent="0.25">
      <c r="A33" s="15" t="s">
        <v>85</v>
      </c>
      <c r="B33" s="27"/>
      <c r="C33" s="27"/>
      <c r="D33" s="15"/>
      <c r="E33" s="15"/>
      <c r="F33" s="15"/>
      <c r="H33" s="180" t="s">
        <v>85</v>
      </c>
      <c r="I33" s="226"/>
      <c r="J33" s="226"/>
      <c r="K33" s="180"/>
      <c r="L33" s="180"/>
      <c r="M33" s="180"/>
    </row>
    <row r="34" spans="1:13" ht="35.25" customHeight="1" x14ac:dyDescent="0.25">
      <c r="A34" s="306" t="s">
        <v>247</v>
      </c>
      <c r="B34" s="306"/>
      <c r="C34" s="306"/>
      <c r="D34" s="306"/>
      <c r="E34" s="306"/>
      <c r="F34" s="306"/>
      <c r="H34" s="307" t="s">
        <v>247</v>
      </c>
      <c r="I34" s="307"/>
      <c r="J34" s="307"/>
      <c r="K34" s="307"/>
      <c r="L34" s="307"/>
      <c r="M34" s="307"/>
    </row>
    <row r="35" spans="1:13" x14ac:dyDescent="0.25">
      <c r="A35" s="306" t="s">
        <v>116</v>
      </c>
      <c r="B35" s="306"/>
      <c r="C35" s="306"/>
      <c r="D35" s="306"/>
      <c r="E35" s="306"/>
      <c r="F35" s="306"/>
      <c r="H35" s="307" t="s">
        <v>116</v>
      </c>
      <c r="I35" s="307"/>
      <c r="J35" s="307"/>
      <c r="K35" s="307"/>
      <c r="L35" s="307"/>
      <c r="M35" s="307"/>
    </row>
    <row r="36" spans="1:13" x14ac:dyDescent="0.25">
      <c r="A36" s="139"/>
      <c r="B36" s="139"/>
      <c r="C36" s="139"/>
      <c r="D36" s="139"/>
      <c r="E36" s="139"/>
      <c r="F36" s="139"/>
      <c r="H36" s="243"/>
      <c r="I36" s="243"/>
      <c r="J36" s="243"/>
      <c r="K36" s="243"/>
      <c r="L36" s="243"/>
      <c r="M36" s="243"/>
    </row>
    <row r="39" spans="1:13" x14ac:dyDescent="0.25">
      <c r="A39" s="165" t="s">
        <v>126</v>
      </c>
    </row>
    <row r="40" spans="1:13" x14ac:dyDescent="0.25">
      <c r="A40" s="165" t="s">
        <v>269</v>
      </c>
    </row>
    <row r="41" spans="1:13" x14ac:dyDescent="0.25">
      <c r="A41" s="165" t="s">
        <v>270</v>
      </c>
    </row>
    <row r="42" spans="1:13" x14ac:dyDescent="0.25">
      <c r="A42" s="165" t="s">
        <v>271</v>
      </c>
    </row>
    <row r="43" spans="1:13" x14ac:dyDescent="0.25">
      <c r="A43" s="166" t="s">
        <v>272</v>
      </c>
    </row>
  </sheetData>
  <sheetProtection password="E156" sheet="1" objects="1" scenarios="1"/>
  <mergeCells count="4">
    <mergeCell ref="A34:F34"/>
    <mergeCell ref="A35:F35"/>
    <mergeCell ref="H34:M34"/>
    <mergeCell ref="H35:M35"/>
  </mergeCells>
  <pageMargins left="0.7" right="0.7" top="0.75" bottom="0.75" header="0.3" footer="0.3"/>
  <pageSetup paperSize="201" scale="46" orientation="portrait" r:id="rId1"/>
  <headerFooter>
    <oddHeader>&amp;CCALCULATION SPREADSHEET FOR GPSA ENGINEERING DATA BOOK 13th EDITION
EXAMPLE 23-3</oddHeader>
  </headerFooter>
  <ignoredErrors>
    <ignoredError sqref="J23:J31 M1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M31"/>
  <sheetViews>
    <sheetView zoomScaleNormal="100" workbookViewId="0">
      <selection activeCell="N19" sqref="N19"/>
    </sheetView>
  </sheetViews>
  <sheetFormatPr defaultRowHeight="15" x14ac:dyDescent="0.25"/>
  <cols>
    <col min="1" max="1" width="35.7109375" style="152" customWidth="1"/>
    <col min="2" max="2" width="11.5703125" style="151" customWidth="1"/>
    <col min="3" max="3" width="28.28515625" style="151" bestFit="1" customWidth="1"/>
    <col min="4" max="4" width="6.140625" style="152" customWidth="1"/>
    <col min="5" max="5" width="16.5703125" style="152" customWidth="1"/>
    <col min="6" max="6" width="14.140625" style="152" hidden="1" customWidth="1"/>
    <col min="7" max="7" width="9.140625" style="152"/>
    <col min="8" max="8" width="35.85546875" style="152" customWidth="1"/>
    <col min="9" max="9" width="11.5703125" style="151" bestFit="1" customWidth="1"/>
    <col min="10" max="10" width="8.42578125" style="151" customWidth="1"/>
    <col min="11" max="11" width="10.7109375" style="152" bestFit="1" customWidth="1"/>
    <col min="12" max="12" width="9.140625" style="152"/>
    <col min="13" max="13" width="18.7109375" style="152" customWidth="1"/>
    <col min="14" max="16384" width="9.140625" style="152"/>
  </cols>
  <sheetData>
    <row r="1" spans="1:13" x14ac:dyDescent="0.25">
      <c r="A1" s="150" t="s">
        <v>264</v>
      </c>
    </row>
    <row r="5" spans="1:13" s="153" customFormat="1" ht="30" customHeight="1" x14ac:dyDescent="0.2">
      <c r="A5" s="308" t="s">
        <v>248</v>
      </c>
      <c r="B5" s="309"/>
      <c r="C5" s="309"/>
      <c r="D5" s="309"/>
      <c r="E5" s="309"/>
      <c r="F5" s="309"/>
      <c r="G5" s="244"/>
      <c r="H5" s="297" t="s">
        <v>248</v>
      </c>
      <c r="I5" s="298"/>
      <c r="J5" s="298"/>
      <c r="K5" s="298"/>
      <c r="L5" s="298"/>
      <c r="M5" s="298"/>
    </row>
    <row r="6" spans="1:13" ht="14.25" customHeight="1" x14ac:dyDescent="0.25">
      <c r="A6" s="209" t="s">
        <v>86</v>
      </c>
      <c r="B6" s="210"/>
      <c r="C6" s="210"/>
      <c r="D6" s="210"/>
      <c r="E6" s="211"/>
      <c r="F6" s="211"/>
      <c r="H6" s="245" t="s">
        <v>86</v>
      </c>
      <c r="I6" s="212"/>
      <c r="J6" s="212"/>
      <c r="K6" s="212"/>
      <c r="L6" s="212"/>
      <c r="M6" s="212"/>
    </row>
    <row r="7" spans="1:13" x14ac:dyDescent="0.25">
      <c r="A7" s="154" t="s">
        <v>87</v>
      </c>
      <c r="B7" s="154" t="s">
        <v>154</v>
      </c>
      <c r="C7" s="154"/>
      <c r="D7" s="154"/>
      <c r="E7" s="154"/>
      <c r="F7" s="154"/>
      <c r="H7" s="157" t="s">
        <v>87</v>
      </c>
      <c r="I7" s="157" t="s">
        <v>154</v>
      </c>
      <c r="J7" s="157"/>
      <c r="K7" s="157"/>
      <c r="L7" s="157"/>
      <c r="M7" s="157"/>
    </row>
    <row r="8" spans="1:13" s="153" customFormat="1" ht="15.75" customHeight="1" x14ac:dyDescent="0.2">
      <c r="A8" s="214" t="s">
        <v>88</v>
      </c>
      <c r="B8" s="246">
        <v>100</v>
      </c>
      <c r="C8" s="214"/>
      <c r="D8" s="215"/>
      <c r="E8" s="213"/>
      <c r="F8" s="213"/>
      <c r="H8" s="218" t="s">
        <v>88</v>
      </c>
      <c r="I8" s="102">
        <v>100</v>
      </c>
      <c r="J8" s="218"/>
      <c r="K8" s="232"/>
      <c r="L8" s="217"/>
      <c r="M8" s="217"/>
    </row>
    <row r="9" spans="1:13" x14ac:dyDescent="0.25">
      <c r="A9" s="154">
        <v>5</v>
      </c>
      <c r="B9" s="247">
        <v>130</v>
      </c>
      <c r="C9" s="162"/>
      <c r="D9" s="248"/>
      <c r="E9" s="154"/>
      <c r="F9" s="154"/>
      <c r="H9" s="157">
        <v>5</v>
      </c>
      <c r="I9" s="103">
        <v>130</v>
      </c>
      <c r="J9" s="163"/>
      <c r="K9" s="249"/>
      <c r="L9" s="157"/>
      <c r="M9" s="157"/>
    </row>
    <row r="10" spans="1:13" x14ac:dyDescent="0.25">
      <c r="A10" s="154">
        <v>10</v>
      </c>
      <c r="B10" s="247">
        <v>153</v>
      </c>
      <c r="C10" s="162"/>
      <c r="D10" s="248"/>
      <c r="E10" s="154"/>
      <c r="F10" s="220"/>
      <c r="H10" s="157">
        <v>10</v>
      </c>
      <c r="I10" s="103">
        <v>153</v>
      </c>
      <c r="J10" s="163"/>
      <c r="K10" s="249"/>
      <c r="L10" s="157"/>
      <c r="M10" s="221"/>
    </row>
    <row r="11" spans="1:13" x14ac:dyDescent="0.25">
      <c r="A11" s="154">
        <v>20</v>
      </c>
      <c r="B11" s="247">
        <v>191</v>
      </c>
      <c r="C11" s="162"/>
      <c r="D11" s="248"/>
      <c r="E11" s="154"/>
      <c r="F11" s="220"/>
      <c r="H11" s="157">
        <v>20</v>
      </c>
      <c r="I11" s="103">
        <v>191</v>
      </c>
      <c r="J11" s="163"/>
      <c r="K11" s="249"/>
      <c r="L11" s="157"/>
      <c r="M11" s="221"/>
    </row>
    <row r="12" spans="1:13" x14ac:dyDescent="0.25">
      <c r="A12" s="154">
        <v>30</v>
      </c>
      <c r="B12" s="247">
        <v>217</v>
      </c>
      <c r="C12" s="162"/>
      <c r="D12" s="248"/>
      <c r="E12" s="154"/>
      <c r="F12" s="220"/>
      <c r="H12" s="157">
        <v>30</v>
      </c>
      <c r="I12" s="103">
        <v>217</v>
      </c>
      <c r="J12" s="163"/>
      <c r="K12" s="249"/>
      <c r="L12" s="157"/>
      <c r="M12" s="221"/>
    </row>
    <row r="13" spans="1:13" x14ac:dyDescent="0.25">
      <c r="A13" s="154">
        <v>40</v>
      </c>
      <c r="B13" s="247">
        <v>244</v>
      </c>
      <c r="C13" s="162"/>
      <c r="D13" s="248"/>
      <c r="E13" s="154"/>
      <c r="F13" s="220"/>
      <c r="H13" s="157">
        <v>40</v>
      </c>
      <c r="I13" s="103">
        <v>244</v>
      </c>
      <c r="J13" s="163"/>
      <c r="K13" s="249"/>
      <c r="L13" s="157"/>
      <c r="M13" s="221"/>
    </row>
    <row r="14" spans="1:13" s="176" customFormat="1" x14ac:dyDescent="0.25">
      <c r="A14" s="154">
        <v>50</v>
      </c>
      <c r="B14" s="247">
        <v>280</v>
      </c>
      <c r="C14" s="162"/>
      <c r="D14" s="248"/>
      <c r="E14" s="154"/>
      <c r="F14" s="220"/>
      <c r="H14" s="157">
        <v>50</v>
      </c>
      <c r="I14" s="103">
        <v>280</v>
      </c>
      <c r="J14" s="163"/>
      <c r="K14" s="249"/>
      <c r="L14" s="157"/>
      <c r="M14" s="221"/>
    </row>
    <row r="15" spans="1:13" x14ac:dyDescent="0.25">
      <c r="A15" s="154">
        <v>60</v>
      </c>
      <c r="B15" s="247">
        <v>319</v>
      </c>
      <c r="C15" s="162"/>
      <c r="D15" s="248"/>
      <c r="E15" s="154"/>
      <c r="F15" s="220"/>
      <c r="H15" s="157">
        <v>60</v>
      </c>
      <c r="I15" s="103">
        <v>319</v>
      </c>
      <c r="J15" s="163"/>
      <c r="K15" s="249"/>
      <c r="L15" s="157"/>
      <c r="M15" s="221"/>
    </row>
    <row r="16" spans="1:13" x14ac:dyDescent="0.25">
      <c r="A16" s="154">
        <v>70</v>
      </c>
      <c r="B16" s="247">
        <v>384</v>
      </c>
      <c r="C16" s="162"/>
      <c r="D16" s="248"/>
      <c r="E16" s="154"/>
      <c r="F16" s="220"/>
      <c r="H16" s="157">
        <v>70</v>
      </c>
      <c r="I16" s="103">
        <v>384</v>
      </c>
      <c r="J16" s="163"/>
      <c r="K16" s="249"/>
      <c r="L16" s="157"/>
      <c r="M16" s="221"/>
    </row>
    <row r="17" spans="1:13" x14ac:dyDescent="0.25">
      <c r="A17" s="154">
        <v>80</v>
      </c>
      <c r="B17" s="247">
        <v>464</v>
      </c>
      <c r="C17" s="162"/>
      <c r="D17" s="248"/>
      <c r="E17" s="154"/>
      <c r="F17" s="220"/>
      <c r="H17" s="157">
        <v>80</v>
      </c>
      <c r="I17" s="103">
        <v>464</v>
      </c>
      <c r="J17" s="163"/>
      <c r="K17" s="249"/>
      <c r="L17" s="157"/>
      <c r="M17" s="221"/>
    </row>
    <row r="18" spans="1:13" ht="18.75" customHeight="1" x14ac:dyDescent="0.25">
      <c r="A18" s="250">
        <v>90</v>
      </c>
      <c r="B18" s="251">
        <v>592</v>
      </c>
      <c r="C18" s="223"/>
      <c r="D18" s="248"/>
      <c r="E18" s="205"/>
      <c r="F18" s="220"/>
      <c r="H18" s="252">
        <v>90</v>
      </c>
      <c r="I18" s="104">
        <v>592</v>
      </c>
      <c r="J18" s="225"/>
      <c r="K18" s="249"/>
      <c r="L18" s="226"/>
      <c r="M18" s="221"/>
    </row>
    <row r="19" spans="1:13" ht="16.5" customHeight="1" x14ac:dyDescent="0.25">
      <c r="A19" s="253" t="s">
        <v>89</v>
      </c>
      <c r="B19" s="254">
        <v>640</v>
      </c>
      <c r="C19" s="227"/>
      <c r="D19" s="248"/>
      <c r="E19" s="154"/>
      <c r="F19" s="220"/>
      <c r="H19" s="255" t="s">
        <v>89</v>
      </c>
      <c r="I19" s="105">
        <v>640</v>
      </c>
      <c r="J19" s="228"/>
      <c r="K19" s="249"/>
      <c r="L19" s="157"/>
      <c r="M19" s="221"/>
    </row>
    <row r="20" spans="1:13" x14ac:dyDescent="0.25">
      <c r="A20" s="155"/>
      <c r="B20" s="219"/>
      <c r="C20" s="162"/>
      <c r="D20" s="248"/>
      <c r="E20" s="155"/>
      <c r="F20" s="155"/>
      <c r="H20" s="158"/>
      <c r="I20" s="229"/>
      <c r="J20" s="163"/>
      <c r="K20" s="249"/>
      <c r="L20" s="158"/>
      <c r="M20" s="158"/>
    </row>
    <row r="21" spans="1:13" ht="13.5" customHeight="1" x14ac:dyDescent="0.25">
      <c r="A21" s="256" t="s">
        <v>90</v>
      </c>
      <c r="B21" s="214" t="s">
        <v>1</v>
      </c>
      <c r="C21" s="257" t="s">
        <v>193</v>
      </c>
      <c r="D21" s="215"/>
      <c r="E21" s="155"/>
      <c r="F21" s="155"/>
      <c r="H21" s="258" t="s">
        <v>90</v>
      </c>
      <c r="I21" s="218" t="s">
        <v>1</v>
      </c>
      <c r="J21" s="259">
        <f>(I18-I10)/(H18-H10)</f>
        <v>5.4874999999999998</v>
      </c>
      <c r="K21" s="232"/>
      <c r="L21" s="158"/>
      <c r="M21" s="158"/>
    </row>
    <row r="22" spans="1:13" x14ac:dyDescent="0.25">
      <c r="A22" s="233" t="s">
        <v>91</v>
      </c>
      <c r="B22" s="205" t="s">
        <v>1</v>
      </c>
      <c r="C22" s="206" t="s">
        <v>194</v>
      </c>
      <c r="D22" s="207" t="s">
        <v>130</v>
      </c>
      <c r="E22" s="207"/>
      <c r="F22" s="207"/>
      <c r="H22" s="234" t="s">
        <v>91</v>
      </c>
      <c r="I22" s="226" t="s">
        <v>1</v>
      </c>
      <c r="J22" s="260">
        <f>(I10+I12+I14+I16+I18)/5</f>
        <v>325.2</v>
      </c>
      <c r="K22" s="180" t="s">
        <v>130</v>
      </c>
      <c r="L22" s="180"/>
      <c r="M22" s="180"/>
    </row>
    <row r="23" spans="1:13" x14ac:dyDescent="0.25">
      <c r="A23" s="222" t="s">
        <v>174</v>
      </c>
      <c r="B23" s="239" t="s">
        <v>1</v>
      </c>
      <c r="C23" s="261">
        <v>-54</v>
      </c>
      <c r="D23" s="262" t="s">
        <v>130</v>
      </c>
      <c r="E23" s="207" t="s">
        <v>161</v>
      </c>
      <c r="F23" s="207"/>
      <c r="H23" s="224" t="s">
        <v>174</v>
      </c>
      <c r="I23" s="241" t="s">
        <v>1</v>
      </c>
      <c r="J23" s="106">
        <v>-54</v>
      </c>
      <c r="K23" s="242" t="s">
        <v>130</v>
      </c>
      <c r="L23" s="180" t="s">
        <v>161</v>
      </c>
      <c r="M23" s="180"/>
    </row>
    <row r="24" spans="1:13" x14ac:dyDescent="0.25">
      <c r="A24" s="233" t="s">
        <v>10</v>
      </c>
      <c r="B24" s="205" t="s">
        <v>7</v>
      </c>
      <c r="C24" s="206" t="s">
        <v>195</v>
      </c>
      <c r="D24" s="207" t="s">
        <v>130</v>
      </c>
      <c r="E24" s="207"/>
      <c r="F24" s="207"/>
      <c r="H24" s="234" t="s">
        <v>10</v>
      </c>
      <c r="I24" s="226" t="s">
        <v>7</v>
      </c>
      <c r="J24" s="260">
        <f>J22+J23</f>
        <v>271.2</v>
      </c>
      <c r="K24" s="180" t="s">
        <v>130</v>
      </c>
      <c r="L24" s="180"/>
      <c r="M24" s="180"/>
    </row>
    <row r="27" spans="1:13" x14ac:dyDescent="0.25">
      <c r="A27" s="165" t="s">
        <v>126</v>
      </c>
    </row>
    <row r="28" spans="1:13" x14ac:dyDescent="0.25">
      <c r="A28" s="165" t="s">
        <v>269</v>
      </c>
    </row>
    <row r="29" spans="1:13" x14ac:dyDescent="0.25">
      <c r="A29" s="165" t="s">
        <v>270</v>
      </c>
    </row>
    <row r="30" spans="1:13" x14ac:dyDescent="0.25">
      <c r="A30" s="165" t="s">
        <v>271</v>
      </c>
    </row>
    <row r="31" spans="1:13" x14ac:dyDescent="0.25">
      <c r="A31" s="166" t="s">
        <v>272</v>
      </c>
    </row>
  </sheetData>
  <sheetProtection password="E156" sheet="1" objects="1" scenarios="1"/>
  <mergeCells count="2">
    <mergeCell ref="A5:F5"/>
    <mergeCell ref="H5:M5"/>
  </mergeCells>
  <pageMargins left="0.7" right="0.7" top="0.75" bottom="0.75" header="0.3" footer="0.3"/>
  <pageSetup paperSize="201" scale="46" orientation="portrait" r:id="rId1"/>
  <headerFooter>
    <oddHeader>&amp;CCALCULATION SPREADSHEET FOR GPSA ENGINEERING DATA BOOK 13 th EDITION
EXAMPLE 23-4</oddHeader>
  </headerFooter>
  <ignoredErrors>
    <ignoredError sqref="J21:J24"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K19"/>
  <sheetViews>
    <sheetView zoomScaleNormal="100" workbookViewId="0">
      <selection activeCell="G26" sqref="G26"/>
    </sheetView>
  </sheetViews>
  <sheetFormatPr defaultRowHeight="15" x14ac:dyDescent="0.25"/>
  <cols>
    <col min="1" max="1" width="32.85546875" style="152" customWidth="1"/>
    <col min="2" max="2" width="4.85546875" style="151" customWidth="1"/>
    <col min="3" max="3" width="24" style="151" bestFit="1" customWidth="1"/>
    <col min="4" max="4" width="10.5703125" style="152" customWidth="1"/>
    <col min="5" max="5" width="28" style="152" customWidth="1"/>
    <col min="6" max="6" width="4.7109375" style="152" customWidth="1"/>
    <col min="7" max="7" width="35.85546875" style="152" customWidth="1"/>
    <col min="8" max="8" width="5.7109375" style="151" customWidth="1"/>
    <col min="9" max="9" width="8.5703125" style="151" customWidth="1"/>
    <col min="10" max="10" width="10.7109375" style="152" bestFit="1" customWidth="1"/>
    <col min="11" max="11" width="39.28515625" style="152" customWidth="1"/>
    <col min="12" max="16384" width="9.140625" style="152"/>
  </cols>
  <sheetData>
    <row r="1" spans="1:11" x14ac:dyDescent="0.25">
      <c r="A1" s="150" t="s">
        <v>264</v>
      </c>
    </row>
    <row r="5" spans="1:11" s="153" customFormat="1" x14ac:dyDescent="0.2">
      <c r="A5" s="310" t="s">
        <v>170</v>
      </c>
      <c r="B5" s="310"/>
      <c r="C5" s="310"/>
      <c r="D5" s="310"/>
      <c r="E5" s="310"/>
      <c r="G5" s="311" t="s">
        <v>171</v>
      </c>
      <c r="H5" s="311"/>
      <c r="I5" s="311"/>
      <c r="J5" s="311"/>
      <c r="K5" s="311"/>
    </row>
    <row r="6" spans="1:11" ht="17.25" customHeight="1" x14ac:dyDescent="0.25">
      <c r="A6" s="5" t="s">
        <v>2</v>
      </c>
      <c r="B6" s="140"/>
      <c r="C6" s="140"/>
      <c r="D6" s="140"/>
      <c r="E6" s="20"/>
      <c r="G6" s="245" t="s">
        <v>2</v>
      </c>
      <c r="H6" s="263"/>
      <c r="I6" s="212"/>
      <c r="J6" s="212"/>
      <c r="K6" s="212"/>
    </row>
    <row r="7" spans="1:11" x14ac:dyDescent="0.25">
      <c r="A7" s="54" t="s">
        <v>92</v>
      </c>
      <c r="B7" s="58" t="s">
        <v>7</v>
      </c>
      <c r="C7" s="58">
        <v>56.8</v>
      </c>
      <c r="D7" s="57" t="s">
        <v>8</v>
      </c>
      <c r="E7" s="58"/>
      <c r="G7" s="156" t="s">
        <v>92</v>
      </c>
      <c r="H7" s="157" t="s">
        <v>7</v>
      </c>
      <c r="I7" s="80">
        <v>56.8</v>
      </c>
      <c r="J7" s="160" t="s">
        <v>8</v>
      </c>
      <c r="K7" s="157"/>
    </row>
    <row r="8" spans="1:11" s="153" customFormat="1" ht="15.75" customHeight="1" x14ac:dyDescent="0.2">
      <c r="A8" s="110" t="s">
        <v>10</v>
      </c>
      <c r="B8" s="33" t="s">
        <v>1</v>
      </c>
      <c r="C8" s="16">
        <v>271</v>
      </c>
      <c r="D8" s="18" t="s">
        <v>130</v>
      </c>
      <c r="E8" s="21"/>
      <c r="G8" s="264" t="s">
        <v>10</v>
      </c>
      <c r="H8" s="265" t="s">
        <v>1</v>
      </c>
      <c r="I8" s="107">
        <v>271</v>
      </c>
      <c r="J8" s="232" t="s">
        <v>130</v>
      </c>
      <c r="K8" s="217"/>
    </row>
    <row r="9" spans="1:11" x14ac:dyDescent="0.25">
      <c r="A9" s="54" t="s">
        <v>94</v>
      </c>
      <c r="B9" s="34" t="s">
        <v>1</v>
      </c>
      <c r="C9" s="117" t="s">
        <v>185</v>
      </c>
      <c r="D9" s="35"/>
      <c r="E9" s="58"/>
      <c r="G9" s="156" t="s">
        <v>94</v>
      </c>
      <c r="H9" s="266" t="s">
        <v>1</v>
      </c>
      <c r="I9" s="221">
        <f>141.5/(131.5+I7)</f>
        <v>0.75146043547530528</v>
      </c>
      <c r="J9" s="249"/>
      <c r="K9" s="157"/>
    </row>
    <row r="10" spans="1:11" x14ac:dyDescent="0.25">
      <c r="A10" s="54" t="s">
        <v>173</v>
      </c>
      <c r="B10" s="34" t="s">
        <v>1</v>
      </c>
      <c r="C10" s="124" t="s">
        <v>192</v>
      </c>
      <c r="D10" s="35" t="s">
        <v>158</v>
      </c>
      <c r="E10" s="58"/>
      <c r="G10" s="156" t="s">
        <v>173</v>
      </c>
      <c r="H10" s="266" t="s">
        <v>1</v>
      </c>
      <c r="I10" s="266">
        <f>I8+460</f>
        <v>731</v>
      </c>
      <c r="J10" s="249" t="s">
        <v>158</v>
      </c>
      <c r="K10" s="157"/>
    </row>
    <row r="11" spans="1:11" x14ac:dyDescent="0.25">
      <c r="A11" s="54" t="s">
        <v>93</v>
      </c>
      <c r="B11" s="34" t="s">
        <v>1</v>
      </c>
      <c r="C11" s="34">
        <v>127</v>
      </c>
      <c r="D11" s="35" t="s">
        <v>95</v>
      </c>
      <c r="E11" s="58"/>
      <c r="G11" s="156" t="s">
        <v>93</v>
      </c>
      <c r="H11" s="266" t="s">
        <v>1</v>
      </c>
      <c r="I11" s="266">
        <f>204.38*(I10^0.118*I9^1.88*2.71828^((0.00218*I10-(3.075*I9))))</f>
        <v>126.94785439396105</v>
      </c>
      <c r="J11" s="249" t="s">
        <v>95</v>
      </c>
      <c r="K11" s="157"/>
    </row>
    <row r="12" spans="1:11" ht="42" customHeight="1" x14ac:dyDescent="0.25">
      <c r="A12" s="306" t="s">
        <v>172</v>
      </c>
      <c r="B12" s="306"/>
      <c r="C12" s="306"/>
      <c r="D12" s="306"/>
      <c r="E12" s="306"/>
      <c r="F12" s="267"/>
      <c r="G12" s="307" t="s">
        <v>172</v>
      </c>
      <c r="H12" s="307"/>
      <c r="I12" s="307"/>
      <c r="J12" s="307"/>
      <c r="K12" s="307"/>
    </row>
    <row r="15" spans="1:11" x14ac:dyDescent="0.25">
      <c r="A15" s="165" t="s">
        <v>126</v>
      </c>
    </row>
    <row r="16" spans="1:11" x14ac:dyDescent="0.25">
      <c r="A16" s="165" t="s">
        <v>269</v>
      </c>
    </row>
    <row r="17" spans="1:1" x14ac:dyDescent="0.25">
      <c r="A17" s="165" t="s">
        <v>270</v>
      </c>
    </row>
    <row r="18" spans="1:1" x14ac:dyDescent="0.25">
      <c r="A18" s="165" t="s">
        <v>271</v>
      </c>
    </row>
    <row r="19" spans="1:1" x14ac:dyDescent="0.25">
      <c r="A19" s="166" t="s">
        <v>272</v>
      </c>
    </row>
  </sheetData>
  <sheetProtection password="E156" sheet="1" objects="1" scenarios="1"/>
  <mergeCells count="4">
    <mergeCell ref="A5:E5"/>
    <mergeCell ref="G5:K5"/>
    <mergeCell ref="A12:E12"/>
    <mergeCell ref="G12:K12"/>
  </mergeCells>
  <pageMargins left="0.7" right="0.7" top="0.75" bottom="0.75" header="0.3" footer="0.3"/>
  <pageSetup paperSize="201" scale="61" orientation="portrait" r:id="rId1"/>
  <headerFooter>
    <oddHeader>&amp;CCALCULATION SPREADSHEET FOR GPSA ENGINEERING DATA BOOK 13th EDITION
EXAMPLE 23-5</oddHeader>
  </headerFooter>
  <ignoredErrors>
    <ignoredError sqref="I9:I1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K21"/>
  <sheetViews>
    <sheetView zoomScaleNormal="100" workbookViewId="0">
      <selection activeCell="E28" sqref="E28"/>
    </sheetView>
  </sheetViews>
  <sheetFormatPr defaultRowHeight="15" x14ac:dyDescent="0.25"/>
  <cols>
    <col min="1" max="1" width="34.5703125" style="152" customWidth="1"/>
    <col min="2" max="2" width="4.7109375" style="151" customWidth="1"/>
    <col min="3" max="3" width="41.85546875" style="151" bestFit="1" customWidth="1"/>
    <col min="4" max="4" width="10.5703125" style="152" customWidth="1"/>
    <col min="5" max="5" width="37.5703125" style="152" customWidth="1"/>
    <col min="6" max="6" width="9.140625" style="152"/>
    <col min="7" max="7" width="35.7109375" style="152" customWidth="1"/>
    <col min="8" max="8" width="5.7109375" style="151" customWidth="1"/>
    <col min="9" max="9" width="8.85546875" style="151" customWidth="1"/>
    <col min="10" max="10" width="10.7109375" style="152" bestFit="1" customWidth="1"/>
    <col min="11" max="11" width="36.28515625" style="152" customWidth="1"/>
    <col min="12" max="16384" width="9.140625" style="152"/>
  </cols>
  <sheetData>
    <row r="1" spans="1:11" x14ac:dyDescent="0.25">
      <c r="A1" s="150" t="s">
        <v>264</v>
      </c>
    </row>
    <row r="5" spans="1:11" s="153" customFormat="1" x14ac:dyDescent="0.2">
      <c r="A5" s="310" t="s">
        <v>165</v>
      </c>
      <c r="B5" s="310"/>
      <c r="C5" s="310"/>
      <c r="D5" s="310"/>
      <c r="E5" s="310"/>
      <c r="G5" s="311" t="s">
        <v>165</v>
      </c>
      <c r="H5" s="311"/>
      <c r="I5" s="311"/>
      <c r="J5" s="311"/>
      <c r="K5" s="311"/>
    </row>
    <row r="6" spans="1:11" ht="13.5" customHeight="1" x14ac:dyDescent="0.25">
      <c r="A6" s="5" t="s">
        <v>2</v>
      </c>
      <c r="B6" s="140"/>
      <c r="C6" s="140"/>
      <c r="D6" s="140"/>
      <c r="E6" s="20"/>
      <c r="G6" s="245" t="s">
        <v>2</v>
      </c>
      <c r="H6" s="263"/>
      <c r="I6" s="212"/>
      <c r="J6" s="212"/>
      <c r="K6" s="212"/>
    </row>
    <row r="7" spans="1:11" s="153" customFormat="1" ht="15.75" customHeight="1" x14ac:dyDescent="0.2">
      <c r="A7" s="110" t="s">
        <v>10</v>
      </c>
      <c r="B7" s="33" t="s">
        <v>1</v>
      </c>
      <c r="C7" s="16">
        <v>271</v>
      </c>
      <c r="D7" s="18" t="s">
        <v>130</v>
      </c>
      <c r="E7" s="21"/>
      <c r="G7" s="264" t="s">
        <v>10</v>
      </c>
      <c r="H7" s="265" t="s">
        <v>1</v>
      </c>
      <c r="I7" s="107">
        <v>271</v>
      </c>
      <c r="J7" s="232" t="s">
        <v>130</v>
      </c>
      <c r="K7" s="217"/>
    </row>
    <row r="8" spans="1:11" x14ac:dyDescent="0.25">
      <c r="A8" s="54" t="s">
        <v>96</v>
      </c>
      <c r="B8" s="34" t="s">
        <v>1</v>
      </c>
      <c r="C8" s="38">
        <v>56.8</v>
      </c>
      <c r="D8" s="35" t="s">
        <v>8</v>
      </c>
      <c r="E8" s="58"/>
      <c r="G8" s="156" t="s">
        <v>96</v>
      </c>
      <c r="H8" s="266" t="s">
        <v>1</v>
      </c>
      <c r="I8" s="108">
        <v>56.8</v>
      </c>
      <c r="J8" s="249" t="s">
        <v>8</v>
      </c>
      <c r="K8" s="157"/>
    </row>
    <row r="9" spans="1:11" x14ac:dyDescent="0.25">
      <c r="A9" s="91" t="s">
        <v>97</v>
      </c>
      <c r="B9" s="34" t="s">
        <v>1</v>
      </c>
      <c r="C9" s="123" t="s">
        <v>185</v>
      </c>
      <c r="D9" s="15" t="s">
        <v>13</v>
      </c>
      <c r="E9" s="15"/>
      <c r="G9" s="234" t="s">
        <v>97</v>
      </c>
      <c r="H9" s="226" t="s">
        <v>1</v>
      </c>
      <c r="I9" s="268">
        <f>141.5/(131.5+I8)</f>
        <v>0.75146043547530528</v>
      </c>
      <c r="J9" s="180" t="s">
        <v>13</v>
      </c>
      <c r="K9" s="180"/>
    </row>
    <row r="10" spans="1:11" ht="18" x14ac:dyDescent="0.25">
      <c r="A10" s="56" t="s">
        <v>162</v>
      </c>
      <c r="B10" s="13" t="s">
        <v>1</v>
      </c>
      <c r="C10" s="40" t="s">
        <v>190</v>
      </c>
      <c r="D10" s="15" t="s">
        <v>158</v>
      </c>
      <c r="E10" s="15" t="s">
        <v>163</v>
      </c>
      <c r="G10" s="224" t="s">
        <v>162</v>
      </c>
      <c r="H10" s="241" t="s">
        <v>1</v>
      </c>
      <c r="I10" s="269">
        <f>24.2787*(I7+460)^0.58848*I9^0.3596</f>
        <v>1061.5962297579033</v>
      </c>
      <c r="J10" s="180" t="s">
        <v>158</v>
      </c>
      <c r="K10" s="180" t="s">
        <v>163</v>
      </c>
    </row>
    <row r="11" spans="1:11" x14ac:dyDescent="0.25">
      <c r="A11" s="91" t="s">
        <v>166</v>
      </c>
      <c r="B11" s="27" t="s">
        <v>1</v>
      </c>
      <c r="C11" s="40" t="s">
        <v>191</v>
      </c>
      <c r="D11" s="15" t="s">
        <v>130</v>
      </c>
      <c r="E11" s="15"/>
      <c r="G11" s="234" t="s">
        <v>166</v>
      </c>
      <c r="H11" s="226" t="s">
        <v>1</v>
      </c>
      <c r="I11" s="269">
        <f>I10-460</f>
        <v>601.5962297579033</v>
      </c>
      <c r="J11" s="180" t="s">
        <v>130</v>
      </c>
      <c r="K11" s="180"/>
    </row>
    <row r="12" spans="1:11" s="153" customFormat="1" ht="18" x14ac:dyDescent="0.25">
      <c r="A12" s="92" t="s">
        <v>164</v>
      </c>
      <c r="B12" s="13" t="s">
        <v>1</v>
      </c>
      <c r="C12" s="40" t="s">
        <v>249</v>
      </c>
      <c r="D12" s="14" t="s">
        <v>0</v>
      </c>
      <c r="E12" s="14" t="s">
        <v>167</v>
      </c>
      <c r="G12" s="240" t="s">
        <v>164</v>
      </c>
      <c r="H12" s="241" t="s">
        <v>1</v>
      </c>
      <c r="I12" s="270">
        <f>3122810000*(I7+460)^-2.3125*(I9^2.3021)</f>
        <v>385.53171096995902</v>
      </c>
      <c r="J12" s="242" t="s">
        <v>0</v>
      </c>
      <c r="K12" s="242" t="s">
        <v>167</v>
      </c>
    </row>
    <row r="13" spans="1:11" s="153" customFormat="1" x14ac:dyDescent="0.25">
      <c r="A13" s="92"/>
      <c r="B13" s="13"/>
      <c r="C13" s="40"/>
      <c r="D13" s="14"/>
      <c r="E13" s="14"/>
      <c r="G13" s="240"/>
      <c r="H13" s="241"/>
      <c r="I13" s="270"/>
      <c r="J13" s="242"/>
      <c r="K13" s="242"/>
    </row>
    <row r="14" spans="1:11" x14ac:dyDescent="0.25">
      <c r="A14" s="306" t="s">
        <v>168</v>
      </c>
      <c r="B14" s="306"/>
      <c r="C14" s="306"/>
      <c r="D14" s="306"/>
      <c r="E14" s="306"/>
      <c r="G14" s="307" t="s">
        <v>169</v>
      </c>
      <c r="H14" s="307"/>
      <c r="I14" s="307"/>
      <c r="J14" s="307"/>
      <c r="K14" s="307"/>
    </row>
    <row r="17" spans="1:1" x14ac:dyDescent="0.25">
      <c r="A17" s="165" t="s">
        <v>126</v>
      </c>
    </row>
    <row r="18" spans="1:1" x14ac:dyDescent="0.25">
      <c r="A18" s="165" t="s">
        <v>269</v>
      </c>
    </row>
    <row r="19" spans="1:1" x14ac:dyDescent="0.25">
      <c r="A19" s="165" t="s">
        <v>270</v>
      </c>
    </row>
    <row r="20" spans="1:1" x14ac:dyDescent="0.25">
      <c r="A20" s="165" t="s">
        <v>271</v>
      </c>
    </row>
    <row r="21" spans="1:1" x14ac:dyDescent="0.25">
      <c r="A21" s="166" t="s">
        <v>272</v>
      </c>
    </row>
  </sheetData>
  <sheetProtection password="E156" sheet="1" objects="1" scenarios="1"/>
  <mergeCells count="4">
    <mergeCell ref="A5:E5"/>
    <mergeCell ref="G5:K5"/>
    <mergeCell ref="A14:E14"/>
    <mergeCell ref="G14:K14"/>
  </mergeCells>
  <pageMargins left="0.7" right="0.7" top="0.75" bottom="0.75" header="0.3" footer="0.3"/>
  <pageSetup paperSize="201" scale="60" orientation="portrait" r:id="rId1"/>
  <headerFooter>
    <oddHeader xml:space="preserve">&amp;CCALCULATION SPREADSHEET FOR GPSA ENGINEERING DATA BOOK 13TH EDITION
EXAMPLE 23-6
</oddHeader>
  </headerFooter>
  <ignoredErrors>
    <ignoredError sqref="I9 I10:I12"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Revisions</vt:lpstr>
      <vt:lpstr>Nomenclature</vt:lpstr>
      <vt:lpstr>Example 23-1</vt:lpstr>
      <vt:lpstr>Example 23-2</vt:lpstr>
      <vt:lpstr>Example 23-3</vt:lpstr>
      <vt:lpstr>Example 23-4</vt:lpstr>
      <vt:lpstr>Example 23-5</vt:lpstr>
      <vt:lpstr>Example 23-6</vt:lpstr>
      <vt:lpstr>Example 23-7</vt:lpstr>
      <vt:lpstr>Example 23-8</vt:lpstr>
      <vt:lpstr>Example 23-9</vt:lpstr>
      <vt:lpstr>Example 23-10</vt:lpstr>
      <vt:lpstr>Example 23-11</vt:lpstr>
      <vt:lpstr>Example 23-12</vt:lpstr>
      <vt:lpstr>Example 23-13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Hamilton, Stuart</dc:creator>
  <cp:lastModifiedBy>Hamilton, Stuart</cp:lastModifiedBy>
  <cp:lastPrinted>2013-09-30T05:27:28Z</cp:lastPrinted>
  <dcterms:created xsi:type="dcterms:W3CDTF">2008-08-21T19:06:00Z</dcterms:created>
  <dcterms:modified xsi:type="dcterms:W3CDTF">2017-04-09T00:14:10Z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