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0" yWindow="0" windowWidth="19200" windowHeight="11925" activeTab="1"/>
  </bookViews>
  <sheets>
    <sheet name="Revisions" sheetId="8" r:id="rId1"/>
    <sheet name="Nomenclature" sheetId="1" r:id="rId2"/>
    <sheet name="Example 7-1" sheetId="3" r:id="rId3"/>
    <sheet name="Example 7-2" sheetId="4" r:id="rId4"/>
    <sheet name="Example 7-3" sheetId="7" r:id="rId5"/>
    <sheet name="Example 7-4" sheetId="5" r:id="rId6"/>
  </sheets>
  <calcPr calcId="145621"/>
</workbook>
</file>

<file path=xl/calcChain.xml><?xml version="1.0" encoding="utf-8"?>
<calcChain xmlns="http://schemas.openxmlformats.org/spreadsheetml/2006/main">
  <c r="E35" i="7" l="1"/>
  <c r="I37" i="7"/>
  <c r="I95" i="5" l="1"/>
  <c r="I92" i="5"/>
  <c r="I44" i="5"/>
  <c r="I45" i="5" s="1"/>
  <c r="I96" i="5" l="1"/>
  <c r="I98" i="5" s="1"/>
  <c r="I69" i="5" l="1"/>
  <c r="I63" i="5"/>
  <c r="I39" i="5"/>
  <c r="I38" i="5"/>
  <c r="I41" i="5" l="1"/>
  <c r="I42" i="5" s="1"/>
  <c r="I46" i="5" l="1"/>
  <c r="I90" i="5"/>
  <c r="I91" i="5"/>
  <c r="I89" i="5"/>
  <c r="I61" i="7"/>
  <c r="I62" i="7" s="1"/>
  <c r="I35" i="4"/>
  <c r="I58" i="7"/>
  <c r="I47" i="5"/>
  <c r="I48" i="5" l="1"/>
  <c r="I93" i="5"/>
  <c r="I49" i="5"/>
  <c r="I65" i="5" l="1"/>
  <c r="I55" i="5"/>
  <c r="I68" i="5"/>
  <c r="I70" i="5" s="1"/>
  <c r="I50" i="5"/>
  <c r="I34" i="7"/>
  <c r="I35" i="7"/>
  <c r="I38" i="7" s="1"/>
  <c r="I51" i="5"/>
  <c r="I56" i="5"/>
  <c r="I45" i="7" l="1"/>
  <c r="I39" i="7"/>
  <c r="I42" i="7" s="1"/>
  <c r="I81" i="5"/>
  <c r="I62" i="5"/>
  <c r="I64" i="5" s="1"/>
  <c r="I73" i="5"/>
  <c r="I74" i="5"/>
  <c r="I65" i="7"/>
  <c r="I68" i="7"/>
  <c r="I63" i="7"/>
  <c r="I52" i="5"/>
  <c r="I53" i="5" s="1"/>
  <c r="I82" i="5"/>
  <c r="AJ8" i="4"/>
  <c r="AJ9" i="4"/>
  <c r="AJ10" i="4"/>
  <c r="AJ11" i="4"/>
  <c r="AJ12" i="4"/>
  <c r="AJ13" i="4"/>
  <c r="AJ14" i="4"/>
  <c r="AJ15" i="4"/>
  <c r="AJ16" i="4"/>
  <c r="AJ17" i="4"/>
  <c r="AJ18" i="4"/>
  <c r="AJ19" i="4"/>
  <c r="AJ20" i="4"/>
  <c r="AJ7" i="4"/>
  <c r="I43" i="7"/>
  <c r="I57" i="5"/>
  <c r="I71" i="5"/>
  <c r="I54" i="5"/>
  <c r="I77" i="5"/>
  <c r="I44" i="7" l="1"/>
  <c r="I46" i="7" s="1"/>
  <c r="I47" i="7" s="1"/>
  <c r="I50" i="7"/>
  <c r="I40" i="7"/>
  <c r="I85" i="5"/>
  <c r="I58" i="5"/>
  <c r="I75" i="5"/>
  <c r="I78" i="5"/>
  <c r="I83" i="5"/>
  <c r="I79" i="5"/>
  <c r="I56" i="4"/>
  <c r="I54" i="4"/>
  <c r="I57" i="4"/>
  <c r="I55" i="4"/>
  <c r="I48" i="7"/>
  <c r="I51" i="7"/>
  <c r="I52" i="7" l="1"/>
  <c r="I49" i="7"/>
  <c r="I54" i="7"/>
  <c r="I86" i="5"/>
  <c r="I87" i="5" s="1"/>
  <c r="I59" i="5"/>
  <c r="I55" i="7"/>
  <c r="I56" i="7" s="1"/>
  <c r="K56" i="7" s="1"/>
  <c r="I47" i="4"/>
  <c r="I36" i="4"/>
  <c r="I32" i="4"/>
  <c r="I34" i="4" s="1"/>
  <c r="I37" i="4" l="1"/>
  <c r="I59" i="4" s="1"/>
  <c r="I33" i="4"/>
  <c r="I58" i="4" l="1"/>
  <c r="I38" i="4"/>
  <c r="I40" i="4"/>
  <c r="I50" i="4"/>
  <c r="I51" i="4" s="1"/>
  <c r="K51" i="4" s="1"/>
  <c r="I69" i="7" l="1"/>
  <c r="I70" i="7" s="1"/>
  <c r="I66" i="7"/>
  <c r="I67" i="7" s="1"/>
  <c r="I42" i="4"/>
  <c r="I43" i="4" l="1"/>
  <c r="I41" i="4"/>
  <c r="I46" i="4"/>
  <c r="I48" i="4" s="1"/>
  <c r="I12" i="3"/>
  <c r="I44" i="4" l="1"/>
  <c r="I53" i="4" s="1"/>
  <c r="I60" i="4" s="1"/>
  <c r="I13" i="3"/>
  <c r="I14" i="3" s="1"/>
  <c r="I15" i="3" s="1"/>
</calcChain>
</file>

<file path=xl/sharedStrings.xml><?xml version="1.0" encoding="utf-8"?>
<sst xmlns="http://schemas.openxmlformats.org/spreadsheetml/2006/main" count="1559" uniqueCount="511">
  <si>
    <t>Nomenclature</t>
  </si>
  <si>
    <t>=</t>
  </si>
  <si>
    <t>C'</t>
  </si>
  <si>
    <t>K</t>
  </si>
  <si>
    <t>L</t>
  </si>
  <si>
    <t>P</t>
  </si>
  <si>
    <t>Q</t>
  </si>
  <si>
    <t>Z</t>
  </si>
  <si>
    <t>A</t>
  </si>
  <si>
    <t>J</t>
  </si>
  <si>
    <t>g</t>
  </si>
  <si>
    <t>MW</t>
  </si>
  <si>
    <t>R</t>
  </si>
  <si>
    <t>Re</t>
  </si>
  <si>
    <t>T</t>
  </si>
  <si>
    <t>t</t>
  </si>
  <si>
    <t>drag coefficient of particle, dimensionless (Fig. 7-3)</t>
  </si>
  <si>
    <t>droplet diameter, ft</t>
  </si>
  <si>
    <t>empirical constant for separator sizing, ft/sec</t>
  </si>
  <si>
    <t>proportionality constant from Fig. 7-4 for use in Eq 7-5, dimensionless</t>
  </si>
  <si>
    <t>seam to seam length of vessel, ft</t>
  </si>
  <si>
    <t>mass of droplet or particle, lb</t>
  </si>
  <si>
    <t>molecular weight, lb/lb mole</t>
  </si>
  <si>
    <t>system pressure, psia</t>
  </si>
  <si>
    <t>Reynolds number, dimensionless</t>
  </si>
  <si>
    <t>retention time, minutes</t>
  </si>
  <si>
    <t>compressibility factor, dimensionless</t>
  </si>
  <si>
    <t>°F</t>
  </si>
  <si>
    <t>psig</t>
  </si>
  <si>
    <t>ft</t>
  </si>
  <si>
    <r>
      <t>Q</t>
    </r>
    <r>
      <rPr>
        <vertAlign val="subscript"/>
        <sz val="11"/>
        <rFont val="Times New Roman"/>
        <family val="1"/>
      </rPr>
      <t>A</t>
    </r>
  </si>
  <si>
    <r>
      <t>lb/ft</t>
    </r>
    <r>
      <rPr>
        <vertAlign val="superscript"/>
        <sz val="11"/>
        <rFont val="Times New Roman"/>
        <family val="1"/>
      </rPr>
      <t>3</t>
    </r>
  </si>
  <si>
    <t>ft/sec</t>
  </si>
  <si>
    <t>Greek</t>
  </si>
  <si>
    <r>
      <t>ft</t>
    </r>
    <r>
      <rPr>
        <vertAlign val="superscript"/>
        <sz val="11"/>
        <rFont val="Times New Roman"/>
        <family val="1"/>
      </rPr>
      <t>2</t>
    </r>
  </si>
  <si>
    <t>D</t>
  </si>
  <si>
    <t>Vessel diamter, ft</t>
  </si>
  <si>
    <t>Characteristic diameter in Stoke Number, St</t>
  </si>
  <si>
    <t>Liquid hydraulic diameter, ft</t>
  </si>
  <si>
    <t>Nozzel diamter, ft</t>
  </si>
  <si>
    <t>Droplet size (micron) for 95% removal</t>
  </si>
  <si>
    <t>Settling height, ft</t>
  </si>
  <si>
    <t>HILL</t>
  </si>
  <si>
    <t>High interphase liquid level</t>
  </si>
  <si>
    <t>HHILL</t>
  </si>
  <si>
    <t>High- high interphase liquid level</t>
  </si>
  <si>
    <t>HLL</t>
  </si>
  <si>
    <t>High liquid level</t>
  </si>
  <si>
    <t>HHLL</t>
  </si>
  <si>
    <t>High- high liquid level</t>
  </si>
  <si>
    <t>H</t>
  </si>
  <si>
    <t>Height, ft</t>
  </si>
  <si>
    <t>GOR</t>
  </si>
  <si>
    <t>Gas-oil ratio</t>
  </si>
  <si>
    <t>Effective gravity droplet settling length for a horizontal separator, ft</t>
  </si>
  <si>
    <t>LILL</t>
  </si>
  <si>
    <t>Low interphase liquid level</t>
  </si>
  <si>
    <t>LLILL</t>
  </si>
  <si>
    <t>Low-low interphase liquid level</t>
  </si>
  <si>
    <t>LLL</t>
  </si>
  <si>
    <t>Low liquid level</t>
  </si>
  <si>
    <t>LLLL</t>
  </si>
  <si>
    <t>Low-low liquid level</t>
  </si>
  <si>
    <t>NILL</t>
  </si>
  <si>
    <t>Normal liquid level</t>
  </si>
  <si>
    <t>Nref</t>
  </si>
  <si>
    <t>Reynolds film number</t>
  </si>
  <si>
    <t>Interfacial viscosity number</t>
  </si>
  <si>
    <t>NLL</t>
  </si>
  <si>
    <t>Normal interphase liquid level</t>
  </si>
  <si>
    <t>OD</t>
  </si>
  <si>
    <t>Outside diamter, in</t>
  </si>
  <si>
    <t>Stk</t>
  </si>
  <si>
    <t>V</t>
  </si>
  <si>
    <t>Velocity, ft/sec</t>
  </si>
  <si>
    <t>Velocity of continuous phase, ft/sec</t>
  </si>
  <si>
    <t>Flow vapor velocity between gas-liquid interphase and the top of a horizontal separator, ft/sec</t>
  </si>
  <si>
    <t>Liquid velocity, ft/sec</t>
  </si>
  <si>
    <t>Gas velocity relative to liquid, ft/sec</t>
  </si>
  <si>
    <t>Maximum velocity of a gas relative to liquid to resist substantial re-entreainment</t>
  </si>
  <si>
    <t>Flow rate of gas, lb/hr</t>
  </si>
  <si>
    <t>Flow rate of liquid, lb/hr</t>
  </si>
  <si>
    <t>viscosity of continuous pase, Cp</t>
  </si>
  <si>
    <t>β</t>
  </si>
  <si>
    <t>Ratio of the number of influent particles of a given size to the number of effluent particles of the same size</t>
  </si>
  <si>
    <t>Gas viscosity, cP</t>
  </si>
  <si>
    <t>Light liquid phase viscosity, cP</t>
  </si>
  <si>
    <t>Liquid surface tension, dynes/cm</t>
  </si>
  <si>
    <t>σ</t>
  </si>
  <si>
    <t>φ</t>
  </si>
  <si>
    <t>Liquid viscosity, cP</t>
  </si>
  <si>
    <t>Heavy liquid phase viscosity, cP</t>
  </si>
  <si>
    <t>Flow parameter</t>
  </si>
  <si>
    <t>Operating temperature</t>
  </si>
  <si>
    <t>Operating pressure</t>
  </si>
  <si>
    <t>Liquid flowrate</t>
  </si>
  <si>
    <t xml:space="preserve">Gas flowrate </t>
  </si>
  <si>
    <r>
      <rPr>
        <b/>
        <sz val="11"/>
        <rFont val="Times New Roman"/>
        <family val="1"/>
      </rPr>
      <t>Operating Conditions</t>
    </r>
    <r>
      <rPr>
        <sz val="11"/>
        <rFont val="Times New Roman"/>
        <family val="1"/>
      </rPr>
      <t xml:space="preserve"> --</t>
    </r>
  </si>
  <si>
    <r>
      <t xml:space="preserve">Physical Properties </t>
    </r>
    <r>
      <rPr>
        <sz val="11"/>
        <rFont val="Times New Roman"/>
        <family val="1"/>
      </rPr>
      <t>--</t>
    </r>
  </si>
  <si>
    <t>MMSCFD</t>
  </si>
  <si>
    <t>lb/ft3</t>
  </si>
  <si>
    <t xml:space="preserve"> = </t>
  </si>
  <si>
    <t xml:space="preserve"> cP</t>
  </si>
  <si>
    <r>
      <t>μ</t>
    </r>
    <r>
      <rPr>
        <vertAlign val="subscript"/>
        <sz val="11"/>
        <rFont val="Times New Roman"/>
        <family val="1"/>
      </rPr>
      <t xml:space="preserve">1 </t>
    </r>
  </si>
  <si>
    <r>
      <t>μ</t>
    </r>
    <r>
      <rPr>
        <vertAlign val="subscript"/>
        <sz val="11"/>
        <rFont val="Times New Roman"/>
        <family val="1"/>
      </rPr>
      <t>g</t>
    </r>
  </si>
  <si>
    <r>
      <t>ρ</t>
    </r>
    <r>
      <rPr>
        <vertAlign val="subscript"/>
        <sz val="11"/>
        <rFont val="Times New Roman"/>
        <family val="1"/>
      </rPr>
      <t>g</t>
    </r>
  </si>
  <si>
    <r>
      <t>ρ</t>
    </r>
    <r>
      <rPr>
        <vertAlign val="subscript"/>
        <sz val="11"/>
        <rFont val="Times New Roman"/>
        <family val="1"/>
      </rPr>
      <t>m</t>
    </r>
  </si>
  <si>
    <r>
      <t>ft</t>
    </r>
    <r>
      <rPr>
        <vertAlign val="superscript"/>
        <sz val="11"/>
        <rFont val="Times New Roman"/>
        <family val="1"/>
      </rPr>
      <t>3</t>
    </r>
    <r>
      <rPr>
        <sz val="11"/>
        <rFont val="Times New Roman"/>
        <family val="1"/>
      </rPr>
      <t>/sec</t>
    </r>
  </si>
  <si>
    <t xml:space="preserve">ft/sec </t>
  </si>
  <si>
    <r>
      <t>V</t>
    </r>
    <r>
      <rPr>
        <vertAlign val="subscript"/>
        <sz val="11"/>
        <rFont val="Times New Roman"/>
        <family val="1"/>
      </rPr>
      <t>max</t>
    </r>
  </si>
  <si>
    <t>(Equation 7-11)</t>
  </si>
  <si>
    <t>LLL to HLL</t>
  </si>
  <si>
    <t>Check De-Gassing (200 micron bubble)</t>
  </si>
  <si>
    <r>
      <t>lb/ft•sec</t>
    </r>
    <r>
      <rPr>
        <vertAlign val="superscript"/>
        <sz val="11"/>
        <rFont val="Times New Roman"/>
        <family val="1"/>
      </rPr>
      <t>2</t>
    </r>
  </si>
  <si>
    <t>Total Vessel Length</t>
  </si>
  <si>
    <t>bpd</t>
  </si>
  <si>
    <r>
      <t>ft</t>
    </r>
    <r>
      <rPr>
        <vertAlign val="superscript"/>
        <sz val="11"/>
        <rFont val="Times New Roman"/>
        <family val="1"/>
      </rPr>
      <t>3</t>
    </r>
  </si>
  <si>
    <r>
      <rPr>
        <b/>
        <sz val="11"/>
        <rFont val="Times New Roman"/>
        <family val="1"/>
      </rPr>
      <t>Liquid Level Calculation</t>
    </r>
    <r>
      <rPr>
        <sz val="11"/>
        <rFont val="Times New Roman"/>
        <family val="1"/>
      </rPr>
      <t xml:space="preserve"> --</t>
    </r>
  </si>
  <si>
    <r>
      <rPr>
        <b/>
        <sz val="11"/>
        <rFont val="Times New Roman"/>
        <family val="1"/>
      </rPr>
      <t>Check De-Gassing</t>
    </r>
    <r>
      <rPr>
        <sz val="11"/>
        <rFont val="Times New Roman"/>
        <family val="1"/>
      </rPr>
      <t xml:space="preserve"> --</t>
    </r>
  </si>
  <si>
    <t>Calculate Mesh Pad Area &amp; Height --</t>
  </si>
  <si>
    <t>(Equation 7-13)</t>
  </si>
  <si>
    <r>
      <rPr>
        <b/>
        <sz val="11"/>
        <rFont val="Times New Roman"/>
        <family val="1"/>
      </rPr>
      <t>Design Basis</t>
    </r>
    <r>
      <rPr>
        <sz val="11"/>
        <rFont val="Times New Roman"/>
        <family val="1"/>
      </rPr>
      <t xml:space="preserve"> --</t>
    </r>
  </si>
  <si>
    <t>lb/hr</t>
  </si>
  <si>
    <t>micron</t>
  </si>
  <si>
    <t>min</t>
  </si>
  <si>
    <t>cP</t>
  </si>
  <si>
    <r>
      <t>ρ</t>
    </r>
    <r>
      <rPr>
        <vertAlign val="subscript"/>
        <sz val="11"/>
        <rFont val="Times New Roman"/>
        <family val="1"/>
      </rPr>
      <t>l</t>
    </r>
  </si>
  <si>
    <r>
      <t>μ</t>
    </r>
    <r>
      <rPr>
        <vertAlign val="subscript"/>
        <sz val="11"/>
        <rFont val="Times New Roman"/>
        <family val="1"/>
      </rPr>
      <t>l</t>
    </r>
  </si>
  <si>
    <r>
      <t>μ</t>
    </r>
    <r>
      <rPr>
        <vertAlign val="subscript"/>
        <sz val="11"/>
        <rFont val="Times New Roman"/>
        <family val="1"/>
      </rPr>
      <t>ll</t>
    </r>
  </si>
  <si>
    <r>
      <t>ρ</t>
    </r>
    <r>
      <rPr>
        <vertAlign val="subscript"/>
        <sz val="11"/>
        <rFont val="Times New Roman"/>
        <family val="1"/>
      </rPr>
      <t>hl</t>
    </r>
  </si>
  <si>
    <r>
      <t>μ</t>
    </r>
    <r>
      <rPr>
        <vertAlign val="subscript"/>
        <sz val="11"/>
        <rFont val="Times New Roman"/>
        <family val="1"/>
      </rPr>
      <t xml:space="preserve">hl </t>
    </r>
  </si>
  <si>
    <r>
      <t>ρ</t>
    </r>
    <r>
      <rPr>
        <vertAlign val="subscript"/>
        <sz val="11"/>
        <rFont val="Times New Roman"/>
        <family val="1"/>
      </rPr>
      <t>ll</t>
    </r>
  </si>
  <si>
    <r>
      <rPr>
        <b/>
        <sz val="11"/>
        <rFont val="Times New Roman"/>
        <family val="1"/>
      </rPr>
      <t>Calculate Final Vessel Length</t>
    </r>
    <r>
      <rPr>
        <sz val="11"/>
        <rFont val="Times New Roman"/>
        <family val="1"/>
      </rPr>
      <t xml:space="preserve"> --</t>
    </r>
  </si>
  <si>
    <t xml:space="preserve">ft </t>
  </si>
  <si>
    <r>
      <rPr>
        <b/>
        <sz val="11"/>
        <rFont val="Times New Roman"/>
        <family val="1"/>
      </rPr>
      <t>Gravity Separation and Gas Polishing Section</t>
    </r>
    <r>
      <rPr>
        <sz val="11"/>
        <rFont val="Times New Roman"/>
        <family val="1"/>
      </rPr>
      <t xml:space="preserve"> --</t>
    </r>
  </si>
  <si>
    <r>
      <t>ft</t>
    </r>
    <r>
      <rPr>
        <vertAlign val="superscript"/>
        <sz val="11"/>
        <rFont val="Times New Roman"/>
        <family val="1"/>
      </rPr>
      <t>3</t>
    </r>
    <r>
      <rPr>
        <sz val="11"/>
        <rFont val="Times New Roman"/>
        <family val="1"/>
      </rPr>
      <t>/hr</t>
    </r>
  </si>
  <si>
    <r>
      <t xml:space="preserve"> ft</t>
    </r>
    <r>
      <rPr>
        <vertAlign val="superscript"/>
        <sz val="11"/>
        <rFont val="Times New Roman"/>
        <family val="1"/>
      </rPr>
      <t>3</t>
    </r>
    <r>
      <rPr>
        <sz val="11"/>
        <rFont val="Times New Roman"/>
        <family val="1"/>
      </rPr>
      <t>/min</t>
    </r>
  </si>
  <si>
    <r>
      <t xml:space="preserve"> D</t>
    </r>
    <r>
      <rPr>
        <vertAlign val="subscript"/>
        <sz val="11"/>
        <rFont val="Times New Roman"/>
        <family val="1"/>
      </rPr>
      <t>p</t>
    </r>
  </si>
  <si>
    <t>microns</t>
  </si>
  <si>
    <t>Design Factor</t>
  </si>
  <si>
    <t>inches</t>
  </si>
  <si>
    <r>
      <t>area, ft</t>
    </r>
    <r>
      <rPr>
        <vertAlign val="superscript"/>
        <sz val="11"/>
        <rFont val="Times New Roman"/>
        <family val="1"/>
      </rPr>
      <t>2</t>
    </r>
  </si>
  <si>
    <r>
      <t>A</t>
    </r>
    <r>
      <rPr>
        <vertAlign val="subscript"/>
        <sz val="11"/>
        <rFont val="Times New Roman"/>
        <family val="1"/>
      </rPr>
      <t>mesh</t>
    </r>
  </si>
  <si>
    <r>
      <t>Mesh pad area, ft</t>
    </r>
    <r>
      <rPr>
        <vertAlign val="superscript"/>
        <sz val="11"/>
        <rFont val="Times New Roman"/>
        <family val="1"/>
      </rPr>
      <t>2</t>
    </r>
  </si>
  <si>
    <r>
      <t>A</t>
    </r>
    <r>
      <rPr>
        <vertAlign val="subscript"/>
        <sz val="11"/>
        <rFont val="Times New Roman"/>
        <family val="1"/>
      </rPr>
      <t>p</t>
    </r>
  </si>
  <si>
    <r>
      <t>particle or droplet cross sectional area, ft</t>
    </r>
    <r>
      <rPr>
        <vertAlign val="superscript"/>
        <sz val="11"/>
        <rFont val="Times New Roman"/>
        <family val="1"/>
      </rPr>
      <t>2</t>
    </r>
  </si>
  <si>
    <r>
      <t>N</t>
    </r>
    <r>
      <rPr>
        <vertAlign val="subscript"/>
        <sz val="11"/>
        <rFont val="Times New Roman"/>
        <family val="1"/>
      </rPr>
      <t>μ</t>
    </r>
  </si>
  <si>
    <r>
      <t>D</t>
    </r>
    <r>
      <rPr>
        <vertAlign val="subscript"/>
        <sz val="11"/>
        <rFont val="Times New Roman"/>
        <family val="1"/>
      </rPr>
      <t>c</t>
    </r>
  </si>
  <si>
    <r>
      <t>D</t>
    </r>
    <r>
      <rPr>
        <vertAlign val="subscript"/>
        <sz val="11"/>
        <rFont val="Times New Roman"/>
        <family val="1"/>
      </rPr>
      <t>h</t>
    </r>
  </si>
  <si>
    <r>
      <t>D</t>
    </r>
    <r>
      <rPr>
        <vertAlign val="subscript"/>
        <sz val="11"/>
        <rFont val="Times New Roman"/>
        <family val="1"/>
      </rPr>
      <t>p</t>
    </r>
  </si>
  <si>
    <r>
      <t>actual gas flow rate, ft</t>
    </r>
    <r>
      <rPr>
        <vertAlign val="superscript"/>
        <sz val="11"/>
        <rFont val="Times New Roman"/>
        <family val="1"/>
      </rPr>
      <t>3</t>
    </r>
    <r>
      <rPr>
        <sz val="11"/>
        <rFont val="Times New Roman"/>
        <family val="1"/>
      </rPr>
      <t>/sec</t>
    </r>
  </si>
  <si>
    <r>
      <t>d</t>
    </r>
    <r>
      <rPr>
        <vertAlign val="subscript"/>
        <sz val="11"/>
        <rFont val="Times New Roman"/>
        <family val="1"/>
      </rPr>
      <t>2</t>
    </r>
  </si>
  <si>
    <r>
      <t>Q</t>
    </r>
    <r>
      <rPr>
        <vertAlign val="subscript"/>
        <sz val="11"/>
        <rFont val="Times New Roman"/>
        <family val="1"/>
      </rPr>
      <t>1</t>
    </r>
  </si>
  <si>
    <r>
      <t>Liquid volumetric flow rate, ft</t>
    </r>
    <r>
      <rPr>
        <vertAlign val="superscript"/>
        <sz val="11"/>
        <rFont val="Times New Roman"/>
        <family val="1"/>
      </rPr>
      <t>3</t>
    </r>
    <r>
      <rPr>
        <sz val="11"/>
        <rFont val="Times New Roman"/>
        <family val="1"/>
      </rPr>
      <t>/min</t>
    </r>
  </si>
  <si>
    <r>
      <t>d</t>
    </r>
    <r>
      <rPr>
        <vertAlign val="subscript"/>
        <sz val="11"/>
        <rFont val="Times New Roman"/>
        <family val="1"/>
      </rPr>
      <t>95</t>
    </r>
  </si>
  <si>
    <r>
      <t>Q</t>
    </r>
    <r>
      <rPr>
        <vertAlign val="subscript"/>
        <sz val="11"/>
        <rFont val="Times New Roman"/>
        <family val="1"/>
      </rPr>
      <t>1,max</t>
    </r>
  </si>
  <si>
    <r>
      <t>Maximum liquid volumetric flow rate, ft</t>
    </r>
    <r>
      <rPr>
        <vertAlign val="superscript"/>
        <sz val="11"/>
        <rFont val="Times New Roman"/>
        <family val="1"/>
      </rPr>
      <t>3</t>
    </r>
    <r>
      <rPr>
        <sz val="11"/>
        <rFont val="Times New Roman"/>
        <family val="1"/>
      </rPr>
      <t>/min</t>
    </r>
  </si>
  <si>
    <r>
      <t>acceleration due to gravity, 32.2 ft/sec</t>
    </r>
    <r>
      <rPr>
        <vertAlign val="superscript"/>
        <sz val="11"/>
        <rFont val="Times New Roman"/>
        <family val="1"/>
      </rPr>
      <t>2</t>
    </r>
  </si>
  <si>
    <r>
      <t>gas constant, 10.73 (psia•ft</t>
    </r>
    <r>
      <rPr>
        <vertAlign val="superscript"/>
        <sz val="11"/>
        <rFont val="Times New Roman"/>
        <family val="1"/>
      </rPr>
      <t>3</t>
    </r>
    <r>
      <rPr>
        <sz val="11"/>
        <rFont val="Times New Roman"/>
        <family val="1"/>
      </rPr>
      <t>)(</t>
    </r>
    <r>
      <rPr>
        <sz val="11"/>
        <rFont val="Calibri"/>
        <family val="2"/>
      </rPr>
      <t>°</t>
    </r>
    <r>
      <rPr>
        <sz val="11"/>
        <rFont val="Times New Roman"/>
        <family val="1"/>
      </rPr>
      <t>R•lb mole)</t>
    </r>
  </si>
  <si>
    <r>
      <t>Dimensionless Stokes Number: [g • p</t>
    </r>
    <r>
      <rPr>
        <vertAlign val="subscript"/>
        <sz val="11"/>
        <rFont val="Times New Roman"/>
        <family val="1"/>
      </rPr>
      <t>c</t>
    </r>
    <r>
      <rPr>
        <sz val="11"/>
        <rFont val="Times New Roman"/>
        <family val="1"/>
      </rPr>
      <t xml:space="preserve"> • V</t>
    </r>
    <r>
      <rPr>
        <vertAlign val="subscript"/>
        <sz val="11"/>
        <rFont val="Times New Roman"/>
        <family val="1"/>
      </rPr>
      <t>c</t>
    </r>
    <r>
      <rPr>
        <sz val="11"/>
        <rFont val="Times New Roman"/>
        <family val="1"/>
      </rPr>
      <t xml:space="preserve"> • D</t>
    </r>
    <r>
      <rPr>
        <vertAlign val="superscript"/>
        <sz val="11"/>
        <rFont val="Times New Roman"/>
        <family val="1"/>
      </rPr>
      <t>2</t>
    </r>
    <r>
      <rPr>
        <vertAlign val="subscript"/>
        <sz val="11"/>
        <rFont val="Times New Roman"/>
        <family val="1"/>
      </rPr>
      <t>p</t>
    </r>
    <r>
      <rPr>
        <sz val="11"/>
        <rFont val="Times New Roman"/>
        <family val="1"/>
      </rPr>
      <t>]/(18μ</t>
    </r>
    <r>
      <rPr>
        <vertAlign val="subscript"/>
        <sz val="11"/>
        <rFont val="Times New Roman"/>
        <family val="1"/>
      </rPr>
      <t>c</t>
    </r>
    <r>
      <rPr>
        <sz val="11"/>
        <rFont val="Times New Roman"/>
        <family val="1"/>
      </rPr>
      <t xml:space="preserve"> • D</t>
    </r>
    <r>
      <rPr>
        <vertAlign val="subscript"/>
        <sz val="11"/>
        <rFont val="Times New Roman"/>
        <family val="1"/>
      </rPr>
      <t>c</t>
    </r>
    <r>
      <rPr>
        <sz val="11"/>
        <rFont val="Times New Roman"/>
        <family val="1"/>
      </rPr>
      <t>)</t>
    </r>
  </si>
  <si>
    <r>
      <t>H</t>
    </r>
    <r>
      <rPr>
        <vertAlign val="subscript"/>
        <sz val="11"/>
        <rFont val="Times New Roman"/>
        <family val="1"/>
      </rPr>
      <t>set</t>
    </r>
  </si>
  <si>
    <r>
      <t xml:space="preserve">system temperature, </t>
    </r>
    <r>
      <rPr>
        <sz val="11"/>
        <rFont val="Calibri"/>
        <family val="2"/>
      </rPr>
      <t>°</t>
    </r>
    <r>
      <rPr>
        <sz val="11"/>
        <rFont val="Times New Roman"/>
        <family val="1"/>
      </rPr>
      <t>R</t>
    </r>
  </si>
  <si>
    <r>
      <t>V</t>
    </r>
    <r>
      <rPr>
        <vertAlign val="subscript"/>
        <sz val="11"/>
        <rFont val="Times New Roman"/>
        <family val="1"/>
      </rPr>
      <t>c</t>
    </r>
  </si>
  <si>
    <r>
      <t>V</t>
    </r>
    <r>
      <rPr>
        <vertAlign val="subscript"/>
        <sz val="11"/>
        <rFont val="Times New Roman"/>
        <family val="1"/>
      </rPr>
      <t>h</t>
    </r>
  </si>
  <si>
    <r>
      <t>gas momentum, lb/(ft•sec</t>
    </r>
    <r>
      <rPr>
        <vertAlign val="superscript"/>
        <sz val="11"/>
        <rFont val="Times New Roman"/>
        <family val="1"/>
      </rPr>
      <t>2</t>
    </r>
    <r>
      <rPr>
        <sz val="11"/>
        <rFont val="Times New Roman"/>
        <family val="1"/>
      </rPr>
      <t>)</t>
    </r>
  </si>
  <si>
    <r>
      <t>V</t>
    </r>
    <r>
      <rPr>
        <vertAlign val="subscript"/>
        <sz val="11"/>
        <rFont val="Times New Roman"/>
        <family val="1"/>
      </rPr>
      <t>1</t>
    </r>
  </si>
  <si>
    <r>
      <t>V</t>
    </r>
    <r>
      <rPr>
        <vertAlign val="subscript"/>
        <sz val="11"/>
        <rFont val="Times New Roman"/>
        <family val="1"/>
      </rPr>
      <t>r</t>
    </r>
  </si>
  <si>
    <r>
      <t>K</t>
    </r>
    <r>
      <rPr>
        <vertAlign val="subscript"/>
        <sz val="11"/>
        <rFont val="Times New Roman"/>
        <family val="1"/>
      </rPr>
      <t>CR</t>
    </r>
  </si>
  <si>
    <r>
      <t>V</t>
    </r>
    <r>
      <rPr>
        <vertAlign val="subscript"/>
        <sz val="11"/>
        <rFont val="Times New Roman"/>
        <family val="1"/>
      </rPr>
      <t>r,max</t>
    </r>
  </si>
  <si>
    <r>
      <t>V</t>
    </r>
    <r>
      <rPr>
        <vertAlign val="subscript"/>
        <sz val="11"/>
        <rFont val="Times New Roman"/>
        <family val="1"/>
      </rPr>
      <t>t</t>
    </r>
  </si>
  <si>
    <r>
      <t>critical or terminal gas velocity necessary for particles of size D</t>
    </r>
    <r>
      <rPr>
        <vertAlign val="subscript"/>
        <sz val="11"/>
        <rFont val="Times New Roman"/>
        <family val="1"/>
      </rPr>
      <t>p</t>
    </r>
    <r>
      <rPr>
        <sz val="11"/>
        <rFont val="Times New Roman"/>
        <family val="1"/>
      </rPr>
      <t xml:space="preserve"> to drop or settle out of gas, ft/sec</t>
    </r>
  </si>
  <si>
    <r>
      <t>L</t>
    </r>
    <r>
      <rPr>
        <vertAlign val="subscript"/>
        <sz val="11"/>
        <rFont val="Times New Roman"/>
        <family val="1"/>
      </rPr>
      <t>set</t>
    </r>
  </si>
  <si>
    <r>
      <t>W</t>
    </r>
    <r>
      <rPr>
        <vertAlign val="subscript"/>
        <sz val="11"/>
        <rFont val="Times New Roman"/>
        <family val="1"/>
      </rPr>
      <t>g</t>
    </r>
  </si>
  <si>
    <r>
      <t>W</t>
    </r>
    <r>
      <rPr>
        <vertAlign val="subscript"/>
        <sz val="11"/>
        <rFont val="Times New Roman"/>
        <family val="1"/>
      </rPr>
      <t>1</t>
    </r>
  </si>
  <si>
    <r>
      <t>M</t>
    </r>
    <r>
      <rPr>
        <vertAlign val="subscript"/>
        <sz val="11"/>
        <rFont val="Times New Roman"/>
        <family val="1"/>
      </rPr>
      <t>p</t>
    </r>
  </si>
  <si>
    <r>
      <t>ρ</t>
    </r>
    <r>
      <rPr>
        <vertAlign val="subscript"/>
        <sz val="11"/>
        <rFont val="Times New Roman"/>
        <family val="1"/>
      </rPr>
      <t>c</t>
    </r>
  </si>
  <si>
    <r>
      <t>Continuous phase density, lb/ft</t>
    </r>
    <r>
      <rPr>
        <vertAlign val="superscript"/>
        <sz val="11"/>
        <rFont val="Times New Roman"/>
        <family val="1"/>
      </rPr>
      <t>3</t>
    </r>
  </si>
  <si>
    <r>
      <rPr>
        <sz val="11"/>
        <rFont val="Calibri"/>
        <family val="2"/>
      </rPr>
      <t>ρ</t>
    </r>
    <r>
      <rPr>
        <vertAlign val="subscript"/>
        <sz val="11"/>
        <rFont val="Times New Roman"/>
        <family val="1"/>
      </rPr>
      <t>g</t>
    </r>
  </si>
  <si>
    <r>
      <t>gas phase density, lb/ft</t>
    </r>
    <r>
      <rPr>
        <vertAlign val="superscript"/>
        <sz val="11"/>
        <rFont val="Times New Roman"/>
        <family val="1"/>
      </rPr>
      <t>3</t>
    </r>
  </si>
  <si>
    <r>
      <rPr>
        <sz val="11"/>
        <rFont val="Calibri"/>
        <family val="2"/>
      </rPr>
      <t>ρ</t>
    </r>
    <r>
      <rPr>
        <vertAlign val="subscript"/>
        <sz val="11"/>
        <rFont val="Times New Roman"/>
        <family val="1"/>
      </rPr>
      <t>l</t>
    </r>
  </si>
  <si>
    <r>
      <t>liquid phase density, droplet or particle, lb/ft</t>
    </r>
    <r>
      <rPr>
        <vertAlign val="superscript"/>
        <sz val="11"/>
        <rFont val="Times New Roman"/>
        <family val="1"/>
      </rPr>
      <t>3</t>
    </r>
  </si>
  <si>
    <r>
      <t>Heavy liquid phase density, lb/ft</t>
    </r>
    <r>
      <rPr>
        <vertAlign val="superscript"/>
        <sz val="11"/>
        <rFont val="Times New Roman"/>
        <family val="1"/>
      </rPr>
      <t>3</t>
    </r>
  </si>
  <si>
    <r>
      <t>Light liquid phase density, lb/ft</t>
    </r>
    <r>
      <rPr>
        <vertAlign val="superscript"/>
        <sz val="11"/>
        <rFont val="Times New Roman"/>
        <family val="1"/>
      </rPr>
      <t>3</t>
    </r>
  </si>
  <si>
    <r>
      <t>Mixed fluid density, lb/ft</t>
    </r>
    <r>
      <rPr>
        <vertAlign val="superscript"/>
        <sz val="11"/>
        <rFont val="Times New Roman"/>
        <family val="1"/>
      </rPr>
      <t>3</t>
    </r>
  </si>
  <si>
    <r>
      <t>ρ</t>
    </r>
    <r>
      <rPr>
        <vertAlign val="subscript"/>
        <sz val="11"/>
        <rFont val="Times New Roman"/>
        <family val="1"/>
      </rPr>
      <t>p</t>
    </r>
  </si>
  <si>
    <r>
      <t>Droplet or partical phase density, lb/ft</t>
    </r>
    <r>
      <rPr>
        <vertAlign val="superscript"/>
        <sz val="11"/>
        <rFont val="Times New Roman"/>
        <family val="1"/>
      </rPr>
      <t>3</t>
    </r>
  </si>
  <si>
    <r>
      <t>μ</t>
    </r>
    <r>
      <rPr>
        <vertAlign val="subscript"/>
        <sz val="11"/>
        <rFont val="Calibri"/>
        <family val="2"/>
      </rPr>
      <t>c</t>
    </r>
  </si>
  <si>
    <r>
      <rPr>
        <sz val="11"/>
        <rFont val="Times New Roman"/>
        <family val="1"/>
      </rPr>
      <t>μ</t>
    </r>
    <r>
      <rPr>
        <vertAlign val="subscript"/>
        <sz val="11"/>
        <rFont val="Times New Roman"/>
        <family val="1"/>
      </rPr>
      <t>hl</t>
    </r>
  </si>
  <si>
    <r>
      <t>μ</t>
    </r>
    <r>
      <rPr>
        <vertAlign val="subscript"/>
        <sz val="11"/>
        <rFont val="Times New Roman"/>
        <family val="1"/>
      </rPr>
      <t>1</t>
    </r>
  </si>
  <si>
    <r>
      <rPr>
        <sz val="11"/>
        <rFont val="Calibri"/>
        <family val="2"/>
      </rPr>
      <t>°</t>
    </r>
    <r>
      <rPr>
        <sz val="11"/>
        <rFont val="Times New Roman"/>
        <family val="1"/>
      </rPr>
      <t>F,</t>
    </r>
  </si>
  <si>
    <t>Gas molecular weight</t>
  </si>
  <si>
    <t>lbm/lbmole</t>
  </si>
  <si>
    <t>Corrected K-value</t>
  </si>
  <si>
    <t>Souder-Brown K-value</t>
  </si>
  <si>
    <t>inch</t>
  </si>
  <si>
    <t>LLLL to LLL</t>
  </si>
  <si>
    <t>HLL to HHLL</t>
  </si>
  <si>
    <t>De-Gassing:</t>
  </si>
  <si>
    <t>Inlet piping ID</t>
  </si>
  <si>
    <t>Equation 7-16a</t>
  </si>
  <si>
    <t>Equation 7-17</t>
  </si>
  <si>
    <t>Liquid Surge Section</t>
  </si>
  <si>
    <t>Vessel Diameter Sizing</t>
  </si>
  <si>
    <t>Physical Properties</t>
  </si>
  <si>
    <t>Operating Conditions and Design</t>
  </si>
  <si>
    <t>Vessel Lengths</t>
  </si>
  <si>
    <t>Inlet piping OD</t>
  </si>
  <si>
    <t>Inlet device</t>
  </si>
  <si>
    <t>Diffuser</t>
  </si>
  <si>
    <t>Baffle</t>
  </si>
  <si>
    <t>Elbow</t>
  </si>
  <si>
    <t>Half-pipe</t>
  </si>
  <si>
    <t>Cyclone</t>
  </si>
  <si>
    <t>None</t>
  </si>
  <si>
    <t>(Figure 7-35a)</t>
  </si>
  <si>
    <r>
      <t>H</t>
    </r>
    <r>
      <rPr>
        <vertAlign val="subscript"/>
        <sz val="11"/>
        <rFont val="Times New Roman"/>
        <family val="1"/>
      </rPr>
      <t>1</t>
    </r>
    <r>
      <rPr>
        <sz val="11"/>
        <rFont val="Times New Roman"/>
        <family val="1"/>
      </rPr>
      <t xml:space="preserve"> + H</t>
    </r>
    <r>
      <rPr>
        <vertAlign val="subscript"/>
        <sz val="11"/>
        <rFont val="Times New Roman"/>
        <family val="1"/>
      </rPr>
      <t>2</t>
    </r>
  </si>
  <si>
    <r>
      <t>H</t>
    </r>
    <r>
      <rPr>
        <vertAlign val="subscript"/>
        <sz val="11"/>
        <rFont val="Times New Roman"/>
        <family val="1"/>
      </rPr>
      <t>3</t>
    </r>
  </si>
  <si>
    <r>
      <t>H</t>
    </r>
    <r>
      <rPr>
        <vertAlign val="subscript"/>
        <sz val="11"/>
        <rFont val="Times New Roman"/>
        <family val="1"/>
      </rPr>
      <t>4</t>
    </r>
  </si>
  <si>
    <r>
      <t>H</t>
    </r>
    <r>
      <rPr>
        <vertAlign val="subscript"/>
        <sz val="11"/>
        <rFont val="Times New Roman"/>
        <family val="1"/>
      </rPr>
      <t>5</t>
    </r>
    <r>
      <rPr>
        <sz val="11"/>
        <color theme="1"/>
        <rFont val="Arial Narrow"/>
        <family val="2"/>
      </rPr>
      <t/>
    </r>
  </si>
  <si>
    <r>
      <t>H</t>
    </r>
    <r>
      <rPr>
        <vertAlign val="subscript"/>
        <sz val="11"/>
        <rFont val="Times New Roman"/>
        <family val="1"/>
      </rPr>
      <t>6</t>
    </r>
    <r>
      <rPr>
        <sz val="11"/>
        <color theme="1"/>
        <rFont val="Arial Narrow"/>
        <family val="2"/>
      </rPr>
      <t/>
    </r>
  </si>
  <si>
    <t>(bottom tangent to HHLL)</t>
  </si>
  <si>
    <t>(HHLL to Feed nozzle bottom)</t>
  </si>
  <si>
    <t>(Feed nozzle diameter)</t>
  </si>
  <si>
    <t>(Feed nozzle top to mist eliminator bottom)</t>
  </si>
  <si>
    <t>Check Inlet Velocity Head for Nozzle size</t>
  </si>
  <si>
    <t>Demister to Oulet Nozzle</t>
  </si>
  <si>
    <t>Vapor outlet configuration</t>
  </si>
  <si>
    <t>(Figure 7-38)</t>
  </si>
  <si>
    <t>Outlet config.</t>
  </si>
  <si>
    <t>Nozzle above top head</t>
  </si>
  <si>
    <t>Side nozzle above demister</t>
  </si>
  <si>
    <t>Side nozzle below demister</t>
  </si>
  <si>
    <t>Allowance for support ring</t>
  </si>
  <si>
    <t>(K is corrected for pressure using Fig. 7-36)</t>
  </si>
  <si>
    <t>LLLL to LL surge time</t>
  </si>
  <si>
    <t>LLL to HLL surge time</t>
  </si>
  <si>
    <t>HLL to HHLL surge time</t>
  </si>
  <si>
    <t>Internals</t>
  </si>
  <si>
    <t>Mist eliminator</t>
  </si>
  <si>
    <r>
      <t>H</t>
    </r>
    <r>
      <rPr>
        <vertAlign val="subscript"/>
        <sz val="11"/>
        <rFont val="Times New Roman"/>
        <family val="1"/>
      </rPr>
      <t>7</t>
    </r>
    <r>
      <rPr>
        <sz val="11"/>
        <color theme="1"/>
        <rFont val="Arial Narrow"/>
        <family val="2"/>
      </rPr>
      <t/>
    </r>
  </si>
  <si>
    <t>(per Fig. 6-23 for elliptical 2:1 heads)</t>
  </si>
  <si>
    <t>(total length tangent-to-tangent)</t>
  </si>
  <si>
    <r>
      <t>W</t>
    </r>
    <r>
      <rPr>
        <vertAlign val="subscript"/>
        <sz val="11"/>
        <rFont val="Times New Roman"/>
        <family val="1"/>
      </rPr>
      <t>l</t>
    </r>
  </si>
  <si>
    <t>gpm</t>
  </si>
  <si>
    <t>(Equation 7-18, rounded up to 0.5 ft)</t>
  </si>
  <si>
    <t>K values FPS</t>
  </si>
  <si>
    <t>K values SI</t>
  </si>
  <si>
    <r>
      <t>ft</t>
    </r>
    <r>
      <rPr>
        <sz val="11"/>
        <color theme="1"/>
        <rFont val="Arial Narrow"/>
        <family val="2"/>
      </rPr>
      <t/>
    </r>
  </si>
  <si>
    <r>
      <t>C' (Re)</t>
    </r>
    <r>
      <rPr>
        <vertAlign val="superscript"/>
        <sz val="11"/>
        <rFont val="Times New Roman"/>
        <family val="1"/>
      </rPr>
      <t>2</t>
    </r>
  </si>
  <si>
    <r>
      <t>C'</t>
    </r>
    <r>
      <rPr>
        <sz val="11"/>
        <color theme="1"/>
        <rFont val="Arial Narrow"/>
        <family val="2"/>
      </rPr>
      <t/>
    </r>
  </si>
  <si>
    <r>
      <t>V</t>
    </r>
    <r>
      <rPr>
        <vertAlign val="subscript"/>
        <sz val="11"/>
        <rFont val="Times New Roman"/>
        <family val="1"/>
      </rPr>
      <t>t</t>
    </r>
    <r>
      <rPr>
        <sz val="11"/>
        <rFont val="Times New Roman"/>
        <family val="1"/>
      </rPr>
      <t xml:space="preserve"> </t>
    </r>
  </si>
  <si>
    <t>Gas flowrate</t>
  </si>
  <si>
    <t>Type</t>
  </si>
  <si>
    <t>horizontal</t>
  </si>
  <si>
    <t>Design driven by</t>
  </si>
  <si>
    <t>high liquid flowrate</t>
  </si>
  <si>
    <t>LLLL height</t>
  </si>
  <si>
    <t>Length/Diameter ratio</t>
  </si>
  <si>
    <t>lb/lbmol</t>
  </si>
  <si>
    <t>Gas MW</t>
  </si>
  <si>
    <r>
      <rPr>
        <b/>
        <sz val="11"/>
        <rFont val="Times New Roman"/>
        <family val="1"/>
      </rPr>
      <t>Project Surge Times</t>
    </r>
    <r>
      <rPr>
        <sz val="11"/>
        <rFont val="Times New Roman"/>
        <family val="1"/>
      </rPr>
      <t xml:space="preserve"> --</t>
    </r>
  </si>
  <si>
    <t>Flow rates --</t>
  </si>
  <si>
    <r>
      <rPr>
        <b/>
        <sz val="11"/>
        <rFont val="Times New Roman"/>
        <family val="1"/>
      </rPr>
      <t>Assumptions for vessel sizing</t>
    </r>
    <r>
      <rPr>
        <sz val="11"/>
        <rFont val="Times New Roman"/>
        <family val="1"/>
      </rPr>
      <t xml:space="preserve"> -- </t>
    </r>
  </si>
  <si>
    <t>Total vessel capacity</t>
  </si>
  <si>
    <t>Surge volume (LLLL to HHLL)</t>
  </si>
  <si>
    <t>HHLL height</t>
  </si>
  <si>
    <t>NLL height</t>
  </si>
  <si>
    <r>
      <rPr>
        <b/>
        <sz val="11"/>
        <rFont val="Times New Roman"/>
        <family val="1"/>
      </rPr>
      <t>Check Gas flow factor @ HHLL in Gravity Separation Section</t>
    </r>
    <r>
      <rPr>
        <sz val="11"/>
        <rFont val="Times New Roman"/>
        <family val="1"/>
      </rPr>
      <t xml:space="preserve"> --</t>
    </r>
  </si>
  <si>
    <r>
      <t xml:space="preserve"> lb/ft•sec</t>
    </r>
    <r>
      <rPr>
        <vertAlign val="superscript"/>
        <sz val="11"/>
        <rFont val="Times New Roman"/>
        <family val="1"/>
      </rPr>
      <t>2</t>
    </r>
  </si>
  <si>
    <t>Check Nozzles Head --</t>
  </si>
  <si>
    <t>Inlet nozzle size</t>
  </si>
  <si>
    <t>Inlet nozzle ID</t>
  </si>
  <si>
    <t>Outlet gas nozzle ID</t>
  </si>
  <si>
    <t>Outlet gas nozzle velocity</t>
  </si>
  <si>
    <t>Inlet nozzle velocity</t>
  </si>
  <si>
    <t>Inlet nozzle momentum</t>
  </si>
  <si>
    <t>Outlet gas nozzle momentum</t>
  </si>
  <si>
    <t>Outlet gas nozzle size</t>
  </si>
  <si>
    <t>Inlet nozzle type</t>
  </si>
  <si>
    <t>diffuser</t>
  </si>
  <si>
    <t>Gas flow area</t>
  </si>
  <si>
    <t>Average gas velocity</t>
  </si>
  <si>
    <t>Flow factor</t>
  </si>
  <si>
    <t>De-gassing</t>
  </si>
  <si>
    <t>K factor for high efficiency eliminator</t>
  </si>
  <si>
    <t>De-rated K factor</t>
  </si>
  <si>
    <t>Light liquid flowrate</t>
  </si>
  <si>
    <t>Heavy liquid flowrate</t>
  </si>
  <si>
    <t>Liquid droplet removal size (liq/liq separation)</t>
  </si>
  <si>
    <t>Liquid surge time (LLL to HLL)</t>
  </si>
  <si>
    <t>min,  or</t>
  </si>
  <si>
    <t>HHLL (% of full volume)</t>
  </si>
  <si>
    <r>
      <t>μ</t>
    </r>
    <r>
      <rPr>
        <vertAlign val="subscript"/>
        <sz val="11"/>
        <rFont val="Times New Roman"/>
        <family val="1"/>
      </rPr>
      <t xml:space="preserve">ll </t>
    </r>
  </si>
  <si>
    <t>Standpipe</t>
  </si>
  <si>
    <t>Yes</t>
  </si>
  <si>
    <t>Light surge time fraction (NLL to HLL)</t>
  </si>
  <si>
    <t>Time between HLL and HHLL</t>
  </si>
  <si>
    <t>Separator sizing driver</t>
  </si>
  <si>
    <t>Liquid surge</t>
  </si>
  <si>
    <t>Heavy liquid retention time (Bottom-NILL)</t>
  </si>
  <si>
    <t>Light liquid retention time (NILL-NLL)</t>
  </si>
  <si>
    <t>Settling chamber L/D</t>
  </si>
  <si>
    <t>LLILL elevation above boot bottom</t>
  </si>
  <si>
    <t>LILL elevation above LLILL</t>
  </si>
  <si>
    <t>NLL elevation above boot bottom</t>
  </si>
  <si>
    <t>HLL elevation above boot bottom</t>
  </si>
  <si>
    <t>LILL elevation above boot bottom</t>
  </si>
  <si>
    <t>HILL elevation above boot bottom</t>
  </si>
  <si>
    <t>Standpipe elevation above boot bottom</t>
  </si>
  <si>
    <t>LLL elevation above boot bottom</t>
  </si>
  <si>
    <t>HHLL elevation above boot bottom</t>
  </si>
  <si>
    <t>NILL elevation above boot bottom</t>
  </si>
  <si>
    <t>HILL elevation above NILL</t>
  </si>
  <si>
    <t>Standpipe elevation above HILL</t>
  </si>
  <si>
    <t>LLL elevation above Standpipe</t>
  </si>
  <si>
    <t>HHLL elevation above HLL</t>
  </si>
  <si>
    <t>inch/min</t>
  </si>
  <si>
    <t>Settling time required</t>
  </si>
  <si>
    <t>Available settling time</t>
  </si>
  <si>
    <t>Settlement of larger heavy oil particles</t>
  </si>
  <si>
    <t>ft/min</t>
  </si>
  <si>
    <t>Maximum settling velocity</t>
  </si>
  <si>
    <t>Max. axial-velocity</t>
  </si>
  <si>
    <r>
      <rPr>
        <b/>
        <sz val="11"/>
        <rFont val="Times New Roman"/>
        <family val="1"/>
      </rPr>
      <t>Check Settling Time for Off- Normal Level Operation</t>
    </r>
    <r>
      <rPr>
        <sz val="11"/>
        <rFont val="Times New Roman"/>
        <family val="1"/>
      </rPr>
      <t xml:space="preserve"> --</t>
    </r>
  </si>
  <si>
    <t>Light phase retention time (NILL to LLL)</t>
  </si>
  <si>
    <t>Stokes' Law settling time</t>
  </si>
  <si>
    <t>Settling process in light-phase</t>
  </si>
  <si>
    <t>Heavy phase retention time (bottom to HILL)</t>
  </si>
  <si>
    <t>Light phase retention time (HILL to NLL)</t>
  </si>
  <si>
    <t>Settling process in heavy-phase</t>
  </si>
  <si>
    <t>Light phase retention time (NILL to HLL)</t>
  </si>
  <si>
    <t>Settlement of larger light oil particles</t>
  </si>
  <si>
    <t>Vessel sizing --</t>
  </si>
  <si>
    <t>Total volume</t>
  </si>
  <si>
    <t>Internal diameter</t>
  </si>
  <si>
    <t>Inlet zone to include 2 distribution baffles</t>
  </si>
  <si>
    <t>Heads, one at each end</t>
  </si>
  <si>
    <t>Tangent-to tangent length</t>
  </si>
  <si>
    <t>Total length</t>
  </si>
  <si>
    <t>Outlet zone (outlet liquid nozzle)</t>
  </si>
  <si>
    <t>Terminal velocity</t>
  </si>
  <si>
    <t>ft/s</t>
  </si>
  <si>
    <t>Calculated Souders-Brown K-value</t>
  </si>
  <si>
    <t>Typical derated K-value for wire mesh mist eliminator</t>
  </si>
  <si>
    <t>Gas section separtion</t>
  </si>
  <si>
    <t>Given:</t>
  </si>
  <si>
    <t>150*0.00003937/12=0.000492</t>
  </si>
  <si>
    <t>Calculations:</t>
  </si>
  <si>
    <t>(from Eq. 7-4)</t>
  </si>
  <si>
    <t>(from Eq. 7-1)</t>
  </si>
  <si>
    <t>(from Fig.7-5)</t>
  </si>
  <si>
    <r>
      <t>(4*32.2*0.000492*(31.2-2.07)/(3*2.07*1.35))</t>
    </r>
    <r>
      <rPr>
        <vertAlign val="superscript"/>
        <sz val="11"/>
        <rFont val="Times New Roman"/>
        <family val="1"/>
      </rPr>
      <t>0.5</t>
    </r>
    <r>
      <rPr>
        <sz val="11"/>
        <rFont val="Times New Roman"/>
        <family val="1"/>
      </rPr>
      <t>=0.47</t>
    </r>
  </si>
  <si>
    <t>Bottom tangent to LLLL</t>
  </si>
  <si>
    <t>LLLL to HHLL</t>
  </si>
  <si>
    <t>17.55*150*1000000/24/379.47=289054</t>
  </si>
  <si>
    <t>100*60/7.4805*44.68=35837</t>
  </si>
  <si>
    <t>289054/1.552/3600*(1+0.1)=56.91</t>
  </si>
  <si>
    <t>0.82*0.35=0.29</t>
  </si>
  <si>
    <t>0.29*SQRT((44.68-1.552)/1.552)=1.51</t>
  </si>
  <si>
    <r>
      <t>(4*56.91/3.1416/1.51)</t>
    </r>
    <r>
      <rPr>
        <vertAlign val="superscript"/>
        <sz val="11"/>
        <rFont val="Times New Roman"/>
        <family val="1"/>
      </rPr>
      <t>0.5</t>
    </r>
    <r>
      <rPr>
        <sz val="11"/>
        <rFont val="Times New Roman"/>
        <family val="1"/>
      </rPr>
      <t>+4/12=7.26</t>
    </r>
  </si>
  <si>
    <t>3.14159*(7.5/2)^2=44.2</t>
  </si>
  <si>
    <t>35837/44.68/60*(1+0.1)=14.7</t>
  </si>
  <si>
    <t>14.7/44.2*5*12=20.0</t>
  </si>
  <si>
    <t>14.7/44.2*1*12=4.0</t>
  </si>
  <si>
    <t>(Equation 7-18, rounded up to 7.5 ft)</t>
  </si>
  <si>
    <t>(rounded up to 2.5 ft)</t>
  </si>
  <si>
    <t>(20+4+4)/12=2.3</t>
  </si>
  <si>
    <t>14.7/44.2/60=0.006</t>
  </si>
  <si>
    <t>1.145/1000*(44.68-1.552)/0.574=0.086</t>
  </si>
  <si>
    <t>can occur</t>
  </si>
  <si>
    <t>26900*5.615/24=6293</t>
  </si>
  <si>
    <t>5181*5.615/24=1212</t>
  </si>
  <si>
    <t>(6293*(10+5*0.5+1)/60+1212*10/60)/0.7=2312</t>
  </si>
  <si>
    <t>(2312/3.1416/(1/12+3/4))^(1/3)=10</t>
  </si>
  <si>
    <t>(289054+35837)*144/1.75/3.1416/(16.876/2)^2/3600=33.2</t>
  </si>
  <si>
    <t>1.75*33.2^2=1929</t>
  </si>
  <si>
    <t>18/12+2.5=4.0</t>
  </si>
  <si>
    <t>7.26/4=1.82  use 2.0</t>
  </si>
  <si>
    <t>7.5/2-16.876/2/12=3.05</t>
  </si>
  <si>
    <t>4+2+1.5+3+0.5+2=13.0</t>
  </si>
  <si>
    <t>15*1000000/24/379.47*17.55=28905</t>
  </si>
  <si>
    <t>25000*5.615/24*44.58=260747</t>
  </si>
  <si>
    <t>1+5+1=7</t>
  </si>
  <si>
    <t>Surge time</t>
  </si>
  <si>
    <t>Volume fraction at NLL</t>
  </si>
  <si>
    <t>(7 min &gt; 2 min)</t>
  </si>
  <si>
    <t>(7 min surging from LLLL to HHLL)</t>
  </si>
  <si>
    <t>(with help from Fig.7-36)</t>
  </si>
  <si>
    <t>0.89*0.35=0.31</t>
  </si>
  <si>
    <t>0.31*SQRT(44.58/0.774-1)=2.35</t>
  </si>
  <si>
    <t>28905/0.774/3600/2.35=4.41</t>
  </si>
  <si>
    <t>Acceptable</t>
  </si>
  <si>
    <r>
      <t>(momentum&lt;6000 lb/ft•sec</t>
    </r>
    <r>
      <rPr>
        <vertAlign val="superscript"/>
        <sz val="11"/>
        <rFont val="Times New Roman"/>
        <family val="1"/>
      </rPr>
      <t>2</t>
    </r>
    <r>
      <rPr>
        <sz val="11"/>
        <rFont val="Times New Roman"/>
        <family val="1"/>
      </rPr>
      <t>)</t>
    </r>
  </si>
  <si>
    <t>Volume fraction to NILL elevation</t>
  </si>
  <si>
    <t>1212*10/60/2312=0.087</t>
  </si>
  <si>
    <t>1.4+6/12=1.9</t>
  </si>
  <si>
    <t>1.9+6/12=2.4</t>
  </si>
  <si>
    <t>2.4+12/12=3.4</t>
  </si>
  <si>
    <t>Volume fraction to NLL elevation</t>
  </si>
  <si>
    <t>12/12=1.0</t>
  </si>
  <si>
    <t>0.14*10=1.4</t>
  </si>
  <si>
    <t>(min. 12 inches)</t>
  </si>
  <si>
    <t>(4 inches above LLILL)</t>
  </si>
  <si>
    <t>Preliminary volume fraction to NILL elevation</t>
  </si>
  <si>
    <t>Preliminary NILL elevation above boot bottom</t>
  </si>
  <si>
    <t>1.33+6/12=1.83</t>
  </si>
  <si>
    <t>1+4/12=1.33</t>
  </si>
  <si>
    <t>(min. 4 inches)</t>
  </si>
  <si>
    <t>(min. 6 inches)</t>
  </si>
  <si>
    <t>NILL elevation above LILL</t>
  </si>
  <si>
    <r>
      <t>Calculate Levels (</t>
    </r>
    <r>
      <rPr>
        <b/>
        <u/>
        <sz val="11"/>
        <rFont val="Times New Roman"/>
        <family val="1"/>
      </rPr>
      <t>including heads volume</t>
    </r>
    <r>
      <rPr>
        <b/>
        <sz val="11"/>
        <rFont val="Times New Roman"/>
        <family val="1"/>
      </rPr>
      <t>) --</t>
    </r>
  </si>
  <si>
    <t>6293*10/60/2312+0.125=0.579</t>
  </si>
  <si>
    <t>0.579*10=5.8</t>
  </si>
  <si>
    <t>Volume fraction to HLL elevation</t>
  </si>
  <si>
    <t>6293*2.5/60/2312+0.579=0.692</t>
  </si>
  <si>
    <t>Calculate Levels (ignoring heads volume) --</t>
  </si>
  <si>
    <t>6.5+4/12=6.83</t>
  </si>
  <si>
    <t>0.65*10=6.50</t>
  </si>
  <si>
    <t>(4 inches above HLL)</t>
  </si>
  <si>
    <t>(5.8-1.83)/C55*12=4.8</t>
  </si>
  <si>
    <t>(10 min &gt; 4.8 min)</t>
  </si>
  <si>
    <t>Stokes's Law Analysis for Heavy Oil Particles Settling Through Light Oil Phase (NLL to NILL levels) --</t>
  </si>
  <si>
    <t>Stokes's Law Analysis for Light Oil Particles Rising Through Heavy Oil Phase (Bottom to NILL) --</t>
  </si>
  <si>
    <r>
      <t>1212/60/0.125/(3.1416*(10/2)</t>
    </r>
    <r>
      <rPr>
        <vertAlign val="superscript"/>
        <sz val="11"/>
        <rFont val="Times New Roman"/>
        <family val="1"/>
      </rPr>
      <t>2</t>
    </r>
    <r>
      <rPr>
        <sz val="11"/>
        <rFont val="Times New Roman"/>
        <family val="1"/>
      </rPr>
      <t>)=2.1</t>
    </r>
  </si>
  <si>
    <t>(1.83-0)/C55*12=2.2</t>
  </si>
  <si>
    <r>
      <t>6293/60/(0.579-0.125)/(3.1416*(10/2)</t>
    </r>
    <r>
      <rPr>
        <vertAlign val="superscript"/>
        <sz val="11"/>
        <rFont val="Times New Roman"/>
        <family val="1"/>
      </rPr>
      <t>2</t>
    </r>
    <r>
      <rPr>
        <sz val="11"/>
        <rFont val="Times New Roman"/>
        <family val="1"/>
      </rPr>
      <t>)=2.9</t>
    </r>
  </si>
  <si>
    <t>Aceptable</t>
  </si>
  <si>
    <t>Volume fraction to LLL elevation</t>
  </si>
  <si>
    <t>(0.35-0.125)*2312/6293*60=5.0</t>
  </si>
  <si>
    <t>(3.4-1.83)/(10/12)=1.9</t>
  </si>
  <si>
    <t>Volume fraction to HILL elevation</t>
  </si>
  <si>
    <t>0.135*2312*60/1212=15.5</t>
  </si>
  <si>
    <t>1.9/(10/12)=2.3</t>
  </si>
  <si>
    <t>(0.692-0.125)*2312/6293*60=12.5</t>
  </si>
  <si>
    <t>(5.8-1.9)/(10/12)=4.7</t>
  </si>
  <si>
    <t>(0.579-0.135)*2312/6293*60=9.8</t>
  </si>
  <si>
    <t>(6.5-1.83 )/10*12=5.6</t>
  </si>
  <si>
    <t>0.5*10=5.0</t>
  </si>
  <si>
    <t>2*10/4=5.0</t>
  </si>
  <si>
    <t>0.25*10=2.5</t>
  </si>
  <si>
    <t>10*3=30.0</t>
  </si>
  <si>
    <t>5+5+2.5+30=37.5</t>
  </si>
  <si>
    <t>1488*32.2*(150*0.00003937/12)^2*(43.7-0.774)/18/0.02=1.4</t>
  </si>
  <si>
    <r>
      <t>1.4/((43.7-0.774)/0.774)</t>
    </r>
    <r>
      <rPr>
        <vertAlign val="superscript"/>
        <sz val="11"/>
        <rFont val="Times New Roman"/>
        <family val="1"/>
      </rPr>
      <t>0.5</t>
    </r>
    <r>
      <rPr>
        <sz val="11"/>
        <rFont val="Times New Roman"/>
        <family val="1"/>
      </rPr>
      <t>=0.188</t>
    </r>
  </si>
  <si>
    <t>(min. 6 inches above LILL)</t>
  </si>
  <si>
    <t>(H/D≈0.14 from Fig.6-24)</t>
  </si>
  <si>
    <t>(H/D≈0.183 from Fig.6-24)</t>
  </si>
  <si>
    <t>(H/D≈0.19 from Fig.6-24)</t>
  </si>
  <si>
    <t>(from Fig.6-24 w/H/D≈0.34)</t>
  </si>
  <si>
    <t>(H/D≈0.562 from Fig.6-24)</t>
  </si>
  <si>
    <t>(H/D≈0.65 from Fig.6-24)</t>
  </si>
  <si>
    <t>Example 7-4 -- Provide a vessel to separate gas, light liquid, and heavy liquid at the conditions given below.</t>
  </si>
  <si>
    <t>Application 7-4 -- Provide a vessel to separate gas, light liquid, and heavy liquid at the conditions given below.</t>
  </si>
  <si>
    <t>Example 7-1 -- Calculate the terminal velocity using the drag coefficient and Stokes' Law terminal settling velocity in a vertical gas-liquid separator for a 150 micron particle for a fluid with the physical properties listed below.</t>
  </si>
  <si>
    <t>Application 7-1 -- Calculate the terminal velocity using the drag coefficient and Stokes' Law terminal settling velocity in a vertical gas-liquid separator for a 150 micron particle for a fluid with the physical properties listed below.</t>
  </si>
  <si>
    <r>
      <t>0.95*10</t>
    </r>
    <r>
      <rPr>
        <vertAlign val="superscript"/>
        <sz val="11"/>
        <rFont val="Times New Roman"/>
        <family val="1"/>
      </rPr>
      <t>8*</t>
    </r>
    <r>
      <rPr>
        <sz val="11"/>
        <rFont val="Times New Roman"/>
        <family val="1"/>
      </rPr>
      <t>2.07*(0.000492</t>
    </r>
    <r>
      <rPr>
        <vertAlign val="superscript"/>
        <sz val="11"/>
        <rFont val="Times New Roman"/>
        <family val="1"/>
      </rPr>
      <t>3</t>
    </r>
    <r>
      <rPr>
        <sz val="11"/>
        <rFont val="Times New Roman"/>
        <family val="1"/>
      </rPr>
      <t>•(31.2 - 2.07)/0.012</t>
    </r>
    <r>
      <rPr>
        <vertAlign val="superscript"/>
        <sz val="11"/>
        <rFont val="Times New Roman"/>
        <family val="1"/>
      </rPr>
      <t>2</t>
    </r>
    <r>
      <rPr>
        <sz val="11"/>
        <rFont val="Times New Roman"/>
        <family val="1"/>
      </rPr>
      <t>=4741</t>
    </r>
  </si>
  <si>
    <t>Example 7-2 -- Determine the size of a vertical gas-liquid separator with a high efficiency wire mesh mist eliminator to handle 150 MMSCFD (MW= 17.55) of gas and 100 gpm of condensate. A design factor of 10% will be used.</t>
  </si>
  <si>
    <t>Application 7-2 -- Determine the size of a vertical gas-liquid separator with a high efficiency wire mesh mist eliminator to handle 150 MMSCFD (MW= 17.55) of gas and 100 gpm of condensate. A design factor of 10% will be used.</t>
  </si>
  <si>
    <t xml:space="preserve"> acceptable</t>
  </si>
  <si>
    <t>Application 7-3 -- Determine the configuration and size of a separator vessel to provide surge upstream of a process unit and to separate liquids and gas. The stream is 25,000 bpd of condensate and 15 MMSCFD of gas (MW = 17.55). Process conditions are as follows:</t>
  </si>
  <si>
    <t>LLLL to NLL</t>
  </si>
  <si>
    <r>
      <rPr>
        <b/>
        <sz val="11"/>
        <rFont val="Times New Roman"/>
        <family val="1"/>
      </rPr>
      <t>Vessel sizing</t>
    </r>
    <r>
      <rPr>
        <sz val="11"/>
        <rFont val="Times New Roman"/>
        <family val="1"/>
      </rPr>
      <t xml:space="preserve"> -- </t>
    </r>
    <r>
      <rPr>
        <u/>
        <sz val="11"/>
        <rFont val="Times New Roman"/>
        <family val="1"/>
      </rPr>
      <t xml:space="preserve"> Including the liquid volume stored in the vessel's heads</t>
    </r>
  </si>
  <si>
    <t>Vessel internal diameter</t>
  </si>
  <si>
    <t>Vessel length (tangent-to tangent)</t>
  </si>
  <si>
    <t>Partial volume to HHLL height</t>
  </si>
  <si>
    <t>Partial volume to LLLL height</t>
  </si>
  <si>
    <t>H/D at LLLL</t>
  </si>
  <si>
    <t>(using Figs. 6-24 &amp; 6-25)</t>
  </si>
  <si>
    <t>Volume fraction to HHLL height</t>
  </si>
  <si>
    <t>H/D at NLL</t>
  </si>
  <si>
    <t>Not an issue</t>
  </si>
  <si>
    <r>
      <t>(28905+260747)*144*1/(6.87*1*3.14159*(10.02/2)</t>
    </r>
    <r>
      <rPr>
        <vertAlign val="superscript"/>
        <sz val="11"/>
        <rFont val="Times New Roman"/>
        <family val="1"/>
      </rPr>
      <t>2</t>
    </r>
    <r>
      <rPr>
        <sz val="11"/>
        <rFont val="Times New Roman"/>
        <family val="1"/>
      </rPr>
      <t>*3600)=21.4</t>
    </r>
  </si>
  <si>
    <r>
      <t>6.87*21.4</t>
    </r>
    <r>
      <rPr>
        <vertAlign val="superscript"/>
        <sz val="11"/>
        <rFont val="Times New Roman"/>
        <family val="1"/>
      </rPr>
      <t>2</t>
    </r>
    <r>
      <rPr>
        <sz val="11"/>
        <rFont val="Times New Roman"/>
        <family val="1"/>
      </rPr>
      <t>=3142</t>
    </r>
  </si>
  <si>
    <r>
      <t>28905*144*1/0.774/1/3.14159/(6.065/2)</t>
    </r>
    <r>
      <rPr>
        <vertAlign val="superscript"/>
        <sz val="11"/>
        <rFont val="Times New Roman"/>
        <family val="1"/>
      </rPr>
      <t>2</t>
    </r>
    <r>
      <rPr>
        <sz val="11"/>
        <rFont val="Times New Roman"/>
        <family val="1"/>
      </rPr>
      <t>/3600=51.7</t>
    </r>
  </si>
  <si>
    <r>
      <t>0.774*51.7</t>
    </r>
    <r>
      <rPr>
        <vertAlign val="superscript"/>
        <sz val="11"/>
        <rFont val="Times New Roman"/>
        <family val="1"/>
      </rPr>
      <t>2</t>
    </r>
    <r>
      <rPr>
        <sz val="11"/>
        <rFont val="Times New Roman"/>
        <family val="1"/>
      </rPr>
      <t>=2069</t>
    </r>
  </si>
  <si>
    <t>Total volume of vessel</t>
  </si>
  <si>
    <t>260747/60/44.58*7/(0.70-0.10)=1137</t>
  </si>
  <si>
    <r>
      <t>4*1137/3.1416/3/(1+1/(3*3))</t>
    </r>
    <r>
      <rPr>
        <vertAlign val="superscript"/>
        <sz val="11"/>
        <rFont val="Times New Roman"/>
        <family val="1"/>
      </rPr>
      <t>0.333</t>
    </r>
    <r>
      <rPr>
        <sz val="11"/>
        <rFont val="Times New Roman"/>
        <family val="1"/>
      </rPr>
      <t>=7.6</t>
    </r>
  </si>
  <si>
    <t>(rounded up to 8 ft)</t>
  </si>
  <si>
    <t>(rounded up)</t>
  </si>
  <si>
    <t>8*3.0=24</t>
  </si>
  <si>
    <t>Calculated partial volume to LLLL</t>
  </si>
  <si>
    <t>(using Figs. 6-24 &amp; 6-25 w/H/D=0.1875)</t>
  </si>
  <si>
    <t>18/12/8=0.1875</t>
  </si>
  <si>
    <t>0.13*1137=143</t>
  </si>
  <si>
    <t>Assumed partial volume to LLLL</t>
  </si>
  <si>
    <t>Assumed partial volume to HHLL</t>
  </si>
  <si>
    <t>(0.70-0.10)*1137=682</t>
  </si>
  <si>
    <t>143+682=826</t>
  </si>
  <si>
    <t>826/1137*100=73%</t>
  </si>
  <si>
    <t>H/D at HHLL</t>
  </si>
  <si>
    <t>0.679*8=5.43</t>
  </si>
  <si>
    <t>25000*5.615/1440*3.5/1137+0.13=0.426</t>
  </si>
  <si>
    <t>(using Figs. 6-24 &amp; 6-25 w/H/D=0.426)</t>
  </si>
  <si>
    <t>(using Figs. 6-24 &amp; 6-25\)</t>
  </si>
  <si>
    <t>0.443*8=3.54</t>
  </si>
  <si>
    <r>
      <t>(1-0.73)*3.14159*(8/2)</t>
    </r>
    <r>
      <rPr>
        <vertAlign val="superscript"/>
        <sz val="11"/>
        <rFont val="Times New Roman"/>
        <family val="1"/>
      </rPr>
      <t>2</t>
    </r>
    <r>
      <rPr>
        <sz val="11"/>
        <rFont val="Times New Roman"/>
        <family val="1"/>
      </rPr>
      <t>=13.8</t>
    </r>
  </si>
  <si>
    <t>28905/0.774/13.8/3600=0.75</t>
  </si>
  <si>
    <r>
      <t>0.75*((44.58-0.774)/0.774)</t>
    </r>
    <r>
      <rPr>
        <vertAlign val="superscript"/>
        <sz val="11"/>
        <rFont val="Times New Roman"/>
        <family val="1"/>
      </rPr>
      <t>-0.5</t>
    </r>
    <r>
      <rPr>
        <sz val="11"/>
        <rFont val="Times New Roman"/>
        <family val="1"/>
      </rPr>
      <t>=0.100</t>
    </r>
  </si>
  <si>
    <t>GPSA Engineering Data Book 14th Edition</t>
  </si>
  <si>
    <t>REVISION</t>
  </si>
  <si>
    <t>DATE</t>
  </si>
  <si>
    <t>REASON(S) FOR REVISION</t>
  </si>
  <si>
    <t xml:space="preserve">Initial release </t>
  </si>
  <si>
    <t>The sample calculations, equations and spreadsheets presented herein were developed using examples published in the Engineering Data Book as published by the Gas Processors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</si>
  <si>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</si>
  <si>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</si>
  <si>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</si>
  <si>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</si>
  <si>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FIG. 7-1</t>
  </si>
  <si>
    <t>(Acceptable gas area, flow factor&lt;0.5 ft/s)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</si>
</sst>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00"/>
    <numFmt numFmtId="165" formatCode="0.0"/>
    <numFmt numFmtId="166" formatCode="0.000000"/>
    <numFmt numFmtId="167" formatCode="#,##0.0"/>
    <numFmt numFmtId="168" formatCode="#,##0.000"/>
    <numFmt numFmtId="169" formatCode="#,##0.0000"/>
    <numFmt numFmtId="170" formatCode="0.0000"/>
    <numFmt numFmtId="171" formatCode="#,##0.00\ ;&quot; (&quot;#,##0.00\);&quot; -&quot;#\ ;@\ "/>
  </numFmts>
  <fonts count="19" x14ac:knownFonts="1">
    <font>
      <sz val="11"/>
      <color theme="1"/>
      <name val="Calibri"/>
      <family val="2"/>
      <scheme val="minor"/>
    </font>
    <font>
      <sz val="11"/>
      <color theme="1"/>
      <name val="Arial Narrow"/>
      <family val="2"/>
    </font>
    <font>
      <sz val="10"/>
      <name val="Times New Roman"/>
      <family val="1"/>
    </font>
    <font>
      <b/>
      <sz val="11"/>
      <name val="Times New Roman"/>
      <family val="1"/>
    </font>
    <font>
      <sz val="11"/>
      <name val="Times New Roman"/>
      <family val="1"/>
    </font>
    <font>
      <sz val="11"/>
      <color indexed="18"/>
      <name val="Times New Roman"/>
      <family val="1"/>
    </font>
    <font>
      <vertAlign val="subscript"/>
      <sz val="11"/>
      <name val="Times New Roman"/>
      <family val="1"/>
    </font>
    <font>
      <vertAlign val="superscript"/>
      <sz val="11"/>
      <name val="Times New Roman"/>
      <family val="1"/>
    </font>
    <font>
      <sz val="11"/>
      <name val="Calibri"/>
      <family val="2"/>
    </font>
    <font>
      <vertAlign val="subscript"/>
      <sz val="11"/>
      <name val="Calibri"/>
      <family val="2"/>
    </font>
    <font>
      <sz val="11"/>
      <color theme="1"/>
      <name val="Calibri"/>
      <family val="2"/>
      <scheme val="minor"/>
    </font>
    <font>
      <u/>
      <sz val="11"/>
      <name val="Times New Roman"/>
      <family val="1"/>
    </font>
    <font>
      <b/>
      <u/>
      <sz val="11"/>
      <name val="Times New Roman"/>
      <family val="1"/>
    </font>
    <font>
      <sz val="11"/>
      <color rgb="FFFF0000"/>
      <name val="Times New Roman"/>
      <family val="1"/>
    </font>
    <font>
      <sz val="10"/>
      <name val="Arial"/>
      <family val="2"/>
    </font>
    <font>
      <sz val="11"/>
      <color indexed="8"/>
      <name val="Calibri"/>
      <family val="2"/>
    </font>
    <font>
      <b/>
      <sz val="10"/>
      <name val="Times New Roman"/>
      <family val="1"/>
    </font>
    <font>
      <sz val="11"/>
      <color rgb="FFC00000"/>
      <name val="Times New Roman"/>
      <family val="1"/>
    </font>
    <font>
      <sz val="11"/>
      <color theme="1"/>
      <name val="Times New Roman"/>
      <family val="1"/>
    </font>
  </fonts>
  <fills count="6">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0" fillId="0" borderId="0" applyFont="0" applyFill="0" applyBorder="0" applyAlignment="0" applyProtection="0"/>
    <xf numFmtId="9" fontId="10" fillId="0" borderId="0" applyFont="0" applyFill="0" applyBorder="0" applyAlignment="0" applyProtection="0"/>
    <xf numFmtId="0" fontId="14" fillId="0" borderId="0"/>
    <xf numFmtId="171" fontId="15" fillId="0" borderId="0"/>
    <xf numFmtId="0" fontId="15" fillId="0" borderId="0"/>
  </cellStyleXfs>
  <cellXfs count="204">
    <xf numFmtId="0" fontId="0" fillId="0" borderId="0" xfId="0"/>
    <xf numFmtId="0" fontId="4" fillId="0" borderId="0" xfId="0" applyFont="1" applyFill="1" applyProtection="1"/>
    <xf numFmtId="0" fontId="4" fillId="0" borderId="0" xfId="0" applyFont="1" applyFill="1" applyAlignment="1" applyProtection="1">
      <alignment horizontal="center"/>
    </xf>
    <xf numFmtId="0" fontId="5" fillId="2" borderId="0" xfId="0" applyFont="1" applyFill="1" applyBorder="1" applyProtection="1"/>
    <xf numFmtId="0" fontId="4" fillId="2" borderId="0" xfId="0" applyFont="1" applyFill="1" applyBorder="1" applyProtection="1"/>
    <xf numFmtId="0" fontId="4" fillId="2" borderId="0" xfId="0" applyFont="1" applyFill="1" applyBorder="1" applyAlignment="1" applyProtection="1">
      <alignment horizontal="center"/>
    </xf>
    <xf numFmtId="0" fontId="4" fillId="2" borderId="0" xfId="0" applyFont="1" applyFill="1" applyProtection="1"/>
    <xf numFmtId="0" fontId="4" fillId="2" borderId="0" xfId="0" applyFont="1" applyFill="1" applyBorder="1" applyAlignment="1" applyProtection="1">
      <alignment horizontal="center" vertical="center"/>
    </xf>
    <xf numFmtId="0" fontId="4" fillId="2" borderId="0" xfId="0" applyFont="1" applyFill="1" applyAlignment="1" applyProtection="1">
      <alignment horizontal="righ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xf>
    <xf numFmtId="164" fontId="4" fillId="2" borderId="0" xfId="0" applyNumberFormat="1" applyFont="1" applyFill="1" applyBorder="1" applyAlignment="1" applyProtection="1">
      <alignment horizontal="left"/>
    </xf>
    <xf numFmtId="3" fontId="4" fillId="2" borderId="0" xfId="0" applyNumberFormat="1" applyFont="1" applyFill="1" applyBorder="1" applyAlignment="1" applyProtection="1"/>
    <xf numFmtId="165" fontId="4" fillId="2" borderId="0" xfId="0" applyNumberFormat="1" applyFont="1" applyFill="1" applyBorder="1" applyAlignment="1" applyProtection="1">
      <alignment horizontal="center"/>
    </xf>
    <xf numFmtId="165" fontId="4" fillId="2" borderId="0" xfId="0" applyNumberFormat="1" applyFont="1" applyFill="1" applyAlignment="1" applyProtection="1">
      <alignment horizontal="center"/>
    </xf>
    <xf numFmtId="0" fontId="4" fillId="2" borderId="0" xfId="0" applyFont="1" applyFill="1" applyAlignment="1" applyProtection="1">
      <alignment vertical="center"/>
    </xf>
    <xf numFmtId="0" fontId="3" fillId="2" borderId="0" xfId="0" applyFont="1" applyFill="1" applyProtection="1"/>
    <xf numFmtId="3" fontId="4" fillId="2" borderId="0" xfId="0" applyNumberFormat="1" applyFont="1" applyFill="1" applyBorder="1" applyProtection="1"/>
    <xf numFmtId="3" fontId="4" fillId="2" borderId="0" xfId="0" applyNumberFormat="1" applyFont="1" applyFill="1" applyBorder="1" applyAlignment="1" applyProtection="1">
      <alignment horizontal="left"/>
    </xf>
    <xf numFmtId="0" fontId="4" fillId="2" borderId="0" xfId="0" applyFont="1" applyFill="1" applyAlignment="1" applyProtection="1">
      <alignment horizontal="center"/>
    </xf>
    <xf numFmtId="0" fontId="3" fillId="2" borderId="0" xfId="0" applyFont="1" applyFill="1" applyAlignment="1" applyProtection="1">
      <alignment horizontal="center"/>
    </xf>
    <xf numFmtId="166" fontId="4" fillId="2" borderId="0" xfId="0" applyNumberFormat="1" applyFont="1" applyFill="1" applyAlignment="1" applyProtection="1">
      <alignment horizontal="center"/>
    </xf>
    <xf numFmtId="2" fontId="4" fillId="2" borderId="0" xfId="0" applyNumberFormat="1" applyFont="1" applyFill="1" applyAlignment="1" applyProtection="1">
      <alignment horizontal="center"/>
    </xf>
    <xf numFmtId="2" fontId="4" fillId="2" borderId="0" xfId="0" applyNumberFormat="1" applyFont="1" applyFill="1" applyAlignment="1" applyProtection="1">
      <alignment horizontal="center" vertical="center"/>
    </xf>
    <xf numFmtId="0" fontId="4" fillId="4" borderId="0"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3" fontId="4" fillId="4" borderId="0" xfId="0" applyNumberFormat="1" applyFont="1" applyFill="1" applyBorder="1" applyAlignment="1" applyProtection="1">
      <alignment horizontal="center"/>
      <protection locked="0"/>
    </xf>
    <xf numFmtId="9" fontId="4" fillId="4" borderId="0" xfId="2" applyFont="1" applyFill="1" applyBorder="1" applyAlignment="1" applyProtection="1">
      <alignment horizontal="center"/>
      <protection locked="0"/>
    </xf>
    <xf numFmtId="164" fontId="4" fillId="4" borderId="0" xfId="0" applyNumberFormat="1" applyFont="1" applyFill="1" applyAlignment="1" applyProtection="1">
      <alignment horizontal="center"/>
      <protection locked="0"/>
    </xf>
    <xf numFmtId="165" fontId="4" fillId="4" borderId="0" xfId="0" applyNumberFormat="1" applyFont="1" applyFill="1" applyAlignment="1" applyProtection="1">
      <alignment horizontal="center"/>
      <protection locked="0"/>
    </xf>
    <xf numFmtId="0" fontId="4" fillId="4" borderId="0" xfId="0" applyFont="1" applyFill="1" applyBorder="1" applyAlignment="1" applyProtection="1">
      <alignment horizontal="center" vertical="center"/>
      <protection locked="0"/>
    </xf>
    <xf numFmtId="0" fontId="5" fillId="2" borderId="0" xfId="0" applyFont="1" applyFill="1" applyBorder="1" applyAlignment="1" applyProtection="1">
      <alignment wrapText="1"/>
    </xf>
    <xf numFmtId="3" fontId="4" fillId="2" borderId="0" xfId="0" applyNumberFormat="1" applyFont="1" applyFill="1" applyBorder="1" applyAlignment="1" applyProtection="1">
      <alignment horizontal="center"/>
    </xf>
    <xf numFmtId="2" fontId="4" fillId="2" borderId="0" xfId="1" applyNumberFormat="1" applyFont="1" applyFill="1" applyBorder="1" applyAlignment="1" applyProtection="1">
      <alignment horizontal="center" vertical="center"/>
    </xf>
    <xf numFmtId="2" fontId="4" fillId="2" borderId="0" xfId="1" applyNumberFormat="1" applyFont="1" applyFill="1" applyBorder="1" applyAlignment="1" applyProtection="1">
      <alignment horizontal="center"/>
    </xf>
    <xf numFmtId="2" fontId="4" fillId="2" borderId="0" xfId="1" applyNumberFormat="1" applyFont="1" applyFill="1" applyAlignment="1" applyProtection="1">
      <alignment horizontal="center"/>
    </xf>
    <xf numFmtId="164" fontId="4" fillId="2" borderId="0" xfId="0" applyNumberFormat="1" applyFont="1" applyFill="1" applyAlignment="1" applyProtection="1">
      <alignment horizontal="center"/>
    </xf>
    <xf numFmtId="0" fontId="4" fillId="2" borderId="0" xfId="0" applyFont="1" applyFill="1" applyAlignment="1" applyProtection="1">
      <alignment wrapText="1"/>
    </xf>
    <xf numFmtId="0" fontId="4" fillId="2" borderId="0" xfId="0" applyFont="1" applyFill="1" applyAlignment="1" applyProtection="1">
      <alignment horizontal="right" vertical="center"/>
    </xf>
    <xf numFmtId="0" fontId="4" fillId="2" borderId="0" xfId="0" applyFont="1" applyFill="1" applyAlignment="1" applyProtection="1">
      <alignment horizontal="center" vertical="center"/>
    </xf>
    <xf numFmtId="0" fontId="4" fillId="2" borderId="0" xfId="0" applyFont="1" applyFill="1" applyBorder="1" applyAlignment="1" applyProtection="1">
      <alignment horizontal="right"/>
    </xf>
    <xf numFmtId="167" fontId="4" fillId="4" borderId="0" xfId="0" applyNumberFormat="1" applyFont="1" applyFill="1" applyAlignment="1" applyProtection="1">
      <alignment horizontal="center"/>
      <protection locked="0"/>
    </xf>
    <xf numFmtId="3" fontId="4" fillId="4" borderId="0" xfId="0" applyNumberFormat="1" applyFont="1" applyFill="1" applyAlignment="1" applyProtection="1">
      <alignment horizontal="center"/>
      <protection locked="0"/>
    </xf>
    <xf numFmtId="9" fontId="4" fillId="4" borderId="0" xfId="2" applyFont="1" applyFill="1" applyAlignment="1" applyProtection="1">
      <alignment horizontal="center"/>
      <protection locked="0"/>
    </xf>
    <xf numFmtId="2" fontId="4" fillId="4" borderId="0" xfId="2" applyNumberFormat="1" applyFont="1" applyFill="1" applyAlignment="1" applyProtection="1">
      <alignment horizontal="center"/>
      <protection locked="0"/>
    </xf>
    <xf numFmtId="165" fontId="4" fillId="4" borderId="0" xfId="2" applyNumberFormat="1" applyFont="1" applyFill="1" applyBorder="1" applyAlignment="1" applyProtection="1">
      <alignment horizontal="center"/>
      <protection locked="0"/>
    </xf>
    <xf numFmtId="164" fontId="4" fillId="4" borderId="0" xfId="0" applyNumberFormat="1" applyFont="1" applyFill="1" applyBorder="1" applyAlignment="1" applyProtection="1">
      <alignment horizontal="center"/>
      <protection locked="0"/>
    </xf>
    <xf numFmtId="0" fontId="4" fillId="2" borderId="0" xfId="0" applyFont="1" applyFill="1" applyAlignment="1" applyProtection="1">
      <alignment horizontal="right" wrapText="1"/>
    </xf>
    <xf numFmtId="0" fontId="4" fillId="2" borderId="0" xfId="0" applyFont="1" applyFill="1" applyAlignment="1" applyProtection="1">
      <alignment horizontal="center" wrapText="1"/>
    </xf>
    <xf numFmtId="0" fontId="4" fillId="2" borderId="0" xfId="0" applyFont="1" applyFill="1" applyAlignment="1" applyProtection="1">
      <alignment horizontal="left" vertical="center"/>
    </xf>
    <xf numFmtId="167" fontId="4" fillId="2" borderId="0" xfId="0" applyNumberFormat="1" applyFont="1" applyFill="1" applyAlignment="1" applyProtection="1">
      <alignment horizontal="center"/>
    </xf>
    <xf numFmtId="3" fontId="4" fillId="2" borderId="0" xfId="0" applyNumberFormat="1" applyFont="1" applyFill="1" applyAlignment="1" applyProtection="1">
      <alignment horizontal="center"/>
    </xf>
    <xf numFmtId="2" fontId="4" fillId="4" borderId="0" xfId="0" applyNumberFormat="1" applyFont="1" applyFill="1" applyAlignment="1" applyProtection="1">
      <alignment horizontal="center"/>
      <protection locked="0"/>
    </xf>
    <xf numFmtId="165" fontId="4" fillId="4" borderId="0" xfId="0" applyNumberFormat="1" applyFont="1" applyFill="1" applyBorder="1" applyAlignment="1" applyProtection="1">
      <alignment horizontal="center"/>
      <protection locked="0"/>
    </xf>
    <xf numFmtId="0" fontId="4" fillId="2" borderId="0" xfId="0" applyFont="1" applyFill="1" applyBorder="1" applyAlignment="1" applyProtection="1">
      <alignment wrapText="1"/>
    </xf>
    <xf numFmtId="0" fontId="4" fillId="2" borderId="0" xfId="0" applyFont="1" applyFill="1" applyAlignment="1" applyProtection="1">
      <alignment horizontal="left" wrapText="1"/>
    </xf>
    <xf numFmtId="0" fontId="3" fillId="2" borderId="0" xfId="0" applyFont="1" applyFill="1" applyAlignment="1" applyProtection="1">
      <alignment wrapText="1"/>
    </xf>
    <xf numFmtId="4" fontId="4" fillId="2" borderId="0" xfId="0" applyNumberFormat="1" applyFont="1" applyFill="1" applyAlignment="1" applyProtection="1">
      <alignment horizontal="center"/>
    </xf>
    <xf numFmtId="164" fontId="4" fillId="2" borderId="0" xfId="0" applyNumberFormat="1" applyFont="1" applyFill="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Alignment="1" applyProtection="1">
      <alignment vertical="top" wrapText="1"/>
    </xf>
    <xf numFmtId="164" fontId="4" fillId="2" borderId="0" xfId="0" applyNumberFormat="1" applyFont="1" applyFill="1" applyBorder="1" applyAlignment="1" applyProtection="1">
      <alignment horizontal="center"/>
    </xf>
    <xf numFmtId="4" fontId="4" fillId="2" borderId="0" xfId="0" applyNumberFormat="1" applyFont="1" applyFill="1" applyBorder="1" applyAlignment="1" applyProtection="1">
      <alignment horizontal="center"/>
    </xf>
    <xf numFmtId="4" fontId="4" fillId="2" borderId="0" xfId="0" applyNumberFormat="1" applyFont="1" applyFill="1" applyBorder="1" applyAlignment="1" applyProtection="1">
      <alignment horizontal="left"/>
    </xf>
    <xf numFmtId="168" fontId="4" fillId="2" borderId="0" xfId="0" applyNumberFormat="1" applyFont="1" applyFill="1" applyAlignment="1" applyProtection="1">
      <alignment horizontal="center"/>
    </xf>
    <xf numFmtId="9" fontId="4" fillId="2" borderId="0" xfId="2" applyFont="1" applyFill="1" applyBorder="1" applyAlignment="1" applyProtection="1">
      <alignment horizontal="center"/>
    </xf>
    <xf numFmtId="0" fontId="4" fillId="2" borderId="0" xfId="0" applyFont="1" applyFill="1" applyAlignment="1" applyProtection="1">
      <alignment horizontal="center" vertical="center" wrapText="1"/>
    </xf>
    <xf numFmtId="0" fontId="4" fillId="2" borderId="0" xfId="0" applyFont="1" applyFill="1" applyAlignment="1" applyProtection="1">
      <alignment vertical="center" wrapText="1"/>
    </xf>
    <xf numFmtId="165" fontId="4" fillId="2" borderId="0" xfId="0" applyNumberFormat="1" applyFont="1" applyFill="1" applyAlignment="1" applyProtection="1">
      <alignment horizontal="center" vertical="center"/>
    </xf>
    <xf numFmtId="3" fontId="4" fillId="2" borderId="0" xfId="0" applyNumberFormat="1" applyFont="1" applyFill="1" applyAlignment="1" applyProtection="1">
      <alignment horizontal="center" vertical="center"/>
    </xf>
    <xf numFmtId="169" fontId="4" fillId="2" borderId="0" xfId="0" applyNumberFormat="1" applyFont="1" applyFill="1" applyAlignment="1" applyProtection="1">
      <alignment horizontal="center" vertical="center"/>
    </xf>
    <xf numFmtId="169" fontId="4" fillId="2" borderId="0" xfId="0" applyNumberFormat="1" applyFont="1" applyFill="1" applyAlignment="1" applyProtection="1">
      <alignment horizontal="left" vertical="center"/>
    </xf>
    <xf numFmtId="4" fontId="4" fillId="2" borderId="0" xfId="0" applyNumberFormat="1" applyFont="1" applyFill="1" applyAlignment="1" applyProtection="1">
      <alignment horizontal="center" vertical="center"/>
    </xf>
    <xf numFmtId="0" fontId="3" fillId="2" borderId="0" xfId="0" applyFont="1" applyFill="1" applyAlignment="1" applyProtection="1">
      <alignment vertical="center"/>
    </xf>
    <xf numFmtId="0" fontId="4" fillId="2" borderId="0" xfId="0" applyFont="1" applyFill="1" applyBorder="1" applyAlignment="1" applyProtection="1">
      <alignment horizontal="left" vertical="center"/>
    </xf>
    <xf numFmtId="164" fontId="4" fillId="2" borderId="0" xfId="0" applyNumberFormat="1" applyFont="1" applyFill="1" applyAlignment="1" applyProtection="1">
      <alignment horizontal="center" wrapText="1"/>
    </xf>
    <xf numFmtId="0" fontId="13" fillId="2" borderId="0" xfId="0" applyFont="1" applyFill="1" applyAlignment="1" applyProtection="1">
      <alignment horizontal="left" wrapText="1"/>
    </xf>
    <xf numFmtId="9" fontId="4" fillId="2" borderId="0" xfId="2" applyFont="1" applyFill="1" applyAlignment="1" applyProtection="1">
      <alignment horizontal="center"/>
    </xf>
    <xf numFmtId="2" fontId="4" fillId="2" borderId="0" xfId="2" applyNumberFormat="1" applyFont="1" applyFill="1" applyAlignment="1" applyProtection="1">
      <alignment horizontal="center"/>
    </xf>
    <xf numFmtId="165" fontId="4" fillId="2" borderId="0" xfId="2" applyNumberFormat="1" applyFont="1" applyFill="1" applyBorder="1" applyAlignment="1" applyProtection="1">
      <alignment horizontal="center"/>
    </xf>
    <xf numFmtId="0" fontId="4" fillId="4" borderId="0" xfId="0" applyFont="1" applyFill="1" applyAlignment="1" applyProtection="1">
      <alignment horizontal="center" wrapText="1"/>
      <protection locked="0"/>
    </xf>
    <xf numFmtId="0" fontId="4" fillId="2" borderId="0" xfId="0" applyFont="1" applyFill="1" applyAlignment="1" applyProtection="1">
      <alignment horizontal="left" vertical="center" wrapText="1"/>
    </xf>
    <xf numFmtId="0" fontId="4" fillId="0" borderId="0" xfId="0" applyFont="1" applyFill="1" applyAlignment="1" applyProtection="1">
      <alignment vertical="top" wrapText="1"/>
    </xf>
    <xf numFmtId="0" fontId="4" fillId="2" borderId="0" xfId="0" applyFont="1" applyFill="1" applyAlignment="1" applyProtection="1">
      <alignment horizontal="left"/>
    </xf>
    <xf numFmtId="0" fontId="3" fillId="2" borderId="0" xfId="0" applyFont="1" applyFill="1" applyBorder="1" applyAlignment="1" applyProtection="1">
      <alignment vertical="top" wrapText="1"/>
    </xf>
    <xf numFmtId="0" fontId="3" fillId="2" borderId="0" xfId="0" applyFont="1" applyFill="1" applyBorder="1" applyAlignment="1" applyProtection="1">
      <alignment horizontal="left" vertical="top" wrapText="1"/>
    </xf>
    <xf numFmtId="0" fontId="4" fillId="2" borderId="0" xfId="0" applyFont="1" applyFill="1" applyAlignment="1" applyProtection="1">
      <alignment horizontal="left" vertical="center" wrapText="1"/>
    </xf>
    <xf numFmtId="0" fontId="3" fillId="2" borderId="0" xfId="0" applyFont="1" applyFill="1" applyAlignment="1" applyProtection="1">
      <alignment horizontal="left" wrapText="1"/>
    </xf>
    <xf numFmtId="0" fontId="4" fillId="2" borderId="0" xfId="0" applyFont="1" applyFill="1" applyAlignment="1" applyProtection="1">
      <alignment horizontal="left"/>
    </xf>
    <xf numFmtId="0" fontId="4" fillId="0" borderId="0" xfId="3" applyFont="1" applyProtection="1"/>
    <xf numFmtId="0" fontId="14" fillId="0" borderId="0" xfId="3" applyProtection="1"/>
    <xf numFmtId="0" fontId="16" fillId="5" borderId="2" xfId="3" applyFont="1" applyFill="1" applyBorder="1" applyAlignment="1" applyProtection="1">
      <alignment horizontal="center"/>
    </xf>
    <xf numFmtId="0" fontId="16" fillId="5" borderId="2" xfId="3" applyFont="1" applyFill="1" applyBorder="1" applyAlignment="1" applyProtection="1">
      <alignment horizontal="left"/>
    </xf>
    <xf numFmtId="0" fontId="4" fillId="0" borderId="2" xfId="3" applyFont="1" applyBorder="1" applyAlignment="1" applyProtection="1">
      <alignment horizontal="center"/>
    </xf>
    <xf numFmtId="14" fontId="4" fillId="0" borderId="2" xfId="3" applyNumberFormat="1" applyFont="1" applyBorder="1" applyAlignment="1" applyProtection="1">
      <alignment horizontal="center"/>
    </xf>
    <xf numFmtId="0" fontId="4" fillId="0" borderId="2" xfId="3" applyFont="1" applyBorder="1" applyProtection="1"/>
    <xf numFmtId="0" fontId="2" fillId="0" borderId="2" xfId="3" applyFont="1" applyBorder="1" applyProtection="1"/>
    <xf numFmtId="0" fontId="4" fillId="0" borderId="0" xfId="3" applyFont="1" applyProtection="1">
      <protection locked="0"/>
    </xf>
    <xf numFmtId="0" fontId="17" fillId="0" borderId="0" xfId="3" applyFont="1" applyFill="1" applyProtection="1">
      <protection locked="0"/>
    </xf>
    <xf numFmtId="0" fontId="17" fillId="0" borderId="0" xfId="3" applyFont="1" applyProtection="1">
      <protection locked="0"/>
    </xf>
    <xf numFmtId="0" fontId="17" fillId="0" borderId="0" xfId="3" applyFont="1" applyFill="1" applyProtection="1"/>
    <xf numFmtId="0" fontId="17" fillId="0" borderId="0" xfId="3" applyFont="1" applyProtection="1"/>
    <xf numFmtId="0" fontId="0" fillId="0" borderId="0" xfId="0" applyProtection="1"/>
    <xf numFmtId="0" fontId="0" fillId="0" borderId="0" xfId="0" applyFont="1" applyFill="1" applyAlignment="1" applyProtection="1">
      <alignment horizontal="center" vertical="top"/>
    </xf>
    <xf numFmtId="0" fontId="4" fillId="0" borderId="0" xfId="0" applyFont="1" applyFill="1" applyAlignment="1" applyProtection="1">
      <alignment horizontal="center" vertical="top"/>
    </xf>
    <xf numFmtId="0" fontId="2" fillId="0" borderId="0" xfId="0" applyFont="1" applyProtection="1"/>
    <xf numFmtId="0" fontId="3" fillId="0" borderId="0" xfId="0" applyFont="1" applyFill="1" applyAlignment="1" applyProtection="1">
      <alignment horizontal="center" vertical="top"/>
    </xf>
    <xf numFmtId="0" fontId="3" fillId="0" borderId="1" xfId="0" applyFont="1" applyFill="1" applyBorder="1" applyAlignment="1" applyProtection="1">
      <alignment horizontal="center" vertical="top" wrapText="1"/>
    </xf>
    <xf numFmtId="0" fontId="18" fillId="0" borderId="1" xfId="0" applyFont="1" applyFill="1" applyBorder="1" applyAlignment="1" applyProtection="1">
      <alignment horizontal="center"/>
    </xf>
    <xf numFmtId="0" fontId="3" fillId="0" borderId="0" xfId="0" applyFont="1" applyFill="1" applyAlignment="1" applyProtection="1">
      <alignment horizontal="left"/>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left" wrapText="1"/>
    </xf>
    <xf numFmtId="0" fontId="8" fillId="0" borderId="0" xfId="0" applyFont="1" applyFill="1" applyAlignment="1" applyProtection="1">
      <alignment horizontal="center" vertical="top"/>
    </xf>
    <xf numFmtId="0" fontId="6" fillId="0" borderId="0" xfId="0" applyFont="1" applyFill="1" applyAlignment="1" applyProtection="1">
      <alignment horizontal="center" vertical="top"/>
    </xf>
    <xf numFmtId="0" fontId="4" fillId="0" borderId="0" xfId="0" applyFont="1" applyAlignment="1" applyProtection="1">
      <alignment horizontal="center"/>
      <protection locked="0"/>
    </xf>
    <xf numFmtId="0" fontId="4" fillId="0" borderId="0" xfId="0" applyFont="1" applyProtection="1">
      <protection locked="0"/>
    </xf>
    <xf numFmtId="0" fontId="3" fillId="3" borderId="0" xfId="0" applyFont="1" applyFill="1" applyBorder="1" applyAlignment="1" applyProtection="1">
      <alignment horizontal="left" vertical="top" wrapText="1"/>
      <protection locked="0"/>
    </xf>
    <xf numFmtId="0" fontId="3" fillId="3" borderId="0" xfId="0" applyFont="1" applyFill="1" applyAlignment="1" applyProtection="1">
      <alignment horizontal="center"/>
      <protection locked="0"/>
    </xf>
    <xf numFmtId="0" fontId="4" fillId="3" borderId="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protection locked="0"/>
    </xf>
    <xf numFmtId="0" fontId="4" fillId="3" borderId="0" xfId="0" applyFont="1" applyFill="1" applyBorder="1" applyProtection="1">
      <protection locked="0"/>
    </xf>
    <xf numFmtId="0" fontId="4" fillId="3" borderId="0" xfId="0" applyFont="1" applyFill="1" applyProtection="1">
      <protection locked="0"/>
    </xf>
    <xf numFmtId="0" fontId="4" fillId="3" borderId="0" xfId="0" applyFont="1" applyFill="1" applyBorder="1" applyAlignment="1" applyProtection="1">
      <alignment horizontal="right"/>
      <protection locked="0"/>
    </xf>
    <xf numFmtId="0" fontId="4" fillId="3" borderId="0" xfId="0" applyFont="1" applyFill="1" applyAlignment="1" applyProtection="1">
      <alignment horizontal="right"/>
      <protection locked="0"/>
    </xf>
    <xf numFmtId="0" fontId="4" fillId="3" borderId="0" xfId="0" applyFont="1" applyFill="1" applyAlignment="1" applyProtection="1">
      <alignment horizontal="center"/>
      <protection locked="0"/>
    </xf>
    <xf numFmtId="166" fontId="4" fillId="3" borderId="0" xfId="0" applyNumberFormat="1" applyFont="1" applyFill="1" applyAlignment="1" applyProtection="1">
      <alignment horizontal="center"/>
      <protection locked="0"/>
    </xf>
    <xf numFmtId="0" fontId="4" fillId="3" borderId="0" xfId="0" applyFont="1" applyFill="1" applyAlignment="1" applyProtection="1">
      <alignment horizontal="left"/>
      <protection locked="0"/>
    </xf>
    <xf numFmtId="3" fontId="4" fillId="3" borderId="0" xfId="0" applyNumberFormat="1" applyFont="1" applyFill="1" applyAlignment="1" applyProtection="1">
      <alignment horizontal="center"/>
      <protection locked="0"/>
    </xf>
    <xf numFmtId="2" fontId="4" fillId="3" borderId="0" xfId="0" applyNumberFormat="1" applyFont="1" applyFill="1" applyAlignment="1" applyProtection="1">
      <alignment horizontal="center"/>
      <protection locked="0"/>
    </xf>
    <xf numFmtId="0" fontId="4" fillId="3" borderId="0" xfId="0" applyFont="1" applyFill="1" applyAlignment="1" applyProtection="1">
      <alignment horizontal="right" vertical="center"/>
      <protection locked="0"/>
    </xf>
    <xf numFmtId="2" fontId="4" fillId="3" borderId="0" xfId="0" applyNumberFormat="1" applyFont="1" applyFill="1" applyAlignment="1" applyProtection="1">
      <alignment horizontal="center" vertical="center"/>
      <protection locked="0"/>
    </xf>
    <xf numFmtId="0" fontId="4" fillId="3" borderId="0" xfId="0" applyFont="1" applyFill="1" applyAlignment="1" applyProtection="1">
      <alignment vertical="center"/>
      <protection locked="0"/>
    </xf>
    <xf numFmtId="0" fontId="4" fillId="0" borderId="0" xfId="0" applyFont="1" applyFill="1" applyProtection="1">
      <protection locked="0"/>
    </xf>
    <xf numFmtId="43" fontId="4" fillId="0" borderId="0" xfId="1" applyFont="1" applyAlignment="1" applyProtection="1">
      <alignment horizontal="center"/>
      <protection locked="0"/>
    </xf>
    <xf numFmtId="0" fontId="3" fillId="0" borderId="0" xfId="0" applyFont="1" applyFill="1" applyBorder="1" applyAlignment="1" applyProtection="1">
      <alignment horizontal="left" vertical="top" wrapText="1"/>
      <protection locked="0"/>
    </xf>
    <xf numFmtId="0" fontId="3" fillId="3" borderId="0" xfId="0" applyFont="1" applyFill="1" applyBorder="1" applyProtection="1">
      <protection locked="0"/>
    </xf>
    <xf numFmtId="0" fontId="5" fillId="3" borderId="0" xfId="0" applyFont="1" applyFill="1" applyBorder="1" applyProtection="1">
      <protection locked="0"/>
    </xf>
    <xf numFmtId="0" fontId="5" fillId="0" borderId="0" xfId="0" applyFont="1" applyFill="1" applyBorder="1" applyProtection="1">
      <protection locked="0"/>
    </xf>
    <xf numFmtId="39" fontId="4" fillId="0" borderId="0" xfId="1" applyNumberFormat="1" applyFont="1" applyAlignment="1" applyProtection="1">
      <alignment horizontal="center"/>
      <protection locked="0"/>
    </xf>
    <xf numFmtId="3" fontId="4" fillId="3" borderId="0" xfId="0" applyNumberFormat="1" applyFont="1" applyFill="1" applyBorder="1" applyProtection="1">
      <protection locked="0"/>
    </xf>
    <xf numFmtId="0" fontId="4" fillId="3" borderId="0" xfId="0" applyFont="1" applyFill="1" applyBorder="1" applyAlignment="1" applyProtection="1">
      <alignment horizontal="left"/>
      <protection locked="0"/>
    </xf>
    <xf numFmtId="0" fontId="4" fillId="3" borderId="0" xfId="0" applyFont="1" applyFill="1" applyAlignment="1" applyProtection="1">
      <alignment horizontal="center" vertical="center"/>
      <protection locked="0"/>
    </xf>
    <xf numFmtId="165" fontId="4" fillId="3" borderId="0" xfId="0" applyNumberFormat="1" applyFont="1" applyFill="1" applyBorder="1" applyAlignment="1" applyProtection="1">
      <alignment horizontal="center"/>
      <protection locked="0"/>
    </xf>
    <xf numFmtId="0" fontId="5" fillId="0" borderId="0" xfId="0" applyFont="1" applyFill="1" applyBorder="1" applyAlignment="1" applyProtection="1">
      <alignment wrapText="1"/>
      <protection locked="0"/>
    </xf>
    <xf numFmtId="0" fontId="5" fillId="3" borderId="0" xfId="0" applyFont="1" applyFill="1" applyBorder="1" applyAlignment="1" applyProtection="1">
      <alignment wrapText="1"/>
      <protection locked="0"/>
    </xf>
    <xf numFmtId="0" fontId="4" fillId="0" borderId="0" xfId="0" applyFont="1" applyFill="1" applyBorder="1" applyProtection="1">
      <protection locked="0"/>
    </xf>
    <xf numFmtId="0" fontId="3" fillId="3" borderId="0" xfId="0" applyFont="1" applyFill="1" applyProtection="1">
      <protection locked="0"/>
    </xf>
    <xf numFmtId="3" fontId="4" fillId="3" borderId="0" xfId="0" applyNumberFormat="1" applyFont="1" applyFill="1" applyBorder="1" applyAlignment="1" applyProtection="1">
      <alignment horizontal="center"/>
      <protection locked="0"/>
    </xf>
    <xf numFmtId="0" fontId="4" fillId="3" borderId="0" xfId="0" applyFont="1" applyFill="1" applyBorder="1" applyAlignment="1" applyProtection="1">
      <alignment vertical="center"/>
      <protection locked="0"/>
    </xf>
    <xf numFmtId="2" fontId="4" fillId="3" borderId="0" xfId="1"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left"/>
      <protection locked="0"/>
    </xf>
    <xf numFmtId="2" fontId="4" fillId="3" borderId="0" xfId="1" applyNumberFormat="1" applyFont="1" applyFill="1" applyBorder="1" applyAlignment="1" applyProtection="1">
      <alignment horizontal="center"/>
      <protection locked="0"/>
    </xf>
    <xf numFmtId="3" fontId="4" fillId="3" borderId="0" xfId="0" applyNumberFormat="1" applyFont="1" applyFill="1" applyBorder="1" applyAlignment="1" applyProtection="1">
      <protection locked="0"/>
    </xf>
    <xf numFmtId="0" fontId="4" fillId="0" borderId="0" xfId="0" applyFont="1" applyFill="1" applyBorder="1" applyAlignment="1" applyProtection="1">
      <alignment vertical="top" wrapText="1"/>
      <protection locked="0"/>
    </xf>
    <xf numFmtId="164" fontId="4" fillId="3"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0" fontId="4" fillId="0" borderId="0" xfId="0" applyFont="1" applyFill="1" applyAlignment="1" applyProtection="1">
      <alignment vertical="center"/>
      <protection locked="0"/>
    </xf>
    <xf numFmtId="2" fontId="4" fillId="3" borderId="0" xfId="1" applyNumberFormat="1" applyFont="1" applyFill="1" applyAlignment="1" applyProtection="1">
      <alignment horizontal="center"/>
      <protection locked="0"/>
    </xf>
    <xf numFmtId="165" fontId="4" fillId="3" borderId="0" xfId="0" applyNumberFormat="1" applyFont="1" applyFill="1" applyAlignment="1" applyProtection="1">
      <alignment horizontal="center"/>
      <protection locked="0"/>
    </xf>
    <xf numFmtId="164" fontId="4" fillId="3" borderId="0" xfId="0" applyNumberFormat="1" applyFont="1" applyFill="1" applyAlignment="1" applyProtection="1">
      <alignment horizontal="center"/>
      <protection locked="0"/>
    </xf>
    <xf numFmtId="167" fontId="4" fillId="3" borderId="0" xfId="0" applyNumberFormat="1" applyFont="1" applyFill="1" applyAlignment="1" applyProtection="1">
      <alignment horizontal="center"/>
      <protection locked="0"/>
    </xf>
    <xf numFmtId="0" fontId="4" fillId="0" borderId="0" xfId="0" applyFont="1" applyFill="1" applyAlignment="1" applyProtection="1">
      <alignment horizontal="center"/>
      <protection locked="0"/>
    </xf>
    <xf numFmtId="0" fontId="4" fillId="3" borderId="0" xfId="0" applyFont="1" applyFill="1" applyBorder="1" applyAlignment="1" applyProtection="1">
      <protection locked="0"/>
    </xf>
    <xf numFmtId="0" fontId="4" fillId="3" borderId="0" xfId="0" applyFont="1" applyFill="1" applyBorder="1" applyAlignment="1" applyProtection="1">
      <alignment wrapText="1"/>
      <protection locked="0"/>
    </xf>
    <xf numFmtId="0" fontId="4" fillId="3" borderId="0" xfId="0" applyFont="1" applyFill="1" applyAlignment="1" applyProtection="1">
      <alignment wrapText="1"/>
      <protection locked="0"/>
    </xf>
    <xf numFmtId="0" fontId="4" fillId="3" borderId="0" xfId="0" applyFont="1" applyFill="1" applyAlignment="1" applyProtection="1">
      <alignment horizontal="right" wrapText="1"/>
      <protection locked="0"/>
    </xf>
    <xf numFmtId="0" fontId="4" fillId="3" borderId="0" xfId="0" applyFont="1" applyFill="1" applyAlignment="1" applyProtection="1">
      <alignment horizontal="center" wrapText="1"/>
      <protection locked="0"/>
    </xf>
    <xf numFmtId="0" fontId="3" fillId="3" borderId="0" xfId="0" applyFont="1" applyFill="1" applyAlignment="1" applyProtection="1">
      <alignment wrapText="1"/>
      <protection locked="0"/>
    </xf>
    <xf numFmtId="0" fontId="4" fillId="3" borderId="0" xfId="0" applyFont="1" applyFill="1" applyAlignment="1" applyProtection="1">
      <alignment horizontal="left" vertical="center" wrapText="1"/>
      <protection locked="0"/>
    </xf>
    <xf numFmtId="165" fontId="4" fillId="3" borderId="0" xfId="0" applyNumberFormat="1" applyFont="1" applyFill="1" applyAlignment="1" applyProtection="1">
      <alignment horizontal="center" vertical="center" wrapText="1"/>
      <protection locked="0"/>
    </xf>
    <xf numFmtId="0" fontId="4" fillId="3" borderId="0" xfId="0" applyFont="1" applyFill="1" applyAlignment="1" applyProtection="1">
      <alignment vertical="center" wrapText="1"/>
      <protection locked="0"/>
    </xf>
    <xf numFmtId="3" fontId="4" fillId="3" borderId="0" xfId="0" applyNumberFormat="1" applyFont="1" applyFill="1" applyAlignment="1" applyProtection="1">
      <alignment horizontal="center" vertical="center"/>
      <protection locked="0"/>
    </xf>
    <xf numFmtId="165" fontId="4" fillId="3" borderId="0" xfId="0" applyNumberFormat="1" applyFont="1" applyFill="1" applyAlignment="1" applyProtection="1">
      <alignment horizontal="center" vertical="center"/>
      <protection locked="0"/>
    </xf>
    <xf numFmtId="0" fontId="13" fillId="3" borderId="0" xfId="0" applyFont="1" applyFill="1" applyAlignment="1" applyProtection="1">
      <alignment horizontal="left" wrapText="1"/>
      <protection locked="0"/>
    </xf>
    <xf numFmtId="170" fontId="4" fillId="3" borderId="0" xfId="0" applyNumberFormat="1" applyFont="1" applyFill="1" applyAlignment="1" applyProtection="1">
      <alignment horizontal="center" vertical="center" wrapText="1"/>
      <protection locked="0"/>
    </xf>
    <xf numFmtId="0" fontId="4" fillId="3" borderId="0" xfId="0" applyFont="1" applyFill="1" applyAlignment="1" applyProtection="1">
      <alignment horizontal="left" vertical="center" wrapText="1"/>
      <protection locked="0"/>
    </xf>
    <xf numFmtId="0" fontId="4" fillId="3" borderId="0" xfId="0" applyFont="1" applyFill="1" applyAlignment="1" applyProtection="1">
      <alignment horizontal="left" wrapText="1"/>
      <protection locked="0"/>
    </xf>
    <xf numFmtId="9" fontId="4" fillId="3" borderId="0" xfId="2" applyFont="1" applyFill="1" applyBorder="1" applyAlignment="1" applyProtection="1">
      <alignment horizontal="center"/>
      <protection locked="0"/>
    </xf>
    <xf numFmtId="9" fontId="4" fillId="3" borderId="0" xfId="2" applyFont="1" applyFill="1" applyAlignment="1" applyProtection="1">
      <alignment horizontal="center" vertical="center"/>
      <protection locked="0"/>
    </xf>
    <xf numFmtId="164" fontId="4" fillId="3" borderId="0" xfId="0" applyNumberFormat="1" applyFont="1" applyFill="1" applyAlignment="1" applyProtection="1">
      <alignment horizontal="center" wrapText="1"/>
      <protection locked="0"/>
    </xf>
    <xf numFmtId="4" fontId="4" fillId="3" borderId="0" xfId="0" applyNumberFormat="1" applyFont="1" applyFill="1" applyAlignment="1" applyProtection="1">
      <alignment horizontal="center" vertical="center"/>
      <protection locked="0"/>
    </xf>
    <xf numFmtId="169" fontId="4" fillId="3" borderId="0" xfId="0" applyNumberFormat="1" applyFont="1" applyFill="1" applyAlignment="1" applyProtection="1">
      <alignment horizontal="left" vertical="center"/>
      <protection locked="0"/>
    </xf>
    <xf numFmtId="168" fontId="4" fillId="3" borderId="0" xfId="0" applyNumberFormat="1" applyFont="1" applyFill="1" applyAlignment="1" applyProtection="1">
      <alignment horizontal="center" vertical="center"/>
      <protection locked="0"/>
    </xf>
    <xf numFmtId="164" fontId="4" fillId="3" borderId="0" xfId="0" applyNumberFormat="1" applyFont="1" applyFill="1" applyAlignment="1" applyProtection="1">
      <alignment horizontal="center" vertical="center"/>
      <protection locked="0"/>
    </xf>
    <xf numFmtId="0" fontId="4" fillId="3" borderId="0" xfId="0" applyFont="1" applyFill="1" applyAlignment="1" applyProtection="1">
      <alignment horizontal="left" vertical="center"/>
      <protection locked="0"/>
    </xf>
    <xf numFmtId="0" fontId="3" fillId="3" borderId="0" xfId="0" applyFont="1" applyFill="1" applyAlignment="1" applyProtection="1">
      <alignment vertical="center"/>
      <protection locked="0"/>
    </xf>
    <xf numFmtId="0" fontId="4" fillId="3" borderId="0" xfId="0" applyFont="1" applyFill="1" applyBorder="1" applyAlignment="1" applyProtection="1">
      <alignment horizontal="right" vertical="center"/>
      <protection locked="0"/>
    </xf>
    <xf numFmtId="0" fontId="4" fillId="3" borderId="0" xfId="0" applyFont="1" applyFill="1" applyBorder="1" applyAlignment="1" applyProtection="1">
      <alignment horizontal="left" vertical="center"/>
      <protection locked="0"/>
    </xf>
    <xf numFmtId="3" fontId="4" fillId="3" borderId="0" xfId="0" applyNumberFormat="1" applyFont="1" applyFill="1" applyBorder="1" applyAlignment="1" applyProtection="1">
      <alignment horizontal="left"/>
      <protection locked="0"/>
    </xf>
    <xf numFmtId="4" fontId="4" fillId="3" borderId="0" xfId="0" applyNumberFormat="1" applyFont="1" applyFill="1" applyAlignment="1" applyProtection="1">
      <alignment horizontal="center"/>
      <protection locked="0"/>
    </xf>
    <xf numFmtId="164" fontId="4" fillId="3" borderId="0" xfId="0" applyNumberFormat="1" applyFont="1" applyFill="1" applyBorder="1" applyAlignment="1" applyProtection="1">
      <alignment horizontal="center"/>
      <protection locked="0"/>
    </xf>
    <xf numFmtId="2" fontId="4" fillId="3" borderId="0" xfId="0" applyNumberFormat="1" applyFont="1" applyFill="1" applyBorder="1" applyAlignment="1" applyProtection="1">
      <alignment horizontal="center"/>
      <protection locked="0"/>
    </xf>
    <xf numFmtId="0" fontId="4" fillId="0" borderId="0" xfId="0" applyFont="1" applyFill="1" applyAlignment="1" applyProtection="1">
      <alignment vertical="top" wrapText="1"/>
      <protection locked="0"/>
    </xf>
    <xf numFmtId="0" fontId="4" fillId="0" borderId="0" xfId="0" applyFont="1" applyFill="1" applyAlignment="1" applyProtection="1">
      <alignment wrapText="1"/>
      <protection locked="0"/>
    </xf>
    <xf numFmtId="0" fontId="3" fillId="3" borderId="0" xfId="0" applyFont="1" applyFill="1" applyAlignment="1" applyProtection="1">
      <alignment horizontal="left" wrapText="1"/>
      <protection locked="0"/>
    </xf>
    <xf numFmtId="0" fontId="4" fillId="0" borderId="0" xfId="0" applyFont="1" applyFill="1" applyBorder="1" applyAlignment="1" applyProtection="1">
      <alignment horizontal="center"/>
      <protection locked="0"/>
    </xf>
    <xf numFmtId="0" fontId="4" fillId="0" borderId="0" xfId="0" applyFont="1" applyFill="1" applyBorder="1" applyAlignment="1" applyProtection="1">
      <alignment wrapText="1"/>
      <protection locked="0"/>
    </xf>
    <xf numFmtId="49" fontId="4" fillId="0" borderId="0" xfId="0" applyNumberFormat="1" applyFont="1" applyFill="1" applyBorder="1" applyProtection="1">
      <protection locked="0"/>
    </xf>
    <xf numFmtId="49" fontId="4" fillId="0" borderId="0" xfId="0" applyNumberFormat="1" applyFont="1" applyFill="1" applyProtection="1">
      <protection locked="0"/>
    </xf>
    <xf numFmtId="0" fontId="4" fillId="0" borderId="0" xfId="0" applyFont="1" applyFill="1" applyAlignment="1" applyProtection="1">
      <alignment vertical="top" wrapText="1"/>
      <protection locked="0"/>
    </xf>
    <xf numFmtId="168" fontId="4" fillId="3" borderId="0" xfId="0" applyNumberFormat="1" applyFont="1" applyFill="1" applyAlignment="1" applyProtection="1">
      <alignment horizontal="center"/>
      <protection locked="0"/>
    </xf>
  </cellXfs>
  <cellStyles count="6">
    <cellStyle name="Comma" xfId="1" builtinId="3"/>
    <cellStyle name="Comma 2" xfId="4"/>
    <cellStyle name="Excel Built-in Normal" xfId="5"/>
    <cellStyle name="Normal" xfId="0" builtinId="0"/>
    <cellStyle name="Normal 2" xfId="3"/>
    <cellStyle name="Percent" xfId="2"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DE6D3"/>
      <color rgb="FFCCFFCC"/>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15" sqref="C15"/>
    </sheetView>
  </sheetViews>
  <sheetFormatPr defaultRowHeight="15" x14ac:dyDescent="0.25"/>
  <cols>
    <col min="1" max="2" width="9.140625" style="104"/>
    <col min="3" max="3" width="26" style="104" customWidth="1"/>
    <col min="4" max="16384" width="9.140625" style="104"/>
  </cols>
  <sheetData>
    <row r="1" spans="1:3" x14ac:dyDescent="0.25">
      <c r="A1" s="91" t="s">
        <v>499</v>
      </c>
      <c r="B1" s="92"/>
      <c r="C1" s="92"/>
    </row>
    <row r="4" spans="1:3" x14ac:dyDescent="0.25">
      <c r="A4" s="93" t="s">
        <v>500</v>
      </c>
      <c r="B4" s="93" t="s">
        <v>501</v>
      </c>
      <c r="C4" s="94" t="s">
        <v>502</v>
      </c>
    </row>
    <row r="5" spans="1:3" x14ac:dyDescent="0.25">
      <c r="A5" s="95">
        <v>0</v>
      </c>
      <c r="B5" s="96">
        <v>42826</v>
      </c>
      <c r="C5" s="97" t="s">
        <v>503</v>
      </c>
    </row>
    <row r="6" spans="1:3" x14ac:dyDescent="0.25">
      <c r="A6" s="97"/>
      <c r="B6" s="97"/>
      <c r="C6" s="97"/>
    </row>
    <row r="7" spans="1:3" x14ac:dyDescent="0.25">
      <c r="A7" s="98"/>
      <c r="B7" s="98"/>
      <c r="C7" s="98"/>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2"/>
  <sheetViews>
    <sheetView tabSelected="1" zoomScale="90" zoomScaleNormal="90" workbookViewId="0">
      <selection activeCell="K17" sqref="K17"/>
    </sheetView>
  </sheetViews>
  <sheetFormatPr defaultColWidth="9.140625" defaultRowHeight="15" x14ac:dyDescent="0.25"/>
  <cols>
    <col min="1" max="1" width="7.42578125" style="106" bestFit="1" customWidth="1"/>
    <col min="2" max="2" width="3.5703125" style="105" customWidth="1"/>
    <col min="3" max="3" width="48.28515625" style="84" bestFit="1" customWidth="1"/>
    <col min="4" max="4" width="4.42578125" style="1" customWidth="1"/>
    <col min="5" max="5" width="6.140625" style="106" bestFit="1" customWidth="1"/>
    <col min="6" max="6" width="3.85546875" style="105" customWidth="1"/>
    <col min="7" max="7" width="54" style="84" bestFit="1" customWidth="1"/>
    <col min="8" max="16384" width="9.140625" style="107"/>
  </cols>
  <sheetData>
    <row r="1" spans="1:7" x14ac:dyDescent="0.25">
      <c r="A1" s="91" t="s">
        <v>499</v>
      </c>
    </row>
    <row r="4" spans="1:7" ht="14.25" x14ac:dyDescent="0.2">
      <c r="A4" s="108" t="s">
        <v>509</v>
      </c>
      <c r="B4" s="108"/>
      <c r="C4" s="108"/>
      <c r="D4" s="108"/>
      <c r="E4" s="108"/>
      <c r="F4" s="108"/>
      <c r="G4" s="108"/>
    </row>
    <row r="5" spans="1:7" ht="15.75" thickBot="1" x14ac:dyDescent="0.3">
      <c r="A5" s="109" t="s">
        <v>0</v>
      </c>
      <c r="B5" s="110"/>
      <c r="C5" s="110"/>
      <c r="D5" s="110"/>
      <c r="E5" s="110"/>
      <c r="F5" s="110"/>
      <c r="G5" s="110"/>
    </row>
    <row r="6" spans="1:7" ht="18" x14ac:dyDescent="0.25">
      <c r="A6" s="106" t="s">
        <v>8</v>
      </c>
      <c r="B6" s="106" t="s">
        <v>1</v>
      </c>
      <c r="C6" s="84" t="s">
        <v>141</v>
      </c>
      <c r="E6" s="106" t="s">
        <v>11</v>
      </c>
      <c r="F6" s="106" t="s">
        <v>1</v>
      </c>
      <c r="G6" s="84" t="s">
        <v>22</v>
      </c>
    </row>
    <row r="7" spans="1:7" ht="18" x14ac:dyDescent="0.25">
      <c r="A7" s="106" t="s">
        <v>142</v>
      </c>
      <c r="B7" s="106" t="s">
        <v>1</v>
      </c>
      <c r="C7" s="84" t="s">
        <v>143</v>
      </c>
      <c r="E7" s="106" t="s">
        <v>63</v>
      </c>
      <c r="F7" s="106" t="s">
        <v>1</v>
      </c>
      <c r="G7" s="84" t="s">
        <v>69</v>
      </c>
    </row>
    <row r="8" spans="1:7" ht="18" x14ac:dyDescent="0.25">
      <c r="A8" s="106" t="s">
        <v>144</v>
      </c>
      <c r="B8" s="106" t="s">
        <v>1</v>
      </c>
      <c r="C8" s="84" t="s">
        <v>145</v>
      </c>
      <c r="E8" s="106" t="s">
        <v>68</v>
      </c>
      <c r="F8" s="105" t="s">
        <v>1</v>
      </c>
      <c r="G8" s="84" t="s">
        <v>64</v>
      </c>
    </row>
    <row r="9" spans="1:7" x14ac:dyDescent="0.25">
      <c r="A9" s="106" t="s">
        <v>2</v>
      </c>
      <c r="B9" s="106" t="s">
        <v>1</v>
      </c>
      <c r="C9" s="84" t="s">
        <v>16</v>
      </c>
      <c r="E9" s="106" t="s">
        <v>65</v>
      </c>
      <c r="F9" s="106" t="s">
        <v>1</v>
      </c>
      <c r="G9" s="84" t="s">
        <v>66</v>
      </c>
    </row>
    <row r="10" spans="1:7" ht="16.5" x14ac:dyDescent="0.25">
      <c r="A10" s="106" t="s">
        <v>35</v>
      </c>
      <c r="B10" s="106" t="s">
        <v>1</v>
      </c>
      <c r="C10" s="84" t="s">
        <v>36</v>
      </c>
      <c r="E10" s="106" t="s">
        <v>146</v>
      </c>
      <c r="F10" s="106" t="s">
        <v>1</v>
      </c>
      <c r="G10" s="84" t="s">
        <v>67</v>
      </c>
    </row>
    <row r="11" spans="1:7" ht="16.5" x14ac:dyDescent="0.25">
      <c r="A11" s="106" t="s">
        <v>147</v>
      </c>
      <c r="B11" s="106" t="s">
        <v>1</v>
      </c>
      <c r="C11" s="84" t="s">
        <v>37</v>
      </c>
      <c r="E11" s="106" t="s">
        <v>70</v>
      </c>
      <c r="F11" s="106" t="s">
        <v>1</v>
      </c>
      <c r="G11" s="84" t="s">
        <v>71</v>
      </c>
    </row>
    <row r="12" spans="1:7" ht="16.5" x14ac:dyDescent="0.25">
      <c r="A12" s="106" t="s">
        <v>148</v>
      </c>
      <c r="B12" s="106" t="s">
        <v>1</v>
      </c>
      <c r="C12" s="84" t="s">
        <v>38</v>
      </c>
      <c r="E12" s="106" t="s">
        <v>5</v>
      </c>
      <c r="F12" s="106" t="s">
        <v>1</v>
      </c>
      <c r="G12" s="84" t="s">
        <v>23</v>
      </c>
    </row>
    <row r="13" spans="1:7" ht="18" x14ac:dyDescent="0.25">
      <c r="A13" s="106" t="s">
        <v>149</v>
      </c>
      <c r="B13" s="106" t="s">
        <v>1</v>
      </c>
      <c r="C13" s="84" t="s">
        <v>17</v>
      </c>
      <c r="E13" s="106" t="s">
        <v>30</v>
      </c>
      <c r="F13" s="106" t="s">
        <v>1</v>
      </c>
      <c r="G13" s="84" t="s">
        <v>150</v>
      </c>
    </row>
    <row r="14" spans="1:7" ht="16.5" customHeight="1" x14ac:dyDescent="0.25">
      <c r="A14" s="106" t="s">
        <v>151</v>
      </c>
      <c r="B14" s="106" t="s">
        <v>1</v>
      </c>
      <c r="C14" s="84" t="s">
        <v>39</v>
      </c>
      <c r="E14" s="106" t="s">
        <v>152</v>
      </c>
      <c r="F14" s="106" t="s">
        <v>1</v>
      </c>
      <c r="G14" s="84" t="s">
        <v>153</v>
      </c>
    </row>
    <row r="15" spans="1:7" ht="18" x14ac:dyDescent="0.25">
      <c r="A15" s="106" t="s">
        <v>154</v>
      </c>
      <c r="B15" s="106" t="s">
        <v>1</v>
      </c>
      <c r="C15" s="84" t="s">
        <v>40</v>
      </c>
      <c r="E15" s="106" t="s">
        <v>155</v>
      </c>
      <c r="F15" s="106" t="s">
        <v>1</v>
      </c>
      <c r="G15" s="84" t="s">
        <v>156</v>
      </c>
    </row>
    <row r="16" spans="1:7" ht="30" customHeight="1" x14ac:dyDescent="0.25">
      <c r="A16" s="106" t="s">
        <v>10</v>
      </c>
      <c r="B16" s="106" t="s">
        <v>1</v>
      </c>
      <c r="C16" s="84" t="s">
        <v>157</v>
      </c>
      <c r="E16" s="106" t="s">
        <v>12</v>
      </c>
      <c r="F16" s="106" t="s">
        <v>1</v>
      </c>
      <c r="G16" s="84" t="s">
        <v>158</v>
      </c>
    </row>
    <row r="17" spans="1:7" ht="34.5" customHeight="1" x14ac:dyDescent="0.25">
      <c r="A17" s="106" t="s">
        <v>52</v>
      </c>
      <c r="B17" s="106" t="s">
        <v>1</v>
      </c>
      <c r="C17" s="84" t="s">
        <v>53</v>
      </c>
      <c r="E17" s="106" t="s">
        <v>13</v>
      </c>
      <c r="F17" s="106" t="s">
        <v>1</v>
      </c>
      <c r="G17" s="84" t="s">
        <v>24</v>
      </c>
    </row>
    <row r="18" spans="1:7" ht="18.75" x14ac:dyDescent="0.25">
      <c r="A18" s="106" t="s">
        <v>50</v>
      </c>
      <c r="B18" s="105" t="s">
        <v>1</v>
      </c>
      <c r="C18" s="84" t="s">
        <v>51</v>
      </c>
      <c r="E18" s="106" t="s">
        <v>72</v>
      </c>
      <c r="F18" s="106" t="s">
        <v>1</v>
      </c>
      <c r="G18" s="84" t="s">
        <v>159</v>
      </c>
    </row>
    <row r="19" spans="1:7" ht="16.5" x14ac:dyDescent="0.25">
      <c r="A19" s="106" t="s">
        <v>160</v>
      </c>
      <c r="B19" s="106" t="s">
        <v>1</v>
      </c>
      <c r="C19" s="84" t="s">
        <v>41</v>
      </c>
      <c r="E19" s="106" t="s">
        <v>14</v>
      </c>
      <c r="F19" s="106" t="s">
        <v>1</v>
      </c>
      <c r="G19" s="84" t="s">
        <v>161</v>
      </c>
    </row>
    <row r="20" spans="1:7" x14ac:dyDescent="0.25">
      <c r="A20" s="106" t="s">
        <v>42</v>
      </c>
      <c r="B20" s="106" t="s">
        <v>1</v>
      </c>
      <c r="C20" s="84" t="s">
        <v>43</v>
      </c>
      <c r="E20" s="106" t="s">
        <v>15</v>
      </c>
      <c r="F20" s="106" t="s">
        <v>1</v>
      </c>
      <c r="G20" s="84" t="s">
        <v>25</v>
      </c>
    </row>
    <row r="21" spans="1:7" x14ac:dyDescent="0.25">
      <c r="A21" s="106" t="s">
        <v>44</v>
      </c>
      <c r="B21" s="106" t="s">
        <v>1</v>
      </c>
      <c r="C21" s="84" t="s">
        <v>45</v>
      </c>
      <c r="E21" s="106" t="s">
        <v>73</v>
      </c>
      <c r="F21" s="106" t="s">
        <v>1</v>
      </c>
      <c r="G21" s="84" t="s">
        <v>74</v>
      </c>
    </row>
    <row r="22" spans="1:7" ht="16.5" x14ac:dyDescent="0.25">
      <c r="A22" s="106" t="s">
        <v>46</v>
      </c>
      <c r="B22" s="106" t="s">
        <v>1</v>
      </c>
      <c r="C22" s="84" t="s">
        <v>47</v>
      </c>
      <c r="E22" s="106" t="s">
        <v>162</v>
      </c>
      <c r="F22" s="106" t="s">
        <v>1</v>
      </c>
      <c r="G22" s="84" t="s">
        <v>75</v>
      </c>
    </row>
    <row r="23" spans="1:7" ht="30" x14ac:dyDescent="0.25">
      <c r="A23" s="106" t="s">
        <v>48</v>
      </c>
      <c r="B23" s="106" t="s">
        <v>1</v>
      </c>
      <c r="C23" s="84" t="s">
        <v>49</v>
      </c>
      <c r="E23" s="106" t="s">
        <v>163</v>
      </c>
      <c r="F23" s="106" t="s">
        <v>1</v>
      </c>
      <c r="G23" s="84" t="s">
        <v>76</v>
      </c>
    </row>
    <row r="24" spans="1:7" ht="18" x14ac:dyDescent="0.25">
      <c r="A24" s="106" t="s">
        <v>9</v>
      </c>
      <c r="B24" s="106" t="s">
        <v>1</v>
      </c>
      <c r="C24" s="84" t="s">
        <v>164</v>
      </c>
      <c r="E24" s="106" t="s">
        <v>165</v>
      </c>
      <c r="F24" s="106" t="s">
        <v>1</v>
      </c>
      <c r="G24" s="84" t="s">
        <v>77</v>
      </c>
    </row>
    <row r="25" spans="1:7" ht="16.5" x14ac:dyDescent="0.25">
      <c r="A25" s="106" t="s">
        <v>3</v>
      </c>
      <c r="B25" s="106" t="s">
        <v>1</v>
      </c>
      <c r="C25" s="84" t="s">
        <v>18</v>
      </c>
      <c r="E25" s="106" t="s">
        <v>166</v>
      </c>
      <c r="F25" s="106" t="s">
        <v>1</v>
      </c>
      <c r="G25" s="84" t="s">
        <v>78</v>
      </c>
    </row>
    <row r="26" spans="1:7" ht="30" x14ac:dyDescent="0.25">
      <c r="A26" s="106" t="s">
        <v>167</v>
      </c>
      <c r="B26" s="106" t="s">
        <v>1</v>
      </c>
      <c r="C26" s="84" t="s">
        <v>19</v>
      </c>
      <c r="E26" s="106" t="s">
        <v>168</v>
      </c>
      <c r="F26" s="106" t="s">
        <v>1</v>
      </c>
      <c r="G26" s="84" t="s">
        <v>79</v>
      </c>
    </row>
    <row r="27" spans="1:7" ht="31.5" x14ac:dyDescent="0.25">
      <c r="A27" s="106" t="s">
        <v>4</v>
      </c>
      <c r="B27" s="106" t="s">
        <v>1</v>
      </c>
      <c r="C27" s="84" t="s">
        <v>20</v>
      </c>
      <c r="E27" s="106" t="s">
        <v>169</v>
      </c>
      <c r="F27" s="106" t="s">
        <v>1</v>
      </c>
      <c r="G27" s="84" t="s">
        <v>170</v>
      </c>
    </row>
    <row r="28" spans="1:7" ht="30" x14ac:dyDescent="0.25">
      <c r="A28" s="106" t="s">
        <v>171</v>
      </c>
      <c r="B28" s="106" t="s">
        <v>1</v>
      </c>
      <c r="C28" s="84" t="s">
        <v>54</v>
      </c>
      <c r="E28" s="106" t="s">
        <v>172</v>
      </c>
      <c r="F28" s="106" t="s">
        <v>1</v>
      </c>
      <c r="G28" s="84" t="s">
        <v>80</v>
      </c>
    </row>
    <row r="29" spans="1:7" ht="16.5" x14ac:dyDescent="0.25">
      <c r="A29" s="106" t="s">
        <v>55</v>
      </c>
      <c r="B29" s="106" t="s">
        <v>1</v>
      </c>
      <c r="C29" s="84" t="s">
        <v>56</v>
      </c>
      <c r="E29" s="106" t="s">
        <v>173</v>
      </c>
      <c r="F29" s="106" t="s">
        <v>1</v>
      </c>
      <c r="G29" s="84" t="s">
        <v>81</v>
      </c>
    </row>
    <row r="30" spans="1:7" x14ac:dyDescent="0.25">
      <c r="A30" s="106" t="s">
        <v>57</v>
      </c>
      <c r="B30" s="106" t="s">
        <v>1</v>
      </c>
      <c r="C30" s="84" t="s">
        <v>58</v>
      </c>
      <c r="E30" s="106" t="s">
        <v>7</v>
      </c>
      <c r="F30" s="106" t="s">
        <v>1</v>
      </c>
      <c r="G30" s="84" t="s">
        <v>26</v>
      </c>
    </row>
    <row r="31" spans="1:7" x14ac:dyDescent="0.25">
      <c r="A31" s="106" t="s">
        <v>59</v>
      </c>
      <c r="B31" s="106" t="s">
        <v>1</v>
      </c>
      <c r="C31" s="84" t="s">
        <v>60</v>
      </c>
      <c r="E31" s="111" t="s">
        <v>33</v>
      </c>
      <c r="F31" s="111"/>
      <c r="G31" s="111"/>
    </row>
    <row r="32" spans="1:7" ht="30" x14ac:dyDescent="0.25">
      <c r="A32" s="106" t="s">
        <v>61</v>
      </c>
      <c r="B32" s="106" t="s">
        <v>1</v>
      </c>
      <c r="C32" s="84" t="s">
        <v>62</v>
      </c>
      <c r="E32" s="112" t="s">
        <v>83</v>
      </c>
      <c r="F32" s="113" t="s">
        <v>1</v>
      </c>
      <c r="G32" s="114" t="s">
        <v>84</v>
      </c>
    </row>
    <row r="33" spans="1:7" ht="18" x14ac:dyDescent="0.25">
      <c r="A33" s="106" t="s">
        <v>174</v>
      </c>
      <c r="B33" s="106" t="s">
        <v>1</v>
      </c>
      <c r="C33" s="84" t="s">
        <v>21</v>
      </c>
      <c r="E33" s="112" t="s">
        <v>175</v>
      </c>
      <c r="F33" s="112" t="s">
        <v>1</v>
      </c>
      <c r="G33" s="112" t="s">
        <v>176</v>
      </c>
    </row>
    <row r="34" spans="1:7" ht="18" x14ac:dyDescent="0.25">
      <c r="A34" s="2"/>
      <c r="B34" s="1"/>
      <c r="C34" s="1"/>
      <c r="E34" s="106" t="s">
        <v>177</v>
      </c>
      <c r="F34" s="106" t="s">
        <v>1</v>
      </c>
      <c r="G34" s="84" t="s">
        <v>178</v>
      </c>
    </row>
    <row r="35" spans="1:7" ht="18" x14ac:dyDescent="0.25">
      <c r="B35" s="106"/>
      <c r="E35" s="106" t="s">
        <v>179</v>
      </c>
      <c r="F35" s="106" t="s">
        <v>1</v>
      </c>
      <c r="G35" s="84" t="s">
        <v>180</v>
      </c>
    </row>
    <row r="36" spans="1:7" ht="18" x14ac:dyDescent="0.25">
      <c r="B36" s="106"/>
      <c r="E36" s="112" t="s">
        <v>129</v>
      </c>
      <c r="F36" s="112" t="s">
        <v>1</v>
      </c>
      <c r="G36" s="84" t="s">
        <v>181</v>
      </c>
    </row>
    <row r="37" spans="1:7" ht="18" x14ac:dyDescent="0.25">
      <c r="B37" s="106"/>
      <c r="E37" s="112" t="s">
        <v>131</v>
      </c>
      <c r="F37" s="112" t="s">
        <v>1</v>
      </c>
      <c r="G37" s="84" t="s">
        <v>182</v>
      </c>
    </row>
    <row r="38" spans="1:7" ht="18" x14ac:dyDescent="0.25">
      <c r="B38" s="106"/>
      <c r="E38" s="112" t="s">
        <v>106</v>
      </c>
      <c r="F38" s="112" t="s">
        <v>1</v>
      </c>
      <c r="G38" s="84" t="s">
        <v>183</v>
      </c>
    </row>
    <row r="39" spans="1:7" ht="15.75" customHeight="1" x14ac:dyDescent="0.25">
      <c r="B39" s="106"/>
      <c r="E39" s="112" t="s">
        <v>184</v>
      </c>
      <c r="F39" s="112" t="s">
        <v>1</v>
      </c>
      <c r="G39" s="84" t="s">
        <v>185</v>
      </c>
    </row>
    <row r="40" spans="1:7" ht="28.5" customHeight="1" x14ac:dyDescent="0.25">
      <c r="B40" s="106"/>
      <c r="E40" s="115" t="s">
        <v>186</v>
      </c>
      <c r="F40" s="106" t="s">
        <v>1</v>
      </c>
      <c r="G40" s="84" t="s">
        <v>82</v>
      </c>
    </row>
    <row r="41" spans="1:7" ht="16.5" x14ac:dyDescent="0.25">
      <c r="E41" s="106" t="s">
        <v>104</v>
      </c>
      <c r="F41" s="106" t="s">
        <v>1</v>
      </c>
      <c r="G41" s="84" t="s">
        <v>85</v>
      </c>
    </row>
    <row r="42" spans="1:7" ht="18.75" customHeight="1" x14ac:dyDescent="0.25">
      <c r="E42" s="116" t="s">
        <v>187</v>
      </c>
      <c r="F42" s="106" t="s">
        <v>1</v>
      </c>
      <c r="G42" s="84" t="s">
        <v>91</v>
      </c>
    </row>
    <row r="43" spans="1:7" ht="16.5" x14ac:dyDescent="0.25">
      <c r="E43" s="106" t="s">
        <v>128</v>
      </c>
      <c r="F43" s="106" t="s">
        <v>1</v>
      </c>
      <c r="G43" s="84" t="s">
        <v>86</v>
      </c>
    </row>
    <row r="44" spans="1:7" ht="16.5" x14ac:dyDescent="0.25">
      <c r="E44" s="106" t="s">
        <v>188</v>
      </c>
      <c r="F44" s="106" t="s">
        <v>1</v>
      </c>
      <c r="G44" s="84" t="s">
        <v>90</v>
      </c>
    </row>
    <row r="45" spans="1:7" x14ac:dyDescent="0.25">
      <c r="E45" s="115" t="s">
        <v>88</v>
      </c>
      <c r="F45" s="106" t="s">
        <v>1</v>
      </c>
      <c r="G45" s="84" t="s">
        <v>87</v>
      </c>
    </row>
    <row r="46" spans="1:7" x14ac:dyDescent="0.25">
      <c r="E46" s="115" t="s">
        <v>89</v>
      </c>
      <c r="F46" s="106" t="s">
        <v>1</v>
      </c>
      <c r="G46" s="84" t="s">
        <v>92</v>
      </c>
    </row>
    <row r="48" spans="1:7" x14ac:dyDescent="0.25">
      <c r="A48" s="102" t="s">
        <v>504</v>
      </c>
    </row>
    <row r="49" spans="1:1" x14ac:dyDescent="0.25">
      <c r="A49" s="102" t="s">
        <v>505</v>
      </c>
    </row>
    <row r="50" spans="1:1" ht="14.25" customHeight="1" x14ac:dyDescent="0.25">
      <c r="A50" s="102" t="s">
        <v>506</v>
      </c>
    </row>
    <row r="51" spans="1:1" x14ac:dyDescent="0.25">
      <c r="A51" s="102" t="s">
        <v>507</v>
      </c>
    </row>
    <row r="52" spans="1:1" x14ac:dyDescent="0.25">
      <c r="A52" s="103" t="s">
        <v>508</v>
      </c>
    </row>
  </sheetData>
  <sheetProtection password="E156" sheet="1" objects="1" scenarios="1"/>
  <mergeCells count="3">
    <mergeCell ref="A5:G5"/>
    <mergeCell ref="E31:G31"/>
    <mergeCell ref="A4:G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58"/>
  <sheetViews>
    <sheetView zoomScale="80" zoomScaleNormal="80" workbookViewId="0">
      <selection activeCell="E32" sqref="E32"/>
    </sheetView>
  </sheetViews>
  <sheetFormatPr defaultColWidth="9.140625" defaultRowHeight="15" x14ac:dyDescent="0.25"/>
  <cols>
    <col min="1" max="1" width="18.140625" style="118" customWidth="1"/>
    <col min="2" max="2" width="5.85546875" style="117" customWidth="1"/>
    <col min="3" max="3" width="49.28515625" style="117" bestFit="1" customWidth="1"/>
    <col min="4" max="4" width="10.140625" style="118" bestFit="1" customWidth="1"/>
    <col min="5" max="5" width="19.7109375" style="118" customWidth="1"/>
    <col min="6" max="6" width="9.140625" style="118"/>
    <col min="7" max="7" width="24.42578125" style="118" customWidth="1"/>
    <col min="8" max="8" width="5.7109375" style="117" customWidth="1"/>
    <col min="9" max="9" width="22.28515625" style="117" customWidth="1"/>
    <col min="10" max="10" width="12.85546875" style="118" customWidth="1"/>
    <col min="11" max="11" width="37.28515625" style="118" customWidth="1"/>
    <col min="12" max="16384" width="9.140625" style="118"/>
  </cols>
  <sheetData>
    <row r="1" spans="1:11" x14ac:dyDescent="0.25">
      <c r="A1" s="99" t="s">
        <v>499</v>
      </c>
    </row>
    <row r="5" spans="1:11" ht="54" customHeight="1" x14ac:dyDescent="0.25">
      <c r="A5" s="86" t="s">
        <v>453</v>
      </c>
      <c r="B5" s="86"/>
      <c r="C5" s="86"/>
      <c r="D5" s="86"/>
      <c r="E5" s="86"/>
      <c r="G5" s="119" t="s">
        <v>454</v>
      </c>
      <c r="H5" s="119"/>
      <c r="I5" s="119"/>
      <c r="J5" s="119"/>
      <c r="K5" s="119"/>
    </row>
    <row r="6" spans="1:11" x14ac:dyDescent="0.25">
      <c r="A6" s="22" t="s">
        <v>345</v>
      </c>
      <c r="B6" s="21"/>
      <c r="C6" s="21"/>
      <c r="D6" s="6"/>
      <c r="E6" s="6"/>
      <c r="G6" s="120" t="s">
        <v>345</v>
      </c>
      <c r="H6" s="121"/>
      <c r="I6" s="122"/>
      <c r="J6" s="123"/>
      <c r="K6" s="124"/>
    </row>
    <row r="7" spans="1:11" ht="18.75" x14ac:dyDescent="0.3">
      <c r="A7" s="42" t="s">
        <v>105</v>
      </c>
      <c r="B7" s="7" t="s">
        <v>101</v>
      </c>
      <c r="C7" s="5">
        <v>2.0699999999999998</v>
      </c>
      <c r="D7" s="4" t="s">
        <v>31</v>
      </c>
      <c r="E7" s="6"/>
      <c r="G7" s="125" t="s">
        <v>105</v>
      </c>
      <c r="H7" s="121" t="s">
        <v>101</v>
      </c>
      <c r="I7" s="26">
        <v>2.0699999999999998</v>
      </c>
      <c r="J7" s="123" t="s">
        <v>31</v>
      </c>
      <c r="K7" s="124"/>
    </row>
    <row r="8" spans="1:11" ht="16.5" x14ac:dyDescent="0.3">
      <c r="A8" s="8" t="s">
        <v>104</v>
      </c>
      <c r="B8" s="7" t="s">
        <v>101</v>
      </c>
      <c r="C8" s="21">
        <v>1.2E-2</v>
      </c>
      <c r="D8" s="4" t="s">
        <v>125</v>
      </c>
      <c r="E8" s="6"/>
      <c r="G8" s="126" t="s">
        <v>104</v>
      </c>
      <c r="H8" s="121" t="s">
        <v>101</v>
      </c>
      <c r="I8" s="27">
        <v>1.2E-2</v>
      </c>
      <c r="J8" s="123" t="s">
        <v>125</v>
      </c>
      <c r="K8" s="124"/>
    </row>
    <row r="9" spans="1:11" ht="18.75" x14ac:dyDescent="0.3">
      <c r="A9" s="42" t="s">
        <v>126</v>
      </c>
      <c r="B9" s="7" t="s">
        <v>1</v>
      </c>
      <c r="C9" s="21">
        <v>31.2</v>
      </c>
      <c r="D9" s="4" t="s">
        <v>31</v>
      </c>
      <c r="E9" s="6"/>
      <c r="G9" s="125" t="s">
        <v>126</v>
      </c>
      <c r="H9" s="121" t="s">
        <v>1</v>
      </c>
      <c r="I9" s="27">
        <v>31.2</v>
      </c>
      <c r="J9" s="123" t="s">
        <v>31</v>
      </c>
      <c r="K9" s="124"/>
    </row>
    <row r="10" spans="1:11" ht="15" customHeight="1" x14ac:dyDescent="0.3">
      <c r="A10" s="42" t="s">
        <v>137</v>
      </c>
      <c r="B10" s="5" t="s">
        <v>1</v>
      </c>
      <c r="C10" s="5">
        <v>150</v>
      </c>
      <c r="D10" s="4" t="s">
        <v>138</v>
      </c>
      <c r="E10" s="6"/>
      <c r="G10" s="125" t="s">
        <v>137</v>
      </c>
      <c r="H10" s="122" t="s">
        <v>1</v>
      </c>
      <c r="I10" s="26">
        <v>150</v>
      </c>
      <c r="J10" s="123" t="s">
        <v>138</v>
      </c>
      <c r="K10" s="123"/>
    </row>
    <row r="11" spans="1:11" x14ac:dyDescent="0.25">
      <c r="A11" s="22" t="s">
        <v>347</v>
      </c>
      <c r="B11" s="21"/>
      <c r="C11" s="21"/>
      <c r="D11" s="6"/>
      <c r="E11" s="6"/>
      <c r="G11" s="120" t="s">
        <v>347</v>
      </c>
      <c r="H11" s="127"/>
      <c r="I11" s="127"/>
      <c r="J11" s="124"/>
      <c r="K11" s="124"/>
    </row>
    <row r="12" spans="1:11" ht="16.5" x14ac:dyDescent="0.3">
      <c r="A12" s="8" t="s">
        <v>149</v>
      </c>
      <c r="B12" s="21" t="s">
        <v>1</v>
      </c>
      <c r="C12" s="23" t="s">
        <v>346</v>
      </c>
      <c r="D12" s="6" t="s">
        <v>29</v>
      </c>
      <c r="E12" s="6"/>
      <c r="G12" s="126" t="s">
        <v>149</v>
      </c>
      <c r="H12" s="127" t="s">
        <v>1</v>
      </c>
      <c r="I12" s="128">
        <f>I10*0.00003937/12</f>
        <v>4.9212499999999994E-4</v>
      </c>
      <c r="J12" s="124" t="s">
        <v>29</v>
      </c>
      <c r="K12" s="129"/>
    </row>
    <row r="13" spans="1:11" ht="18" x14ac:dyDescent="0.25">
      <c r="A13" s="8" t="s">
        <v>248</v>
      </c>
      <c r="B13" s="21" t="s">
        <v>1</v>
      </c>
      <c r="C13" s="21" t="s">
        <v>455</v>
      </c>
      <c r="D13" s="6"/>
      <c r="E13" s="6" t="s">
        <v>348</v>
      </c>
      <c r="G13" s="126" t="s">
        <v>248</v>
      </c>
      <c r="H13" s="127" t="s">
        <v>1</v>
      </c>
      <c r="I13" s="130">
        <f>0.95*100000000*I7*(I12^3)*(I9-I7)/(I8^2)</f>
        <v>4741.3086358635155</v>
      </c>
      <c r="J13" s="124"/>
      <c r="K13" s="124" t="s">
        <v>348</v>
      </c>
    </row>
    <row r="14" spans="1:11" ht="16.5" x14ac:dyDescent="0.3">
      <c r="A14" s="8" t="s">
        <v>249</v>
      </c>
      <c r="B14" s="21" t="s">
        <v>1</v>
      </c>
      <c r="C14" s="24">
        <v>1.35</v>
      </c>
      <c r="D14" s="6"/>
      <c r="E14" s="6" t="s">
        <v>350</v>
      </c>
      <c r="G14" s="126" t="s">
        <v>249</v>
      </c>
      <c r="H14" s="127" t="s">
        <v>1</v>
      </c>
      <c r="I14" s="131">
        <f>IF(I13&lt;86,385.14*I13^-0.81,IF(I13&lt;1009,133.43*I13^-0.585,IF(I13&lt;19028,34.183*I13^-0.382,3.8907*I13^-0.168)))</f>
        <v>1.3477739326861533</v>
      </c>
      <c r="J14" s="124"/>
      <c r="K14" s="124" t="s">
        <v>350</v>
      </c>
    </row>
    <row r="15" spans="1:11" ht="18" x14ac:dyDescent="0.25">
      <c r="A15" s="40" t="s">
        <v>250</v>
      </c>
      <c r="B15" s="21" t="s">
        <v>1</v>
      </c>
      <c r="C15" s="25" t="s">
        <v>351</v>
      </c>
      <c r="D15" s="17" t="s">
        <v>32</v>
      </c>
      <c r="E15" s="6" t="s">
        <v>349</v>
      </c>
      <c r="G15" s="132" t="s">
        <v>250</v>
      </c>
      <c r="H15" s="127" t="s">
        <v>1</v>
      </c>
      <c r="I15" s="133">
        <f>((4*32.2*I12*(I9-I7))/(3*I7*I14))^0.5</f>
        <v>0.46969026772676742</v>
      </c>
      <c r="J15" s="134" t="s">
        <v>32</v>
      </c>
      <c r="K15" s="124" t="s">
        <v>349</v>
      </c>
    </row>
    <row r="16" spans="1:11" x14ac:dyDescent="0.25">
      <c r="A16" s="6"/>
      <c r="B16" s="21"/>
      <c r="C16" s="21"/>
      <c r="D16" s="6"/>
      <c r="E16" s="6"/>
      <c r="G16" s="124"/>
      <c r="H16" s="127"/>
      <c r="I16" s="127"/>
      <c r="J16" s="124"/>
      <c r="K16" s="124"/>
    </row>
    <row r="17" spans="1:9" x14ac:dyDescent="0.25">
      <c r="H17" s="118"/>
      <c r="I17" s="118"/>
    </row>
    <row r="18" spans="1:9" x14ac:dyDescent="0.25">
      <c r="A18" s="100" t="s">
        <v>504</v>
      </c>
      <c r="H18" s="118"/>
      <c r="I18" s="118"/>
    </row>
    <row r="19" spans="1:9" ht="15" customHeight="1" x14ac:dyDescent="0.25">
      <c r="A19" s="100" t="s">
        <v>505</v>
      </c>
      <c r="H19" s="118"/>
      <c r="I19" s="118"/>
    </row>
    <row r="20" spans="1:9" x14ac:dyDescent="0.25">
      <c r="A20" s="100" t="s">
        <v>506</v>
      </c>
      <c r="H20" s="118"/>
      <c r="I20" s="118"/>
    </row>
    <row r="21" spans="1:9" x14ac:dyDescent="0.25">
      <c r="A21" s="100" t="s">
        <v>507</v>
      </c>
      <c r="H21" s="118"/>
      <c r="I21" s="118"/>
    </row>
    <row r="22" spans="1:9" x14ac:dyDescent="0.25">
      <c r="A22" s="101" t="s">
        <v>508</v>
      </c>
      <c r="H22" s="118"/>
      <c r="I22" s="118"/>
    </row>
    <row r="23" spans="1:9" ht="13.9" customHeight="1" x14ac:dyDescent="0.25">
      <c r="H23" s="118"/>
      <c r="I23" s="118"/>
    </row>
    <row r="24" spans="1:9" x14ac:dyDescent="0.25">
      <c r="H24" s="118"/>
      <c r="I24" s="118"/>
    </row>
    <row r="25" spans="1:9" x14ac:dyDescent="0.25">
      <c r="H25" s="118"/>
      <c r="I25" s="118"/>
    </row>
    <row r="26" spans="1:9" x14ac:dyDescent="0.25">
      <c r="H26" s="118"/>
      <c r="I26" s="118"/>
    </row>
    <row r="27" spans="1:9" ht="13.9" customHeight="1" x14ac:dyDescent="0.25">
      <c r="H27" s="118"/>
      <c r="I27" s="118"/>
    </row>
    <row r="28" spans="1:9" x14ac:dyDescent="0.25">
      <c r="H28" s="118"/>
      <c r="I28" s="118"/>
    </row>
    <row r="29" spans="1:9" x14ac:dyDescent="0.25">
      <c r="H29" s="118"/>
      <c r="I29" s="118"/>
    </row>
    <row r="30" spans="1:9" x14ac:dyDescent="0.25">
      <c r="H30" s="118"/>
      <c r="I30" s="118"/>
    </row>
    <row r="31" spans="1:9" x14ac:dyDescent="0.25">
      <c r="H31" s="118"/>
      <c r="I31" s="118"/>
    </row>
    <row r="32" spans="1:9" x14ac:dyDescent="0.25">
      <c r="H32" s="118"/>
      <c r="I32" s="118"/>
    </row>
    <row r="33" spans="8:9" x14ac:dyDescent="0.25">
      <c r="H33" s="118"/>
      <c r="I33" s="118"/>
    </row>
    <row r="34" spans="8:9" x14ac:dyDescent="0.25">
      <c r="H34" s="118"/>
      <c r="I34" s="118"/>
    </row>
    <row r="35" spans="8:9" x14ac:dyDescent="0.25">
      <c r="H35" s="118"/>
      <c r="I35" s="118"/>
    </row>
    <row r="36" spans="8:9" x14ac:dyDescent="0.25">
      <c r="H36" s="118"/>
      <c r="I36" s="118"/>
    </row>
    <row r="37" spans="8:9" x14ac:dyDescent="0.25">
      <c r="H37" s="118"/>
      <c r="I37" s="118"/>
    </row>
    <row r="38" spans="8:9" x14ac:dyDescent="0.25">
      <c r="H38" s="118"/>
      <c r="I38" s="118"/>
    </row>
    <row r="39" spans="8:9" x14ac:dyDescent="0.25">
      <c r="H39" s="118"/>
      <c r="I39" s="118"/>
    </row>
    <row r="40" spans="8:9" x14ac:dyDescent="0.25">
      <c r="H40" s="118"/>
      <c r="I40" s="118"/>
    </row>
    <row r="41" spans="8:9" x14ac:dyDescent="0.25">
      <c r="H41" s="118"/>
      <c r="I41" s="118"/>
    </row>
    <row r="42" spans="8:9" x14ac:dyDescent="0.25">
      <c r="H42" s="118"/>
      <c r="I42" s="118"/>
    </row>
    <row r="43" spans="8:9" x14ac:dyDescent="0.25">
      <c r="H43" s="118"/>
      <c r="I43" s="118"/>
    </row>
    <row r="44" spans="8:9" x14ac:dyDescent="0.25">
      <c r="H44" s="118"/>
      <c r="I44" s="118"/>
    </row>
    <row r="45" spans="8:9" x14ac:dyDescent="0.25">
      <c r="H45" s="118"/>
      <c r="I45" s="118"/>
    </row>
    <row r="46" spans="8:9" x14ac:dyDescent="0.25">
      <c r="H46" s="118"/>
      <c r="I46" s="118"/>
    </row>
    <row r="47" spans="8:9" x14ac:dyDescent="0.25">
      <c r="H47" s="118"/>
      <c r="I47" s="118"/>
    </row>
    <row r="48" spans="8:9" x14ac:dyDescent="0.25">
      <c r="H48" s="118"/>
      <c r="I48" s="118"/>
    </row>
    <row r="49" spans="8:9" x14ac:dyDescent="0.25">
      <c r="H49" s="118"/>
      <c r="I49" s="118"/>
    </row>
    <row r="50" spans="8:9" x14ac:dyDescent="0.25">
      <c r="H50" s="118"/>
      <c r="I50" s="118"/>
    </row>
    <row r="51" spans="8:9" x14ac:dyDescent="0.25">
      <c r="H51" s="118"/>
      <c r="I51" s="118"/>
    </row>
    <row r="52" spans="8:9" x14ac:dyDescent="0.25">
      <c r="H52" s="118"/>
      <c r="I52" s="118"/>
    </row>
    <row r="53" spans="8:9" x14ac:dyDescent="0.25">
      <c r="H53" s="118"/>
      <c r="I53" s="118"/>
    </row>
    <row r="54" spans="8:9" x14ac:dyDescent="0.25">
      <c r="H54" s="118"/>
      <c r="I54" s="118"/>
    </row>
    <row r="55" spans="8:9" x14ac:dyDescent="0.25">
      <c r="H55" s="118"/>
      <c r="I55" s="118"/>
    </row>
    <row r="56" spans="8:9" x14ac:dyDescent="0.25">
      <c r="H56" s="118"/>
      <c r="I56" s="118"/>
    </row>
    <row r="57" spans="8:9" x14ac:dyDescent="0.25">
      <c r="H57" s="118"/>
      <c r="I57" s="118"/>
    </row>
    <row r="58" spans="8:9" x14ac:dyDescent="0.25">
      <c r="H58" s="118"/>
      <c r="I58" s="118"/>
    </row>
  </sheetData>
  <sheetProtection password="E156" sheet="1" objects="1" scenarios="1"/>
  <mergeCells count="2">
    <mergeCell ref="A5:E5"/>
    <mergeCell ref="G5:K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M68"/>
  <sheetViews>
    <sheetView zoomScale="90" zoomScaleNormal="90" workbookViewId="0">
      <selection activeCell="C2" sqref="C2"/>
    </sheetView>
  </sheetViews>
  <sheetFormatPr defaultColWidth="9.140625" defaultRowHeight="15" x14ac:dyDescent="0.25"/>
  <cols>
    <col min="1" max="1" width="31" style="118" customWidth="1"/>
    <col min="2" max="2" width="4.28515625" style="117" customWidth="1"/>
    <col min="3" max="3" width="50.5703125" style="117" bestFit="1" customWidth="1"/>
    <col min="4" max="4" width="11" style="118" customWidth="1"/>
    <col min="5" max="5" width="39" style="118" bestFit="1" customWidth="1"/>
    <col min="6" max="6" width="5.42578125" style="118" customWidth="1"/>
    <col min="7" max="7" width="40.85546875" style="118" bestFit="1" customWidth="1"/>
    <col min="8" max="8" width="4.85546875" style="117" customWidth="1"/>
    <col min="9" max="9" width="26.140625" style="117" customWidth="1"/>
    <col min="10" max="10" width="10.28515625" style="118" bestFit="1" customWidth="1"/>
    <col min="11" max="11" width="57" style="118" customWidth="1"/>
    <col min="12" max="20" width="9.140625" style="135" customWidth="1"/>
    <col min="21" max="34" width="9.140625" style="118"/>
    <col min="35" max="35" width="12.5703125" style="117" bestFit="1" customWidth="1"/>
    <col min="36" max="36" width="10.85546875" style="117" bestFit="1" customWidth="1"/>
    <col min="37" max="37" width="11" style="136" bestFit="1" customWidth="1"/>
    <col min="38" max="38" width="25.140625" style="117" customWidth="1"/>
    <col min="39" max="39" width="13.85546875" style="117" bestFit="1" customWidth="1"/>
    <col min="40" max="16384" width="9.140625" style="118"/>
  </cols>
  <sheetData>
    <row r="1" spans="1:39" x14ac:dyDescent="0.25">
      <c r="A1" s="99" t="s">
        <v>499</v>
      </c>
    </row>
    <row r="5" spans="1:39" ht="36" customHeight="1" x14ac:dyDescent="0.25">
      <c r="A5" s="87" t="s">
        <v>456</v>
      </c>
      <c r="B5" s="87"/>
      <c r="C5" s="87"/>
      <c r="D5" s="87"/>
      <c r="E5" s="87"/>
      <c r="G5" s="119" t="s">
        <v>457</v>
      </c>
      <c r="H5" s="119"/>
      <c r="I5" s="119"/>
      <c r="J5" s="119"/>
      <c r="K5" s="119"/>
      <c r="L5" s="137"/>
      <c r="M5" s="137"/>
      <c r="N5" s="137"/>
      <c r="O5" s="137"/>
      <c r="P5" s="137"/>
      <c r="Q5" s="137"/>
      <c r="R5" s="137"/>
      <c r="S5" s="137"/>
      <c r="T5" s="137"/>
    </row>
    <row r="6" spans="1:39" x14ac:dyDescent="0.25">
      <c r="A6" s="9" t="s">
        <v>204</v>
      </c>
      <c r="B6" s="5"/>
      <c r="C6" s="5"/>
      <c r="D6" s="4"/>
      <c r="E6" s="3"/>
      <c r="G6" s="138" t="s">
        <v>204</v>
      </c>
      <c r="H6" s="122"/>
      <c r="I6" s="122"/>
      <c r="J6" s="123"/>
      <c r="K6" s="139"/>
      <c r="L6" s="140"/>
      <c r="M6" s="140"/>
      <c r="N6" s="140"/>
      <c r="O6" s="140"/>
      <c r="P6" s="140"/>
      <c r="Q6" s="140"/>
      <c r="R6" s="140"/>
      <c r="S6" s="140"/>
      <c r="T6" s="140"/>
      <c r="AI6" s="117" t="s">
        <v>245</v>
      </c>
      <c r="AJ6" s="117" t="s">
        <v>246</v>
      </c>
      <c r="AK6" s="117" t="s">
        <v>207</v>
      </c>
      <c r="AL6" s="117" t="s">
        <v>228</v>
      </c>
      <c r="AM6" s="117" t="s">
        <v>237</v>
      </c>
    </row>
    <row r="7" spans="1:39" x14ac:dyDescent="0.25">
      <c r="A7" s="42" t="s">
        <v>190</v>
      </c>
      <c r="B7" s="5" t="s">
        <v>1</v>
      </c>
      <c r="C7" s="5">
        <v>17.55</v>
      </c>
      <c r="D7" s="4" t="s">
        <v>191</v>
      </c>
      <c r="E7" s="3"/>
      <c r="G7" s="125" t="s">
        <v>190</v>
      </c>
      <c r="H7" s="122" t="s">
        <v>1</v>
      </c>
      <c r="I7" s="26">
        <v>17.55</v>
      </c>
      <c r="J7" s="123" t="s">
        <v>191</v>
      </c>
      <c r="K7" s="139"/>
      <c r="L7" s="140"/>
      <c r="M7" s="140"/>
      <c r="N7" s="140"/>
      <c r="O7" s="140"/>
      <c r="P7" s="140"/>
      <c r="Q7" s="140"/>
      <c r="R7" s="140"/>
      <c r="S7" s="140"/>
      <c r="T7" s="140"/>
      <c r="AI7" s="141">
        <v>0.35</v>
      </c>
      <c r="AJ7" s="141">
        <f>AI7/3.28</f>
        <v>0.10670731707317073</v>
      </c>
      <c r="AK7" s="136" t="s">
        <v>208</v>
      </c>
      <c r="AL7" s="117" t="s">
        <v>229</v>
      </c>
      <c r="AM7" s="117" t="s">
        <v>238</v>
      </c>
    </row>
    <row r="8" spans="1:39" ht="13.9" customHeight="1" x14ac:dyDescent="0.25">
      <c r="A8" s="42" t="s">
        <v>93</v>
      </c>
      <c r="B8" s="5" t="s">
        <v>1</v>
      </c>
      <c r="C8" s="5">
        <v>120</v>
      </c>
      <c r="D8" s="4" t="s">
        <v>27</v>
      </c>
      <c r="E8" s="3"/>
      <c r="G8" s="125" t="s">
        <v>93</v>
      </c>
      <c r="H8" s="122" t="s">
        <v>1</v>
      </c>
      <c r="I8" s="26">
        <v>120</v>
      </c>
      <c r="J8" s="123" t="s">
        <v>27</v>
      </c>
      <c r="K8" s="139"/>
      <c r="L8" s="140"/>
      <c r="M8" s="140"/>
      <c r="N8" s="140"/>
      <c r="O8" s="140"/>
      <c r="P8" s="140"/>
      <c r="Q8" s="140"/>
      <c r="R8" s="140"/>
      <c r="S8" s="140"/>
      <c r="T8" s="140"/>
      <c r="AI8" s="141">
        <v>0.4</v>
      </c>
      <c r="AJ8" s="141">
        <f t="shared" ref="AJ8:AJ20" si="0">AI8/3.28</f>
        <v>0.12195121951219513</v>
      </c>
      <c r="AK8" s="136" t="s">
        <v>209</v>
      </c>
      <c r="AL8" s="117" t="s">
        <v>230</v>
      </c>
    </row>
    <row r="9" spans="1:39" x14ac:dyDescent="0.25">
      <c r="A9" s="42" t="s">
        <v>94</v>
      </c>
      <c r="B9" s="5" t="s">
        <v>1</v>
      </c>
      <c r="C9" s="5">
        <v>500</v>
      </c>
      <c r="D9" s="4" t="s">
        <v>28</v>
      </c>
      <c r="E9" s="3"/>
      <c r="G9" s="125" t="s">
        <v>94</v>
      </c>
      <c r="H9" s="122" t="s">
        <v>1</v>
      </c>
      <c r="I9" s="26">
        <v>500</v>
      </c>
      <c r="J9" s="123" t="s">
        <v>28</v>
      </c>
      <c r="K9" s="139"/>
      <c r="L9" s="140"/>
      <c r="M9" s="140"/>
      <c r="N9" s="140"/>
      <c r="O9" s="140"/>
      <c r="P9" s="140"/>
      <c r="Q9" s="140"/>
      <c r="R9" s="140"/>
      <c r="S9" s="140"/>
      <c r="T9" s="140"/>
      <c r="AI9" s="141">
        <v>0.45</v>
      </c>
      <c r="AJ9" s="141">
        <f t="shared" si="0"/>
        <v>0.13719512195121952</v>
      </c>
      <c r="AK9" s="136" t="s">
        <v>210</v>
      </c>
      <c r="AL9" s="117" t="s">
        <v>231</v>
      </c>
    </row>
    <row r="10" spans="1:39" x14ac:dyDescent="0.25">
      <c r="A10" s="42" t="s">
        <v>96</v>
      </c>
      <c r="B10" s="5" t="s">
        <v>1</v>
      </c>
      <c r="C10" s="34">
        <v>150</v>
      </c>
      <c r="D10" s="6" t="s">
        <v>99</v>
      </c>
      <c r="E10" s="3"/>
      <c r="G10" s="125" t="s">
        <v>96</v>
      </c>
      <c r="H10" s="122" t="s">
        <v>1</v>
      </c>
      <c r="I10" s="28">
        <v>150</v>
      </c>
      <c r="J10" s="124" t="s">
        <v>99</v>
      </c>
      <c r="K10" s="139"/>
      <c r="L10" s="140"/>
      <c r="M10" s="140"/>
      <c r="N10" s="140"/>
      <c r="O10" s="140"/>
      <c r="P10" s="140"/>
      <c r="Q10" s="140"/>
      <c r="R10" s="140"/>
      <c r="S10" s="140"/>
      <c r="T10" s="140"/>
      <c r="AI10" s="141">
        <v>0.5</v>
      </c>
      <c r="AJ10" s="141">
        <f t="shared" si="0"/>
        <v>0.1524390243902439</v>
      </c>
      <c r="AK10" s="136" t="s">
        <v>211</v>
      </c>
    </row>
    <row r="11" spans="1:39" x14ac:dyDescent="0.25">
      <c r="A11" s="42" t="s">
        <v>95</v>
      </c>
      <c r="B11" s="5" t="s">
        <v>1</v>
      </c>
      <c r="C11" s="5">
        <v>100</v>
      </c>
      <c r="D11" s="6" t="s">
        <v>243</v>
      </c>
      <c r="E11" s="3"/>
      <c r="G11" s="125" t="s">
        <v>95</v>
      </c>
      <c r="H11" s="122" t="s">
        <v>1</v>
      </c>
      <c r="I11" s="26">
        <v>100</v>
      </c>
      <c r="J11" s="124" t="s">
        <v>243</v>
      </c>
      <c r="K11" s="139"/>
      <c r="L11" s="140"/>
      <c r="M11" s="140"/>
      <c r="N11" s="140"/>
      <c r="O11" s="140"/>
      <c r="P11" s="140"/>
      <c r="Q11" s="140"/>
      <c r="R11" s="140"/>
      <c r="S11" s="140"/>
      <c r="T11" s="140"/>
      <c r="AI11" s="141">
        <v>0.55000000000000004</v>
      </c>
      <c r="AJ11" s="141">
        <f t="shared" si="0"/>
        <v>0.1676829268292683</v>
      </c>
      <c r="AK11" s="136" t="s">
        <v>212</v>
      </c>
    </row>
    <row r="12" spans="1:39" x14ac:dyDescent="0.25">
      <c r="A12" s="42" t="s">
        <v>139</v>
      </c>
      <c r="B12" s="5" t="s">
        <v>1</v>
      </c>
      <c r="C12" s="67">
        <v>0.1</v>
      </c>
      <c r="D12" s="6"/>
      <c r="E12" s="19"/>
      <c r="G12" s="125" t="s">
        <v>139</v>
      </c>
      <c r="H12" s="122" t="s">
        <v>1</v>
      </c>
      <c r="I12" s="29">
        <v>0.1</v>
      </c>
      <c r="J12" s="124"/>
      <c r="K12" s="142"/>
      <c r="L12" s="140"/>
      <c r="M12" s="140"/>
      <c r="N12" s="140"/>
      <c r="O12" s="140"/>
      <c r="P12" s="140"/>
      <c r="Q12" s="140"/>
      <c r="R12" s="140"/>
      <c r="S12" s="140"/>
      <c r="T12" s="140"/>
      <c r="AI12" s="141">
        <v>0.6</v>
      </c>
      <c r="AJ12" s="141">
        <f t="shared" si="0"/>
        <v>0.18292682926829268</v>
      </c>
      <c r="AK12" s="136" t="s">
        <v>213</v>
      </c>
    </row>
    <row r="13" spans="1:39" x14ac:dyDescent="0.25">
      <c r="A13" s="8" t="s">
        <v>193</v>
      </c>
      <c r="B13" s="7" t="s">
        <v>1</v>
      </c>
      <c r="C13" s="21">
        <v>0.35</v>
      </c>
      <c r="D13" s="6" t="s">
        <v>108</v>
      </c>
      <c r="E13" s="6"/>
      <c r="G13" s="126" t="s">
        <v>193</v>
      </c>
      <c r="H13" s="121" t="s">
        <v>1</v>
      </c>
      <c r="I13" s="27">
        <v>0.35</v>
      </c>
      <c r="J13" s="124" t="s">
        <v>108</v>
      </c>
      <c r="K13" s="124"/>
      <c r="L13" s="140"/>
      <c r="M13" s="140"/>
      <c r="N13" s="140"/>
      <c r="O13" s="140"/>
      <c r="P13" s="140"/>
      <c r="Q13" s="140"/>
      <c r="R13" s="140"/>
      <c r="S13" s="140"/>
      <c r="T13" s="140"/>
      <c r="AI13" s="141">
        <v>0.65</v>
      </c>
      <c r="AJ13" s="141">
        <f t="shared" si="0"/>
        <v>0.19817073170731708</v>
      </c>
    </row>
    <row r="14" spans="1:39" x14ac:dyDescent="0.25">
      <c r="A14" s="8" t="s">
        <v>207</v>
      </c>
      <c r="B14" s="7" t="s">
        <v>1</v>
      </c>
      <c r="C14" s="21" t="s">
        <v>208</v>
      </c>
      <c r="D14" s="6"/>
      <c r="E14" s="12" t="s">
        <v>214</v>
      </c>
      <c r="G14" s="126" t="s">
        <v>207</v>
      </c>
      <c r="H14" s="121" t="s">
        <v>1</v>
      </c>
      <c r="I14" s="27" t="s">
        <v>208</v>
      </c>
      <c r="J14" s="124"/>
      <c r="K14" s="143" t="s">
        <v>214</v>
      </c>
      <c r="L14" s="140"/>
      <c r="M14" s="140"/>
      <c r="N14" s="140"/>
      <c r="O14" s="140"/>
      <c r="P14" s="140"/>
      <c r="Q14" s="140"/>
      <c r="R14" s="140"/>
      <c r="S14" s="140"/>
      <c r="T14" s="140"/>
      <c r="AI14" s="141">
        <v>0.7</v>
      </c>
      <c r="AJ14" s="141">
        <f t="shared" si="0"/>
        <v>0.21341463414634146</v>
      </c>
    </row>
    <row r="15" spans="1:39" x14ac:dyDescent="0.25">
      <c r="A15" s="8" t="s">
        <v>237</v>
      </c>
      <c r="B15" s="7" t="s">
        <v>1</v>
      </c>
      <c r="C15" s="21" t="s">
        <v>238</v>
      </c>
      <c r="D15" s="6"/>
      <c r="E15" s="3"/>
      <c r="G15" s="126" t="s">
        <v>237</v>
      </c>
      <c r="H15" s="121" t="s">
        <v>1</v>
      </c>
      <c r="I15" s="27" t="s">
        <v>238</v>
      </c>
      <c r="J15" s="124"/>
      <c r="K15" s="139"/>
      <c r="L15" s="140"/>
      <c r="M15" s="140"/>
      <c r="N15" s="140"/>
      <c r="O15" s="140"/>
      <c r="P15" s="140"/>
      <c r="Q15" s="140"/>
      <c r="R15" s="140"/>
      <c r="S15" s="140"/>
      <c r="T15" s="140"/>
      <c r="AI15" s="141">
        <v>0.75</v>
      </c>
      <c r="AJ15" s="141">
        <f t="shared" si="0"/>
        <v>0.22865853658536586</v>
      </c>
    </row>
    <row r="16" spans="1:39" x14ac:dyDescent="0.25">
      <c r="A16" s="8" t="s">
        <v>226</v>
      </c>
      <c r="B16" s="7" t="s">
        <v>1</v>
      </c>
      <c r="C16" s="21" t="s">
        <v>229</v>
      </c>
      <c r="D16" s="6"/>
      <c r="E16" s="12" t="s">
        <v>227</v>
      </c>
      <c r="G16" s="126" t="s">
        <v>226</v>
      </c>
      <c r="H16" s="121" t="s">
        <v>1</v>
      </c>
      <c r="I16" s="27" t="s">
        <v>229</v>
      </c>
      <c r="J16" s="124"/>
      <c r="K16" s="143" t="s">
        <v>227</v>
      </c>
      <c r="L16" s="140"/>
      <c r="M16" s="140"/>
      <c r="N16" s="140"/>
      <c r="O16" s="140"/>
      <c r="P16" s="140"/>
      <c r="Q16" s="140"/>
      <c r="R16" s="140"/>
      <c r="S16" s="140"/>
      <c r="T16" s="140"/>
      <c r="AI16" s="141">
        <v>0.8</v>
      </c>
      <c r="AJ16" s="141">
        <f t="shared" si="0"/>
        <v>0.24390243902439027</v>
      </c>
    </row>
    <row r="17" spans="1:36" x14ac:dyDescent="0.25">
      <c r="A17" s="8" t="s">
        <v>232</v>
      </c>
      <c r="B17" s="7" t="s">
        <v>1</v>
      </c>
      <c r="C17" s="24">
        <v>4</v>
      </c>
      <c r="D17" s="6" t="s">
        <v>194</v>
      </c>
      <c r="E17" s="6"/>
      <c r="G17" s="126" t="s">
        <v>232</v>
      </c>
      <c r="H17" s="121" t="s">
        <v>1</v>
      </c>
      <c r="I17" s="54">
        <v>4</v>
      </c>
      <c r="J17" s="124" t="s">
        <v>194</v>
      </c>
      <c r="K17" s="124"/>
      <c r="L17" s="140"/>
      <c r="M17" s="140"/>
      <c r="N17" s="140"/>
      <c r="O17" s="140"/>
      <c r="P17" s="140"/>
      <c r="Q17" s="140"/>
      <c r="R17" s="140"/>
      <c r="S17" s="140"/>
      <c r="T17" s="140"/>
      <c r="AI17" s="141">
        <v>0.85</v>
      </c>
      <c r="AJ17" s="141">
        <f t="shared" si="0"/>
        <v>0.25914634146341464</v>
      </c>
    </row>
    <row r="18" spans="1:36" x14ac:dyDescent="0.25">
      <c r="A18" s="8" t="s">
        <v>206</v>
      </c>
      <c r="B18" s="7" t="s">
        <v>1</v>
      </c>
      <c r="C18" s="24">
        <v>18</v>
      </c>
      <c r="D18" s="6" t="s">
        <v>194</v>
      </c>
      <c r="E18" s="6"/>
      <c r="G18" s="126" t="s">
        <v>206</v>
      </c>
      <c r="H18" s="121" t="s">
        <v>1</v>
      </c>
      <c r="I18" s="54">
        <v>18</v>
      </c>
      <c r="J18" s="124" t="s">
        <v>194</v>
      </c>
      <c r="K18" s="124"/>
      <c r="L18" s="140"/>
      <c r="M18" s="140"/>
      <c r="N18" s="140"/>
      <c r="O18" s="140"/>
      <c r="P18" s="140"/>
      <c r="Q18" s="140"/>
      <c r="R18" s="140"/>
      <c r="S18" s="140"/>
      <c r="T18" s="140"/>
      <c r="AI18" s="141">
        <v>0.9</v>
      </c>
      <c r="AJ18" s="141">
        <f t="shared" si="0"/>
        <v>0.27439024390243905</v>
      </c>
    </row>
    <row r="19" spans="1:36" x14ac:dyDescent="0.25">
      <c r="A19" s="8" t="s">
        <v>198</v>
      </c>
      <c r="B19" s="7" t="s">
        <v>1</v>
      </c>
      <c r="C19" s="21">
        <v>16.876000000000001</v>
      </c>
      <c r="D19" s="6" t="s">
        <v>194</v>
      </c>
      <c r="E19" s="6"/>
      <c r="G19" s="126" t="s">
        <v>198</v>
      </c>
      <c r="H19" s="121" t="s">
        <v>1</v>
      </c>
      <c r="I19" s="27">
        <v>16.876000000000001</v>
      </c>
      <c r="J19" s="124" t="s">
        <v>194</v>
      </c>
      <c r="K19" s="124"/>
      <c r="L19" s="140"/>
      <c r="M19" s="140"/>
      <c r="N19" s="140"/>
      <c r="O19" s="140"/>
      <c r="P19" s="140"/>
      <c r="Q19" s="140"/>
      <c r="R19" s="140"/>
      <c r="S19" s="140"/>
      <c r="T19" s="140"/>
      <c r="AI19" s="141">
        <v>0.95000000000000095</v>
      </c>
      <c r="AJ19" s="141">
        <f t="shared" si="0"/>
        <v>0.28963414634146373</v>
      </c>
    </row>
    <row r="20" spans="1:36" ht="16.149999999999999" customHeight="1" x14ac:dyDescent="0.25">
      <c r="A20" s="8" t="s">
        <v>352</v>
      </c>
      <c r="B20" s="41" t="s">
        <v>1</v>
      </c>
      <c r="C20" s="16">
        <v>18</v>
      </c>
      <c r="D20" s="6" t="s">
        <v>194</v>
      </c>
      <c r="E20" s="6"/>
      <c r="G20" s="126" t="s">
        <v>352</v>
      </c>
      <c r="H20" s="144" t="s">
        <v>1</v>
      </c>
      <c r="I20" s="31">
        <v>18</v>
      </c>
      <c r="J20" s="124" t="s">
        <v>194</v>
      </c>
      <c r="K20" s="124"/>
      <c r="L20" s="140"/>
      <c r="M20" s="140"/>
      <c r="N20" s="140"/>
      <c r="O20" s="140"/>
      <c r="P20" s="140"/>
      <c r="Q20" s="140"/>
      <c r="R20" s="140"/>
      <c r="S20" s="140"/>
      <c r="T20" s="140"/>
      <c r="AI20" s="141">
        <v>1</v>
      </c>
      <c r="AJ20" s="141">
        <f t="shared" si="0"/>
        <v>0.3048780487804878</v>
      </c>
    </row>
    <row r="21" spans="1:36" x14ac:dyDescent="0.25">
      <c r="A21" s="8" t="s">
        <v>234</v>
      </c>
      <c r="B21" s="7" t="s">
        <v>1</v>
      </c>
      <c r="C21" s="16">
        <v>1</v>
      </c>
      <c r="D21" s="6" t="s">
        <v>124</v>
      </c>
      <c r="E21" s="6"/>
      <c r="G21" s="126" t="s">
        <v>234</v>
      </c>
      <c r="H21" s="121" t="s">
        <v>1</v>
      </c>
      <c r="I21" s="31">
        <v>1</v>
      </c>
      <c r="J21" s="124" t="s">
        <v>124</v>
      </c>
      <c r="K21" s="124"/>
      <c r="L21" s="140"/>
      <c r="M21" s="140"/>
      <c r="N21" s="140"/>
      <c r="O21" s="140"/>
      <c r="P21" s="140"/>
      <c r="Q21" s="140"/>
      <c r="R21" s="140"/>
      <c r="S21" s="140"/>
      <c r="T21" s="140"/>
    </row>
    <row r="22" spans="1:36" x14ac:dyDescent="0.25">
      <c r="A22" s="8" t="s">
        <v>235</v>
      </c>
      <c r="B22" s="7" t="s">
        <v>1</v>
      </c>
      <c r="C22" s="16">
        <v>5</v>
      </c>
      <c r="D22" s="6" t="s">
        <v>124</v>
      </c>
      <c r="E22" s="6"/>
      <c r="G22" s="126" t="s">
        <v>235</v>
      </c>
      <c r="H22" s="121" t="s">
        <v>1</v>
      </c>
      <c r="I22" s="31">
        <v>5</v>
      </c>
      <c r="J22" s="124" t="s">
        <v>124</v>
      </c>
      <c r="K22" s="124"/>
      <c r="L22" s="140"/>
      <c r="M22" s="140"/>
      <c r="N22" s="140"/>
      <c r="O22" s="140"/>
      <c r="P22" s="140"/>
      <c r="Q22" s="140"/>
      <c r="R22" s="140"/>
      <c r="S22" s="140"/>
      <c r="T22" s="140"/>
    </row>
    <row r="23" spans="1:36" ht="15" customHeight="1" x14ac:dyDescent="0.25">
      <c r="A23" s="8" t="s">
        <v>236</v>
      </c>
      <c r="B23" s="7" t="s">
        <v>1</v>
      </c>
      <c r="C23" s="16">
        <v>1</v>
      </c>
      <c r="D23" s="6" t="s">
        <v>124</v>
      </c>
      <c r="E23" s="6"/>
      <c r="G23" s="126" t="s">
        <v>236</v>
      </c>
      <c r="H23" s="121" t="s">
        <v>1</v>
      </c>
      <c r="I23" s="31">
        <v>1</v>
      </c>
      <c r="J23" s="124" t="s">
        <v>124</v>
      </c>
      <c r="K23" s="124"/>
      <c r="L23" s="140"/>
      <c r="M23" s="140"/>
      <c r="N23" s="140"/>
      <c r="O23" s="140"/>
      <c r="P23" s="140"/>
      <c r="Q23" s="140"/>
      <c r="R23" s="140"/>
      <c r="S23" s="140"/>
      <c r="T23" s="140"/>
    </row>
    <row r="24" spans="1:36" x14ac:dyDescent="0.25">
      <c r="A24" s="42"/>
      <c r="B24" s="7"/>
      <c r="C24" s="15"/>
      <c r="D24" s="4"/>
      <c r="E24" s="4"/>
      <c r="G24" s="125"/>
      <c r="H24" s="121"/>
      <c r="I24" s="145"/>
      <c r="J24" s="123"/>
      <c r="K24" s="123"/>
      <c r="L24" s="140"/>
      <c r="M24" s="140"/>
      <c r="N24" s="140"/>
      <c r="O24" s="140"/>
      <c r="P24" s="140"/>
      <c r="Q24" s="140"/>
      <c r="R24" s="140"/>
      <c r="S24" s="140"/>
      <c r="T24" s="140"/>
    </row>
    <row r="25" spans="1:36" x14ac:dyDescent="0.25">
      <c r="A25" s="9" t="s">
        <v>203</v>
      </c>
      <c r="B25" s="5"/>
      <c r="C25" s="5"/>
      <c r="D25" s="4"/>
      <c r="E25" s="3"/>
      <c r="G25" s="138" t="s">
        <v>203</v>
      </c>
      <c r="H25" s="122"/>
      <c r="I25" s="122"/>
      <c r="J25" s="123"/>
      <c r="K25" s="139"/>
      <c r="L25" s="140"/>
      <c r="M25" s="140"/>
      <c r="N25" s="140"/>
      <c r="O25" s="140"/>
      <c r="P25" s="140"/>
      <c r="Q25" s="140"/>
      <c r="R25" s="140"/>
      <c r="S25" s="140"/>
      <c r="T25" s="140"/>
    </row>
    <row r="26" spans="1:36" ht="18.75" x14ac:dyDescent="0.3">
      <c r="A26" s="42" t="s">
        <v>105</v>
      </c>
      <c r="B26" s="7" t="s">
        <v>101</v>
      </c>
      <c r="C26" s="5">
        <v>1.552</v>
      </c>
      <c r="D26" s="4" t="s">
        <v>31</v>
      </c>
      <c r="E26" s="3"/>
      <c r="G26" s="125" t="s">
        <v>105</v>
      </c>
      <c r="H26" s="121" t="s">
        <v>101</v>
      </c>
      <c r="I26" s="26">
        <v>1.552</v>
      </c>
      <c r="J26" s="123" t="s">
        <v>31</v>
      </c>
      <c r="K26" s="139"/>
      <c r="L26" s="140"/>
      <c r="M26" s="140"/>
      <c r="N26" s="140"/>
      <c r="O26" s="140"/>
      <c r="P26" s="140"/>
      <c r="Q26" s="140"/>
      <c r="R26" s="140"/>
      <c r="S26" s="140"/>
      <c r="T26" s="140"/>
    </row>
    <row r="27" spans="1:36" ht="16.5" x14ac:dyDescent="0.3">
      <c r="A27" s="8" t="s">
        <v>104</v>
      </c>
      <c r="B27" s="7" t="s">
        <v>101</v>
      </c>
      <c r="C27" s="21">
        <v>1.2999999999999999E-2</v>
      </c>
      <c r="D27" s="4" t="s">
        <v>125</v>
      </c>
      <c r="E27" s="3"/>
      <c r="G27" s="126" t="s">
        <v>104</v>
      </c>
      <c r="H27" s="121" t="s">
        <v>101</v>
      </c>
      <c r="I27" s="27">
        <v>1.2999999999999999E-2</v>
      </c>
      <c r="J27" s="123" t="s">
        <v>125</v>
      </c>
      <c r="K27" s="139"/>
      <c r="L27" s="146"/>
      <c r="M27" s="146"/>
      <c r="N27" s="146"/>
      <c r="O27" s="146"/>
      <c r="P27" s="146"/>
      <c r="Q27" s="146"/>
      <c r="R27" s="146"/>
      <c r="S27" s="146"/>
      <c r="T27" s="146"/>
    </row>
    <row r="28" spans="1:36" ht="18.75" x14ac:dyDescent="0.3">
      <c r="A28" s="42" t="s">
        <v>126</v>
      </c>
      <c r="B28" s="7" t="s">
        <v>1</v>
      </c>
      <c r="C28" s="5">
        <v>44.68</v>
      </c>
      <c r="D28" s="4" t="s">
        <v>31</v>
      </c>
      <c r="E28" s="4"/>
      <c r="G28" s="125" t="s">
        <v>126</v>
      </c>
      <c r="H28" s="121" t="s">
        <v>1</v>
      </c>
      <c r="I28" s="26">
        <v>44.68</v>
      </c>
      <c r="J28" s="123" t="s">
        <v>31</v>
      </c>
      <c r="K28" s="123"/>
    </row>
    <row r="29" spans="1:36" ht="16.5" x14ac:dyDescent="0.3">
      <c r="A29" s="8" t="s">
        <v>127</v>
      </c>
      <c r="B29" s="7" t="s">
        <v>1</v>
      </c>
      <c r="C29" s="7">
        <v>0.57399999999999995</v>
      </c>
      <c r="D29" s="4" t="s">
        <v>125</v>
      </c>
      <c r="E29" s="33"/>
      <c r="G29" s="126" t="s">
        <v>127</v>
      </c>
      <c r="H29" s="121" t="s">
        <v>1</v>
      </c>
      <c r="I29" s="32">
        <v>0.57399999999999995</v>
      </c>
      <c r="J29" s="123" t="s">
        <v>125</v>
      </c>
      <c r="K29" s="147"/>
      <c r="L29" s="146"/>
      <c r="M29" s="146"/>
      <c r="N29" s="146"/>
      <c r="O29" s="146"/>
      <c r="P29" s="146"/>
      <c r="Q29" s="146"/>
      <c r="R29" s="146"/>
      <c r="S29" s="146"/>
      <c r="T29" s="146"/>
    </row>
    <row r="30" spans="1:36" ht="18.75" x14ac:dyDescent="0.3">
      <c r="A30" s="42" t="s">
        <v>106</v>
      </c>
      <c r="B30" s="7" t="s">
        <v>1</v>
      </c>
      <c r="C30" s="5">
        <v>1.75</v>
      </c>
      <c r="D30" s="4" t="s">
        <v>31</v>
      </c>
      <c r="E30" s="33"/>
      <c r="G30" s="125" t="s">
        <v>106</v>
      </c>
      <c r="H30" s="121" t="s">
        <v>1</v>
      </c>
      <c r="I30" s="26">
        <v>1.75</v>
      </c>
      <c r="J30" s="123" t="s">
        <v>31</v>
      </c>
      <c r="K30" s="147"/>
      <c r="L30" s="148"/>
      <c r="M30" s="148"/>
      <c r="N30" s="148"/>
      <c r="O30" s="148"/>
      <c r="P30" s="148"/>
      <c r="Q30" s="148"/>
      <c r="R30" s="148"/>
      <c r="S30" s="148"/>
      <c r="T30" s="148"/>
    </row>
    <row r="31" spans="1:36" x14ac:dyDescent="0.25">
      <c r="A31" s="18" t="s">
        <v>202</v>
      </c>
      <c r="B31" s="21"/>
      <c r="C31" s="21"/>
      <c r="D31" s="6"/>
      <c r="E31" s="6"/>
      <c r="G31" s="149" t="s">
        <v>202</v>
      </c>
      <c r="H31" s="127"/>
      <c r="I31" s="127"/>
      <c r="J31" s="124"/>
      <c r="K31" s="124"/>
    </row>
    <row r="32" spans="1:36" ht="16.5" x14ac:dyDescent="0.3">
      <c r="A32" s="42" t="s">
        <v>172</v>
      </c>
      <c r="B32" s="5" t="s">
        <v>1</v>
      </c>
      <c r="C32" s="34" t="s">
        <v>354</v>
      </c>
      <c r="D32" s="11" t="s">
        <v>122</v>
      </c>
      <c r="E32" s="3"/>
      <c r="G32" s="125" t="s">
        <v>172</v>
      </c>
      <c r="H32" s="122" t="s">
        <v>1</v>
      </c>
      <c r="I32" s="150">
        <f>I10*I7*1000000/24/379.47</f>
        <v>289054.47070914693</v>
      </c>
      <c r="J32" s="151" t="s">
        <v>122</v>
      </c>
      <c r="K32" s="139"/>
    </row>
    <row r="33" spans="1:20" ht="16.5" x14ac:dyDescent="0.3">
      <c r="A33" s="42" t="s">
        <v>242</v>
      </c>
      <c r="B33" s="5" t="s">
        <v>1</v>
      </c>
      <c r="C33" s="34" t="s">
        <v>355</v>
      </c>
      <c r="D33" s="11" t="s">
        <v>122</v>
      </c>
      <c r="E33" s="3"/>
      <c r="G33" s="125" t="s">
        <v>242</v>
      </c>
      <c r="H33" s="122" t="s">
        <v>1</v>
      </c>
      <c r="I33" s="150">
        <f>I11*60/7.4805*I28</f>
        <v>35837.176659314217</v>
      </c>
      <c r="J33" s="151" t="s">
        <v>122</v>
      </c>
      <c r="K33" s="139"/>
    </row>
    <row r="34" spans="1:20" ht="15" customHeight="1" x14ac:dyDescent="0.3">
      <c r="A34" s="42" t="s">
        <v>30</v>
      </c>
      <c r="B34" s="5" t="s">
        <v>1</v>
      </c>
      <c r="C34" s="35" t="s">
        <v>356</v>
      </c>
      <c r="D34" s="11" t="s">
        <v>107</v>
      </c>
      <c r="E34" s="3"/>
      <c r="G34" s="125" t="s">
        <v>30</v>
      </c>
      <c r="H34" s="122" t="s">
        <v>1</v>
      </c>
      <c r="I34" s="152">
        <f>I32/I26/3600*(1+I12)</f>
        <v>56.908633623292822</v>
      </c>
      <c r="J34" s="151" t="s">
        <v>107</v>
      </c>
      <c r="K34" s="139"/>
      <c r="L34" s="140"/>
      <c r="M34" s="140"/>
      <c r="N34" s="140"/>
      <c r="O34" s="140"/>
      <c r="P34" s="140"/>
      <c r="Q34" s="140"/>
      <c r="R34" s="140"/>
      <c r="S34" s="140"/>
      <c r="T34" s="140"/>
    </row>
    <row r="35" spans="1:20" x14ac:dyDescent="0.25">
      <c r="A35" s="8" t="s">
        <v>192</v>
      </c>
      <c r="B35" s="5" t="s">
        <v>1</v>
      </c>
      <c r="C35" s="35" t="s">
        <v>357</v>
      </c>
      <c r="D35" s="6" t="s">
        <v>108</v>
      </c>
      <c r="E35" s="12" t="s">
        <v>233</v>
      </c>
      <c r="G35" s="126" t="s">
        <v>192</v>
      </c>
      <c r="H35" s="122" t="s">
        <v>1</v>
      </c>
      <c r="I35" s="152">
        <f>I13*(0.0000002449*I9^2-0.0004824*I9+0.998)</f>
        <v>0.28630875</v>
      </c>
      <c r="J35" s="124" t="s">
        <v>108</v>
      </c>
      <c r="K35" s="143" t="s">
        <v>233</v>
      </c>
      <c r="L35" s="153"/>
      <c r="M35" s="153"/>
      <c r="N35" s="153"/>
      <c r="O35" s="153"/>
      <c r="P35" s="153"/>
      <c r="Q35" s="153"/>
      <c r="R35" s="153"/>
      <c r="S35" s="153"/>
      <c r="T35" s="153"/>
    </row>
    <row r="36" spans="1:20" ht="16.5" x14ac:dyDescent="0.3">
      <c r="A36" s="42" t="s">
        <v>109</v>
      </c>
      <c r="B36" s="5" t="s">
        <v>1</v>
      </c>
      <c r="C36" s="36" t="s">
        <v>358</v>
      </c>
      <c r="D36" s="14" t="s">
        <v>32</v>
      </c>
      <c r="E36" s="12" t="s">
        <v>110</v>
      </c>
      <c r="G36" s="125" t="s">
        <v>109</v>
      </c>
      <c r="H36" s="122" t="s">
        <v>1</v>
      </c>
      <c r="I36" s="154">
        <f>I35*SQRT((I28-I26)/I26)</f>
        <v>1.509275151109017</v>
      </c>
      <c r="J36" s="155" t="s">
        <v>32</v>
      </c>
      <c r="K36" s="143" t="s">
        <v>110</v>
      </c>
      <c r="L36" s="156"/>
      <c r="M36" s="156"/>
      <c r="N36" s="156"/>
      <c r="O36" s="156"/>
      <c r="P36" s="156"/>
      <c r="Q36" s="156"/>
      <c r="R36" s="156"/>
      <c r="S36" s="156"/>
      <c r="T36" s="156"/>
    </row>
    <row r="37" spans="1:20" ht="18.75" x14ac:dyDescent="0.3">
      <c r="A37" s="42" t="s">
        <v>35</v>
      </c>
      <c r="B37" s="5" t="s">
        <v>1</v>
      </c>
      <c r="C37" s="36" t="s">
        <v>359</v>
      </c>
      <c r="D37" s="13" t="s">
        <v>247</v>
      </c>
      <c r="E37" s="85" t="s">
        <v>364</v>
      </c>
      <c r="G37" s="125" t="s">
        <v>35</v>
      </c>
      <c r="H37" s="122" t="s">
        <v>1</v>
      </c>
      <c r="I37" s="154">
        <f>MROUND(SQRT(4*I34/PI()/I36)+I17/12,0.5)</f>
        <v>7.5</v>
      </c>
      <c r="J37" s="157" t="s">
        <v>247</v>
      </c>
      <c r="K37" s="129" t="s">
        <v>244</v>
      </c>
      <c r="L37" s="158"/>
      <c r="M37" s="158"/>
      <c r="N37" s="158"/>
      <c r="O37" s="158"/>
      <c r="P37" s="158"/>
      <c r="Q37" s="158"/>
      <c r="R37" s="158"/>
      <c r="S37" s="158"/>
      <c r="T37" s="158"/>
    </row>
    <row r="38" spans="1:20" ht="18" x14ac:dyDescent="0.25">
      <c r="A38" s="8" t="s">
        <v>8</v>
      </c>
      <c r="B38" s="21" t="s">
        <v>1</v>
      </c>
      <c r="C38" s="15" t="s">
        <v>360</v>
      </c>
      <c r="D38" s="6" t="s">
        <v>34</v>
      </c>
      <c r="E38" s="5"/>
      <c r="G38" s="126" t="s">
        <v>8</v>
      </c>
      <c r="H38" s="127" t="s">
        <v>1</v>
      </c>
      <c r="I38" s="145">
        <f>3.14159*(I37/2)^2</f>
        <v>44.178609375000001</v>
      </c>
      <c r="J38" s="124" t="s">
        <v>34</v>
      </c>
      <c r="K38" s="122"/>
      <c r="L38" s="158"/>
      <c r="M38" s="158"/>
      <c r="N38" s="158"/>
      <c r="O38" s="158"/>
      <c r="P38" s="158"/>
      <c r="Q38" s="158"/>
      <c r="R38" s="158"/>
      <c r="S38" s="158"/>
      <c r="T38" s="158"/>
    </row>
    <row r="39" spans="1:20" x14ac:dyDescent="0.25">
      <c r="A39" s="18" t="s">
        <v>201</v>
      </c>
      <c r="B39" s="5"/>
      <c r="C39" s="12"/>
      <c r="D39" s="4"/>
      <c r="E39" s="5"/>
      <c r="G39" s="149" t="s">
        <v>201</v>
      </c>
      <c r="H39" s="122"/>
      <c r="I39" s="143"/>
      <c r="J39" s="123"/>
      <c r="K39" s="122"/>
      <c r="L39" s="159"/>
      <c r="M39" s="159"/>
      <c r="N39" s="159"/>
      <c r="O39" s="159"/>
      <c r="P39" s="159"/>
      <c r="Q39" s="159"/>
      <c r="R39" s="159"/>
      <c r="S39" s="159"/>
      <c r="T39" s="159"/>
    </row>
    <row r="40" spans="1:20" ht="18" x14ac:dyDescent="0.25">
      <c r="A40" s="40" t="s">
        <v>6</v>
      </c>
      <c r="B40" s="41" t="s">
        <v>1</v>
      </c>
      <c r="C40" s="37" t="s">
        <v>361</v>
      </c>
      <c r="D40" s="6" t="s">
        <v>136</v>
      </c>
      <c r="E40" s="17"/>
      <c r="G40" s="132" t="s">
        <v>6</v>
      </c>
      <c r="H40" s="144" t="s">
        <v>1</v>
      </c>
      <c r="I40" s="160">
        <f>I33/I28/60*(1+I12)</f>
        <v>14.70489940511998</v>
      </c>
      <c r="J40" s="124" t="s">
        <v>136</v>
      </c>
      <c r="K40" s="134"/>
    </row>
    <row r="41" spans="1:20" x14ac:dyDescent="0.25">
      <c r="A41" s="8" t="s">
        <v>111</v>
      </c>
      <c r="B41" s="41" t="s">
        <v>1</v>
      </c>
      <c r="C41" s="16" t="s">
        <v>362</v>
      </c>
      <c r="D41" s="6" t="s">
        <v>194</v>
      </c>
      <c r="E41" s="6"/>
      <c r="G41" s="126" t="s">
        <v>111</v>
      </c>
      <c r="H41" s="144" t="s">
        <v>1</v>
      </c>
      <c r="I41" s="161">
        <f>ROUNDUP(I40/I38*I22*12,1)</f>
        <v>20</v>
      </c>
      <c r="J41" s="124" t="s">
        <v>194</v>
      </c>
      <c r="K41" s="124"/>
    </row>
    <row r="42" spans="1:20" x14ac:dyDescent="0.25">
      <c r="A42" s="8" t="s">
        <v>195</v>
      </c>
      <c r="B42" s="41" t="s">
        <v>1</v>
      </c>
      <c r="C42" s="16" t="s">
        <v>363</v>
      </c>
      <c r="D42" s="6" t="s">
        <v>194</v>
      </c>
      <c r="E42" s="8"/>
      <c r="F42" s="135"/>
      <c r="G42" s="126" t="s">
        <v>195</v>
      </c>
      <c r="H42" s="144" t="s">
        <v>1</v>
      </c>
      <c r="I42" s="161">
        <f>ROUNDUP(I40/I38*I21*12,1)</f>
        <v>4</v>
      </c>
      <c r="J42" s="124" t="s">
        <v>194</v>
      </c>
      <c r="K42" s="126"/>
    </row>
    <row r="43" spans="1:20" x14ac:dyDescent="0.25">
      <c r="A43" s="8" t="s">
        <v>196</v>
      </c>
      <c r="B43" s="41" t="s">
        <v>1</v>
      </c>
      <c r="C43" s="16" t="s">
        <v>363</v>
      </c>
      <c r="D43" s="6" t="s">
        <v>194</v>
      </c>
      <c r="E43" s="6"/>
      <c r="F43" s="135"/>
      <c r="G43" s="126" t="s">
        <v>196</v>
      </c>
      <c r="H43" s="144" t="s">
        <v>1</v>
      </c>
      <c r="I43" s="161">
        <f>ROUNDUP(I40/I38*I23*12,1)</f>
        <v>4</v>
      </c>
      <c r="J43" s="124" t="s">
        <v>194</v>
      </c>
      <c r="K43" s="124"/>
    </row>
    <row r="44" spans="1:20" x14ac:dyDescent="0.25">
      <c r="A44" s="8" t="s">
        <v>353</v>
      </c>
      <c r="B44" s="41" t="s">
        <v>1</v>
      </c>
      <c r="C44" s="16" t="s">
        <v>366</v>
      </c>
      <c r="D44" s="6" t="s">
        <v>29</v>
      </c>
      <c r="E44" s="85" t="s">
        <v>365</v>
      </c>
      <c r="G44" s="126" t="s">
        <v>353</v>
      </c>
      <c r="H44" s="144" t="s">
        <v>1</v>
      </c>
      <c r="I44" s="161">
        <f>MROUND((I41+I42+I43)/12,0.5)</f>
        <v>2.5</v>
      </c>
      <c r="J44" s="124" t="s">
        <v>29</v>
      </c>
      <c r="K44" s="124"/>
    </row>
    <row r="45" spans="1:20" ht="17.45" customHeight="1" x14ac:dyDescent="0.25">
      <c r="A45" s="18" t="s">
        <v>112</v>
      </c>
      <c r="B45" s="21"/>
      <c r="C45" s="21"/>
      <c r="D45" s="6"/>
      <c r="E45" s="6"/>
      <c r="G45" s="149" t="s">
        <v>112</v>
      </c>
      <c r="H45" s="127"/>
      <c r="I45" s="127"/>
      <c r="J45" s="124"/>
      <c r="K45" s="124"/>
    </row>
    <row r="46" spans="1:20" ht="12.75" customHeight="1" x14ac:dyDescent="0.3">
      <c r="A46" s="8" t="s">
        <v>165</v>
      </c>
      <c r="B46" s="41" t="s">
        <v>1</v>
      </c>
      <c r="C46" s="38" t="s">
        <v>367</v>
      </c>
      <c r="D46" s="6" t="s">
        <v>32</v>
      </c>
      <c r="E46" s="6" t="s">
        <v>199</v>
      </c>
      <c r="G46" s="126" t="s">
        <v>165</v>
      </c>
      <c r="H46" s="144" t="s">
        <v>1</v>
      </c>
      <c r="I46" s="162">
        <f>I40/I38/60</f>
        <v>5.5475185891814792E-3</v>
      </c>
      <c r="J46" s="124" t="s">
        <v>32</v>
      </c>
      <c r="K46" s="124" t="s">
        <v>199</v>
      </c>
    </row>
    <row r="47" spans="1:20" ht="16.5" x14ac:dyDescent="0.3">
      <c r="A47" s="8" t="s">
        <v>169</v>
      </c>
      <c r="B47" s="41" t="s">
        <v>1</v>
      </c>
      <c r="C47" s="38" t="s">
        <v>368</v>
      </c>
      <c r="D47" s="6" t="s">
        <v>32</v>
      </c>
      <c r="E47" s="6" t="s">
        <v>200</v>
      </c>
      <c r="G47" s="126" t="s">
        <v>169</v>
      </c>
      <c r="H47" s="144" t="s">
        <v>1</v>
      </c>
      <c r="I47" s="162">
        <f>1.145/1000*(I28-I26)/I29</f>
        <v>8.6030592334494782E-2</v>
      </c>
      <c r="J47" s="124" t="s">
        <v>32</v>
      </c>
      <c r="K47" s="124" t="s">
        <v>200</v>
      </c>
    </row>
    <row r="48" spans="1:20" x14ac:dyDescent="0.25">
      <c r="A48" s="8" t="s">
        <v>197</v>
      </c>
      <c r="B48" s="6"/>
      <c r="C48" s="21" t="s">
        <v>369</v>
      </c>
      <c r="D48" s="6"/>
      <c r="E48" s="6"/>
      <c r="G48" s="126" t="s">
        <v>197</v>
      </c>
      <c r="H48" s="126"/>
      <c r="I48" s="127" t="str">
        <f>IF(I46&lt;I47,"  can occur","  cannot occur")</f>
        <v xml:space="preserve">  can occur</v>
      </c>
      <c r="J48" s="124"/>
      <c r="K48" s="124"/>
    </row>
    <row r="49" spans="1:39" x14ac:dyDescent="0.25">
      <c r="A49" s="18" t="s">
        <v>224</v>
      </c>
      <c r="B49" s="21"/>
      <c r="C49" s="21"/>
      <c r="D49" s="6"/>
      <c r="E49" s="6"/>
      <c r="G49" s="149" t="s">
        <v>224</v>
      </c>
      <c r="H49" s="127"/>
      <c r="I49" s="127"/>
      <c r="J49" s="124"/>
      <c r="K49" s="124"/>
    </row>
    <row r="50" spans="1:39" x14ac:dyDescent="0.25">
      <c r="A50" s="40" t="s">
        <v>73</v>
      </c>
      <c r="B50" s="41" t="s">
        <v>1</v>
      </c>
      <c r="C50" s="52" t="s">
        <v>374</v>
      </c>
      <c r="D50" s="6" t="s">
        <v>32</v>
      </c>
      <c r="E50" s="6"/>
      <c r="G50" s="132" t="s">
        <v>73</v>
      </c>
      <c r="H50" s="144" t="s">
        <v>1</v>
      </c>
      <c r="I50" s="163">
        <f>(I32+I33)*144/I30/PI()/(I19/2)^2/3600</f>
        <v>33.199502369991251</v>
      </c>
      <c r="J50" s="124" t="s">
        <v>32</v>
      </c>
      <c r="K50" s="124"/>
    </row>
    <row r="51" spans="1:39" ht="18" x14ac:dyDescent="0.25">
      <c r="A51" s="40" t="s">
        <v>9</v>
      </c>
      <c r="B51" s="41" t="s">
        <v>1</v>
      </c>
      <c r="C51" s="53" t="s">
        <v>375</v>
      </c>
      <c r="D51" s="6" t="s">
        <v>113</v>
      </c>
      <c r="E51" s="85" t="s">
        <v>458</v>
      </c>
      <c r="G51" s="132" t="s">
        <v>9</v>
      </c>
      <c r="H51" s="144" t="s">
        <v>1</v>
      </c>
      <c r="I51" s="130">
        <f>I30*I50^2</f>
        <v>1928.8621758263457</v>
      </c>
      <c r="J51" s="124" t="s">
        <v>113</v>
      </c>
      <c r="K51" s="129" t="str">
        <f>IF(I51&lt;6000,"  acceptable","  non acceptable")</f>
        <v xml:space="preserve">  acceptable</v>
      </c>
    </row>
    <row r="52" spans="1:39" x14ac:dyDescent="0.25">
      <c r="A52" s="18" t="s">
        <v>205</v>
      </c>
      <c r="B52" s="21"/>
      <c r="C52" s="21"/>
      <c r="D52" s="6"/>
      <c r="E52" s="6"/>
      <c r="G52" s="149" t="s">
        <v>205</v>
      </c>
      <c r="H52" s="127"/>
      <c r="I52" s="127"/>
      <c r="J52" s="124"/>
      <c r="K52" s="124"/>
    </row>
    <row r="53" spans="1:39" ht="16.5" x14ac:dyDescent="0.3">
      <c r="A53" s="8" t="s">
        <v>215</v>
      </c>
      <c r="B53" s="41" t="s">
        <v>1</v>
      </c>
      <c r="C53" s="37" t="s">
        <v>376</v>
      </c>
      <c r="D53" s="6" t="s">
        <v>29</v>
      </c>
      <c r="E53" s="6" t="s">
        <v>220</v>
      </c>
      <c r="G53" s="126" t="s">
        <v>215</v>
      </c>
      <c r="H53" s="144" t="s">
        <v>1</v>
      </c>
      <c r="I53" s="160">
        <f>I20/12+I44</f>
        <v>4</v>
      </c>
      <c r="J53" s="124" t="s">
        <v>29</v>
      </c>
      <c r="K53" s="124" t="s">
        <v>220</v>
      </c>
    </row>
    <row r="54" spans="1:39" ht="16.5" x14ac:dyDescent="0.3">
      <c r="A54" s="8" t="s">
        <v>216</v>
      </c>
      <c r="B54" s="41" t="s">
        <v>1</v>
      </c>
      <c r="C54" s="36">
        <v>2</v>
      </c>
      <c r="D54" s="6" t="s">
        <v>29</v>
      </c>
      <c r="E54" s="6" t="s">
        <v>221</v>
      </c>
      <c r="G54" s="126" t="s">
        <v>216</v>
      </c>
      <c r="H54" s="144" t="s">
        <v>1</v>
      </c>
      <c r="I54" s="154">
        <f>IF(I14="Diffuser",2,IF(I37/4/12&lt;2,2,I37/4/12))</f>
        <v>2</v>
      </c>
      <c r="J54" s="124" t="s">
        <v>29</v>
      </c>
      <c r="K54" s="124" t="s">
        <v>221</v>
      </c>
    </row>
    <row r="55" spans="1:39" ht="16.5" x14ac:dyDescent="0.3">
      <c r="A55" s="8" t="s">
        <v>217</v>
      </c>
      <c r="B55" s="41" t="s">
        <v>1</v>
      </c>
      <c r="C55" s="36">
        <v>1.5</v>
      </c>
      <c r="D55" s="6" t="s">
        <v>29</v>
      </c>
      <c r="E55" s="6" t="s">
        <v>222</v>
      </c>
      <c r="G55" s="126" t="s">
        <v>217</v>
      </c>
      <c r="H55" s="144" t="s">
        <v>1</v>
      </c>
      <c r="I55" s="154">
        <f>MAX(I18/12,I19/12)</f>
        <v>1.5</v>
      </c>
      <c r="J55" s="124" t="s">
        <v>29</v>
      </c>
      <c r="K55" s="124" t="s">
        <v>222</v>
      </c>
    </row>
    <row r="56" spans="1:39" ht="16.5" x14ac:dyDescent="0.3">
      <c r="A56" s="8" t="s">
        <v>218</v>
      </c>
      <c r="B56" s="41" t="s">
        <v>1</v>
      </c>
      <c r="C56" s="36">
        <v>3</v>
      </c>
      <c r="D56" s="6" t="s">
        <v>29</v>
      </c>
      <c r="E56" s="6" t="s">
        <v>223</v>
      </c>
      <c r="G56" s="126" t="s">
        <v>218</v>
      </c>
      <c r="H56" s="144" t="s">
        <v>1</v>
      </c>
      <c r="I56" s="154">
        <f>IF(I14="Diffuser",3,0.5*I37)</f>
        <v>3</v>
      </c>
      <c r="J56" s="124" t="s">
        <v>29</v>
      </c>
      <c r="K56" s="124" t="s">
        <v>223</v>
      </c>
    </row>
    <row r="57" spans="1:39" ht="16.5" x14ac:dyDescent="0.3">
      <c r="A57" s="8" t="s">
        <v>219</v>
      </c>
      <c r="B57" s="41" t="s">
        <v>1</v>
      </c>
      <c r="C57" s="36">
        <v>0.5</v>
      </c>
      <c r="D57" s="6" t="s">
        <v>29</v>
      </c>
      <c r="E57" s="6" t="s">
        <v>223</v>
      </c>
      <c r="G57" s="126" t="s">
        <v>219</v>
      </c>
      <c r="H57" s="144" t="s">
        <v>1</v>
      </c>
      <c r="I57" s="154">
        <f>6/12</f>
        <v>0.5</v>
      </c>
      <c r="J57" s="124" t="s">
        <v>29</v>
      </c>
      <c r="K57" s="124" t="s">
        <v>223</v>
      </c>
    </row>
    <row r="58" spans="1:39" ht="16.5" x14ac:dyDescent="0.3">
      <c r="A58" s="8" t="s">
        <v>239</v>
      </c>
      <c r="B58" s="41" t="s">
        <v>1</v>
      </c>
      <c r="C58" s="36" t="s">
        <v>377</v>
      </c>
      <c r="D58" s="6" t="s">
        <v>29</v>
      </c>
      <c r="E58" s="6" t="s">
        <v>240</v>
      </c>
      <c r="G58" s="126" t="s">
        <v>239</v>
      </c>
      <c r="H58" s="144" t="s">
        <v>1</v>
      </c>
      <c r="I58" s="154">
        <f>MROUND(I37/4,1)</f>
        <v>2</v>
      </c>
      <c r="J58" s="124" t="s">
        <v>29</v>
      </c>
      <c r="K58" s="124" t="s">
        <v>240</v>
      </c>
    </row>
    <row r="59" spans="1:39" x14ac:dyDescent="0.25">
      <c r="A59" s="8" t="s">
        <v>225</v>
      </c>
      <c r="B59" s="41" t="s">
        <v>1</v>
      </c>
      <c r="C59" s="37" t="s">
        <v>378</v>
      </c>
      <c r="D59" s="6" t="s">
        <v>29</v>
      </c>
      <c r="E59" s="12" t="s">
        <v>227</v>
      </c>
      <c r="G59" s="126" t="s">
        <v>225</v>
      </c>
      <c r="H59" s="144" t="s">
        <v>1</v>
      </c>
      <c r="I59" s="160">
        <f>IF(I16="Nozzle above top head",I37/2-I19/2/12,IF(I16="Side nozzle above demister",I37/2+I19/2/12,I37/2-I19/2/12))</f>
        <v>3.0468333333333333</v>
      </c>
      <c r="J59" s="124" t="s">
        <v>29</v>
      </c>
      <c r="K59" s="143" t="s">
        <v>227</v>
      </c>
    </row>
    <row r="60" spans="1:39" x14ac:dyDescent="0.25">
      <c r="A60" s="8" t="s">
        <v>114</v>
      </c>
      <c r="B60" s="21" t="s">
        <v>1</v>
      </c>
      <c r="C60" s="24" t="s">
        <v>379</v>
      </c>
      <c r="D60" s="6" t="s">
        <v>29</v>
      </c>
      <c r="E60" s="6" t="s">
        <v>241</v>
      </c>
      <c r="G60" s="126" t="s">
        <v>114</v>
      </c>
      <c r="H60" s="127" t="s">
        <v>1</v>
      </c>
      <c r="I60" s="131">
        <f>I53+I54+I55+I56+I57+I58</f>
        <v>13</v>
      </c>
      <c r="J60" s="124" t="s">
        <v>29</v>
      </c>
      <c r="K60" s="124" t="s">
        <v>241</v>
      </c>
    </row>
    <row r="61" spans="1:39" x14ac:dyDescent="0.25">
      <c r="A61" s="6"/>
      <c r="B61" s="21"/>
      <c r="C61" s="21"/>
      <c r="D61" s="6"/>
      <c r="E61" s="6"/>
      <c r="G61" s="124"/>
      <c r="H61" s="127"/>
      <c r="I61" s="127"/>
      <c r="J61" s="124"/>
      <c r="K61" s="124"/>
      <c r="L61" s="118"/>
      <c r="M61" s="118"/>
      <c r="N61" s="118"/>
      <c r="O61" s="118"/>
      <c r="P61" s="118"/>
      <c r="Q61" s="118"/>
      <c r="R61" s="118"/>
      <c r="S61" s="118"/>
      <c r="T61" s="118"/>
      <c r="AI61" s="118"/>
      <c r="AJ61" s="118"/>
      <c r="AK61" s="118"/>
      <c r="AL61" s="118"/>
      <c r="AM61" s="118"/>
    </row>
    <row r="62" spans="1:39" x14ac:dyDescent="0.25">
      <c r="B62" s="118"/>
      <c r="C62" s="118"/>
      <c r="L62" s="118"/>
      <c r="M62" s="118"/>
      <c r="N62" s="118"/>
      <c r="O62" s="118"/>
      <c r="P62" s="118"/>
      <c r="Q62" s="118"/>
      <c r="R62" s="118"/>
      <c r="S62" s="118"/>
      <c r="T62" s="118"/>
      <c r="AI62" s="118"/>
      <c r="AJ62" s="118"/>
      <c r="AK62" s="118"/>
      <c r="AL62" s="118"/>
      <c r="AM62" s="118"/>
    </row>
    <row r="63" spans="1:39" x14ac:dyDescent="0.25">
      <c r="A63" s="135"/>
      <c r="B63" s="164"/>
      <c r="C63" s="164"/>
      <c r="D63" s="135"/>
      <c r="E63" s="135"/>
      <c r="L63" s="118"/>
      <c r="M63" s="118"/>
      <c r="N63" s="118"/>
      <c r="O63" s="118"/>
      <c r="P63" s="118"/>
      <c r="Q63" s="118"/>
      <c r="R63" s="118"/>
      <c r="S63" s="118"/>
      <c r="T63" s="118"/>
      <c r="AI63" s="118"/>
      <c r="AJ63" s="118"/>
      <c r="AK63" s="118"/>
      <c r="AL63" s="118"/>
      <c r="AM63" s="118"/>
    </row>
    <row r="64" spans="1:39" x14ac:dyDescent="0.25">
      <c r="A64" s="100" t="s">
        <v>504</v>
      </c>
      <c r="B64" s="164"/>
      <c r="C64" s="164"/>
      <c r="D64" s="135"/>
      <c r="E64" s="135"/>
      <c r="L64" s="118"/>
      <c r="M64" s="118"/>
      <c r="N64" s="118"/>
      <c r="O64" s="118"/>
      <c r="P64" s="118"/>
      <c r="Q64" s="118"/>
      <c r="R64" s="118"/>
      <c r="S64" s="118"/>
      <c r="T64" s="118"/>
      <c r="AI64" s="118"/>
      <c r="AJ64" s="118"/>
      <c r="AK64" s="118"/>
      <c r="AL64" s="118"/>
      <c r="AM64" s="118"/>
    </row>
    <row r="65" spans="1:39" x14ac:dyDescent="0.25">
      <c r="A65" s="100" t="s">
        <v>505</v>
      </c>
      <c r="B65" s="164"/>
      <c r="C65" s="164"/>
      <c r="D65" s="135"/>
      <c r="E65" s="135"/>
      <c r="L65" s="118"/>
      <c r="M65" s="118"/>
      <c r="N65" s="118"/>
      <c r="O65" s="118"/>
      <c r="P65" s="118"/>
      <c r="Q65" s="118"/>
      <c r="R65" s="118"/>
      <c r="S65" s="118"/>
      <c r="T65" s="118"/>
      <c r="AI65" s="118"/>
      <c r="AJ65" s="118"/>
      <c r="AK65" s="118"/>
      <c r="AL65" s="118"/>
      <c r="AM65" s="118"/>
    </row>
    <row r="66" spans="1:39" x14ac:dyDescent="0.25">
      <c r="A66" s="100" t="s">
        <v>506</v>
      </c>
      <c r="B66" s="164"/>
      <c r="C66" s="164"/>
      <c r="D66" s="135"/>
      <c r="E66" s="135"/>
      <c r="L66" s="118"/>
      <c r="M66" s="118"/>
      <c r="N66" s="118"/>
      <c r="O66" s="118"/>
      <c r="P66" s="118"/>
      <c r="Q66" s="118"/>
      <c r="R66" s="118"/>
      <c r="S66" s="118"/>
      <c r="T66" s="118"/>
      <c r="AI66" s="118"/>
      <c r="AJ66" s="118"/>
      <c r="AK66" s="118"/>
      <c r="AL66" s="118"/>
      <c r="AM66" s="118"/>
    </row>
    <row r="67" spans="1:39" x14ac:dyDescent="0.25">
      <c r="A67" s="100" t="s">
        <v>507</v>
      </c>
      <c r="B67" s="164"/>
      <c r="C67" s="164"/>
      <c r="D67" s="135"/>
      <c r="E67" s="135"/>
      <c r="L67" s="118"/>
      <c r="M67" s="118"/>
      <c r="N67" s="118"/>
      <c r="O67" s="118"/>
      <c r="P67" s="118"/>
      <c r="Q67" s="118"/>
      <c r="R67" s="118"/>
      <c r="S67" s="118"/>
      <c r="T67" s="118"/>
      <c r="AI67" s="118"/>
      <c r="AJ67" s="118"/>
      <c r="AK67" s="118"/>
      <c r="AL67" s="118"/>
      <c r="AM67" s="118"/>
    </row>
    <row r="68" spans="1:39" x14ac:dyDescent="0.25">
      <c r="A68" s="101" t="s">
        <v>508</v>
      </c>
      <c r="L68" s="118"/>
      <c r="M68" s="118"/>
      <c r="N68" s="118"/>
      <c r="O68" s="118"/>
      <c r="P68" s="118"/>
      <c r="Q68" s="118"/>
      <c r="R68" s="118"/>
      <c r="S68" s="118"/>
      <c r="T68" s="118"/>
      <c r="AI68" s="118"/>
      <c r="AJ68" s="118"/>
      <c r="AK68" s="118"/>
      <c r="AL68" s="118"/>
      <c r="AM68" s="118"/>
    </row>
  </sheetData>
  <sheetProtection password="E156" sheet="1" objects="1" scenarios="1"/>
  <protectedRanges>
    <protectedRange algorithmName="SHA-512" hashValue="r474krYi+OUAIJmlQt/lwBDQdv+U2a8P1FUJX3wOe2aUFK3D1oUg0XunU1G4Ky8kf7waZcmsJ+eRj/QG37mpOg==" saltValue="ProQGrSbO2xcfpuo86Moyw==" spinCount="100000" sqref="I12 C12" name="Range5"/>
    <protectedRange algorithmName="SHA-512" hashValue="kTNa51402jLEPx5l84sz4BGlfJf/Af4PVZyZ/4XemTSxqIFgUVJ4tC9giG0EL5NnkIQ3geLhOXLaWGTSh9u78A==" saltValue="op2NwPVPw7EEoKALxzG7QQ==" spinCount="100000" sqref="I11 C11" name="Range4"/>
    <protectedRange algorithmName="SHA-512" hashValue="RgQQ3IIg6EDuoqtZY9DYOdeFPF7pO0Cox4MQUAEmVVy1HwY4p55a5lSooXeFi3OWA1+vRr6YFbIjhX2729f+vQ==" saltValue="S32TozaIeGk8m9x6VG6e6w==" spinCount="100000" sqref="I10 C10" name="Range3"/>
    <protectedRange algorithmName="SHA-512" hashValue="VhE5MK6dTGMvzn7e0AsPAAxInIxeJtP1+xCf3BXZwvS0EvLZ/fBFTLXAmzsw/oSayNwBS9wfAHBT5hYcZ1ttkQ==" saltValue="EEQ+19ajYez7hcHYVUdCmw==" spinCount="100000" sqref="I9 C9" name="Range2"/>
    <protectedRange algorithmName="SHA-512" hashValue="/TonUIfFkFDRwxiR6UobWsetUP1GnrmaNMGl3KeZDwV69t7fbGSH4oWvoIAXh6LEANe1P7rae+4E1a5loiqN4A==" saltValue="q8E7K2LwLx1crMVuiJ8zLg==" spinCount="100000" sqref="I8 C8" name="Range1"/>
  </protectedRanges>
  <mergeCells count="2">
    <mergeCell ref="G5:K5"/>
    <mergeCell ref="A5:E5"/>
  </mergeCells>
  <dataValidations count="4">
    <dataValidation type="list" allowBlank="1" showInputMessage="1" showErrorMessage="1" sqref="I13 C13">
      <formula1>$AI$7:$AI$20</formula1>
    </dataValidation>
    <dataValidation type="list" allowBlank="1" showInputMessage="1" showErrorMessage="1" sqref="I14 C14">
      <formula1>$AK$7:$AK$12</formula1>
    </dataValidation>
    <dataValidation type="list" allowBlank="1" showInputMessage="1" showErrorMessage="1" sqref="I16 C16">
      <formula1>$AL$7:$AL$9</formula1>
    </dataValidation>
    <dataValidation type="list" allowBlank="1" showInputMessage="1" showErrorMessage="1" sqref="I15 C15">
      <formula1>$AM$7:$AM$9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78"/>
  <sheetViews>
    <sheetView zoomScale="90" zoomScaleNormal="90" workbookViewId="0">
      <selection activeCell="D3" sqref="D3"/>
    </sheetView>
  </sheetViews>
  <sheetFormatPr defaultColWidth="9.140625" defaultRowHeight="15" x14ac:dyDescent="0.25"/>
  <cols>
    <col min="1" max="1" width="35.85546875" style="118" customWidth="1"/>
    <col min="2" max="2" width="6.7109375" style="117" customWidth="1"/>
    <col min="3" max="3" width="57.42578125" style="117" bestFit="1" customWidth="1"/>
    <col min="4" max="4" width="10" style="118" bestFit="1" customWidth="1"/>
    <col min="5" max="5" width="43.42578125" style="118" bestFit="1" customWidth="1"/>
    <col min="6" max="6" width="6.42578125" style="118" customWidth="1"/>
    <col min="7" max="7" width="39" style="118" customWidth="1"/>
    <col min="8" max="8" width="9.5703125" style="117" customWidth="1"/>
    <col min="9" max="9" width="26.140625" style="117" customWidth="1"/>
    <col min="10" max="10" width="10" style="118" bestFit="1" customWidth="1"/>
    <col min="11" max="11" width="47.42578125" style="118" customWidth="1"/>
    <col min="12" max="12" width="9.140625" style="118"/>
    <col min="13" max="27" width="9.140625" style="135"/>
    <col min="28" max="16384" width="9.140625" style="118"/>
  </cols>
  <sheetData>
    <row r="1" spans="1:11" x14ac:dyDescent="0.25">
      <c r="A1" s="99" t="s">
        <v>499</v>
      </c>
    </row>
    <row r="5" spans="1:11" ht="27.75" customHeight="1" x14ac:dyDescent="0.25">
      <c r="A5" s="87" t="s">
        <v>459</v>
      </c>
      <c r="B5" s="87"/>
      <c r="C5" s="87"/>
      <c r="D5" s="87"/>
      <c r="E5" s="87"/>
      <c r="G5" s="119" t="s">
        <v>459</v>
      </c>
      <c r="H5" s="119"/>
      <c r="I5" s="119"/>
      <c r="J5" s="119"/>
      <c r="K5" s="119"/>
    </row>
    <row r="6" spans="1:11" ht="20.25" customHeight="1" x14ac:dyDescent="0.25">
      <c r="A6" s="6" t="s">
        <v>97</v>
      </c>
      <c r="B6" s="21"/>
      <c r="C6" s="21"/>
      <c r="D6" s="6"/>
      <c r="E6" s="6"/>
      <c r="G6" s="124" t="s">
        <v>97</v>
      </c>
      <c r="H6" s="127"/>
      <c r="I6" s="127"/>
      <c r="J6" s="124"/>
      <c r="K6" s="124"/>
    </row>
    <row r="7" spans="1:11" x14ac:dyDescent="0.25">
      <c r="A7" s="8" t="s">
        <v>93</v>
      </c>
      <c r="B7" s="7" t="s">
        <v>101</v>
      </c>
      <c r="C7" s="21">
        <v>120</v>
      </c>
      <c r="D7" s="85" t="s">
        <v>189</v>
      </c>
      <c r="E7" s="6"/>
      <c r="G7" s="126" t="s">
        <v>93</v>
      </c>
      <c r="H7" s="121" t="s">
        <v>101</v>
      </c>
      <c r="I7" s="27">
        <v>120</v>
      </c>
      <c r="J7" s="129" t="s">
        <v>189</v>
      </c>
      <c r="K7" s="124"/>
    </row>
    <row r="8" spans="1:11" x14ac:dyDescent="0.25">
      <c r="A8" s="8" t="s">
        <v>94</v>
      </c>
      <c r="B8" s="7" t="s">
        <v>101</v>
      </c>
      <c r="C8" s="21">
        <v>250</v>
      </c>
      <c r="D8" s="85" t="s">
        <v>28</v>
      </c>
      <c r="E8" s="6"/>
      <c r="G8" s="126" t="s">
        <v>94</v>
      </c>
      <c r="H8" s="121" t="s">
        <v>101</v>
      </c>
      <c r="I8" s="27">
        <v>250</v>
      </c>
      <c r="J8" s="129" t="s">
        <v>28</v>
      </c>
      <c r="K8" s="124"/>
    </row>
    <row r="9" spans="1:11" ht="15" customHeight="1" x14ac:dyDescent="0.25">
      <c r="A9" s="8" t="s">
        <v>251</v>
      </c>
      <c r="B9" s="7" t="s">
        <v>1</v>
      </c>
      <c r="C9" s="21">
        <v>15</v>
      </c>
      <c r="D9" s="85" t="s">
        <v>99</v>
      </c>
      <c r="E9" s="6"/>
      <c r="G9" s="126" t="s">
        <v>251</v>
      </c>
      <c r="H9" s="121" t="s">
        <v>1</v>
      </c>
      <c r="I9" s="27">
        <v>15</v>
      </c>
      <c r="J9" s="129" t="s">
        <v>99</v>
      </c>
      <c r="K9" s="124"/>
    </row>
    <row r="10" spans="1:11" ht="16.899999999999999" customHeight="1" x14ac:dyDescent="0.25">
      <c r="A10" s="8" t="s">
        <v>95</v>
      </c>
      <c r="B10" s="7" t="s">
        <v>1</v>
      </c>
      <c r="C10" s="53">
        <v>25000</v>
      </c>
      <c r="D10" s="6" t="s">
        <v>115</v>
      </c>
      <c r="E10" s="6"/>
      <c r="G10" s="126" t="s">
        <v>95</v>
      </c>
      <c r="H10" s="121" t="s">
        <v>1</v>
      </c>
      <c r="I10" s="44">
        <v>25000</v>
      </c>
      <c r="J10" s="124" t="s">
        <v>115</v>
      </c>
      <c r="K10" s="124"/>
    </row>
    <row r="11" spans="1:11" x14ac:dyDescent="0.25">
      <c r="A11" s="9" t="s">
        <v>98</v>
      </c>
      <c r="B11" s="5"/>
      <c r="C11" s="5"/>
      <c r="D11" s="4"/>
      <c r="E11" s="6"/>
      <c r="G11" s="138" t="s">
        <v>98</v>
      </c>
      <c r="H11" s="122"/>
      <c r="I11" s="122"/>
      <c r="J11" s="123"/>
      <c r="K11" s="124"/>
    </row>
    <row r="12" spans="1:11" ht="14.25" customHeight="1" x14ac:dyDescent="0.3">
      <c r="A12" s="42" t="s">
        <v>105</v>
      </c>
      <c r="B12" s="7" t="s">
        <v>101</v>
      </c>
      <c r="C12" s="5">
        <v>0.77400000000000002</v>
      </c>
      <c r="D12" s="4" t="s">
        <v>31</v>
      </c>
      <c r="E12" s="3"/>
      <c r="G12" s="125" t="s">
        <v>105</v>
      </c>
      <c r="H12" s="121" t="s">
        <v>101</v>
      </c>
      <c r="I12" s="26">
        <v>0.77400000000000002</v>
      </c>
      <c r="J12" s="123" t="s">
        <v>31</v>
      </c>
      <c r="K12" s="139"/>
    </row>
    <row r="13" spans="1:11" ht="18.75" x14ac:dyDescent="0.3">
      <c r="A13" s="8" t="s">
        <v>104</v>
      </c>
      <c r="B13" s="7" t="s">
        <v>101</v>
      </c>
      <c r="C13" s="21">
        <v>1.2E-2</v>
      </c>
      <c r="D13" s="4" t="s">
        <v>31</v>
      </c>
      <c r="E13" s="3"/>
      <c r="G13" s="126" t="s">
        <v>104</v>
      </c>
      <c r="H13" s="121" t="s">
        <v>101</v>
      </c>
      <c r="I13" s="27">
        <v>1.2E-2</v>
      </c>
      <c r="J13" s="123" t="s">
        <v>31</v>
      </c>
      <c r="K13" s="139"/>
    </row>
    <row r="14" spans="1:11" ht="16.149999999999999" customHeight="1" x14ac:dyDescent="0.3">
      <c r="A14" s="42" t="s">
        <v>126</v>
      </c>
      <c r="B14" s="7" t="s">
        <v>1</v>
      </c>
      <c r="C14" s="21">
        <v>44.58</v>
      </c>
      <c r="D14" s="4" t="s">
        <v>100</v>
      </c>
      <c r="E14" s="33"/>
      <c r="G14" s="125" t="s">
        <v>126</v>
      </c>
      <c r="H14" s="121" t="s">
        <v>1</v>
      </c>
      <c r="I14" s="27">
        <v>44.58</v>
      </c>
      <c r="J14" s="123" t="s">
        <v>100</v>
      </c>
      <c r="K14" s="147"/>
    </row>
    <row r="15" spans="1:11" ht="16.5" x14ac:dyDescent="0.3">
      <c r="A15" s="8" t="s">
        <v>103</v>
      </c>
      <c r="B15" s="7" t="s">
        <v>1</v>
      </c>
      <c r="C15" s="7">
        <v>0.57299999999999995</v>
      </c>
      <c r="D15" s="4" t="s">
        <v>102</v>
      </c>
      <c r="E15" s="3"/>
      <c r="G15" s="126" t="s">
        <v>103</v>
      </c>
      <c r="H15" s="121" t="s">
        <v>1</v>
      </c>
      <c r="I15" s="32">
        <v>0.57299999999999995</v>
      </c>
      <c r="J15" s="123" t="s">
        <v>102</v>
      </c>
      <c r="K15" s="139"/>
    </row>
    <row r="16" spans="1:11" ht="18" customHeight="1" x14ac:dyDescent="0.3">
      <c r="A16" s="42" t="s">
        <v>106</v>
      </c>
      <c r="B16" s="7" t="s">
        <v>1</v>
      </c>
      <c r="C16" s="5">
        <v>6.87</v>
      </c>
      <c r="D16" s="4" t="s">
        <v>100</v>
      </c>
      <c r="E16" s="3"/>
      <c r="G16" s="125" t="s">
        <v>106</v>
      </c>
      <c r="H16" s="121" t="s">
        <v>1</v>
      </c>
      <c r="I16" s="26">
        <v>6.87</v>
      </c>
      <c r="J16" s="123" t="s">
        <v>100</v>
      </c>
      <c r="K16" s="139"/>
    </row>
    <row r="17" spans="1:11" x14ac:dyDescent="0.25">
      <c r="A17" s="42" t="s">
        <v>259</v>
      </c>
      <c r="B17" s="7" t="s">
        <v>1</v>
      </c>
      <c r="C17" s="21">
        <v>17.55</v>
      </c>
      <c r="D17" s="4" t="s">
        <v>258</v>
      </c>
      <c r="E17" s="33"/>
      <c r="G17" s="125" t="s">
        <v>259</v>
      </c>
      <c r="H17" s="121" t="s">
        <v>1</v>
      </c>
      <c r="I17" s="27">
        <v>17.55</v>
      </c>
      <c r="J17" s="123" t="s">
        <v>258</v>
      </c>
      <c r="K17" s="147"/>
    </row>
    <row r="18" spans="1:11" ht="15" customHeight="1" x14ac:dyDescent="0.25">
      <c r="A18" s="6" t="s">
        <v>260</v>
      </c>
      <c r="B18" s="33"/>
      <c r="C18" s="33"/>
      <c r="D18" s="33"/>
      <c r="E18" s="33"/>
      <c r="G18" s="124" t="s">
        <v>260</v>
      </c>
      <c r="H18" s="147"/>
      <c r="I18" s="147"/>
      <c r="J18" s="147"/>
      <c r="K18" s="147"/>
    </row>
    <row r="19" spans="1:11" x14ac:dyDescent="0.25">
      <c r="A19" s="42" t="s">
        <v>195</v>
      </c>
      <c r="B19" s="7" t="s">
        <v>1</v>
      </c>
      <c r="C19" s="15">
        <v>1</v>
      </c>
      <c r="D19" s="10" t="s">
        <v>124</v>
      </c>
      <c r="E19" s="10"/>
      <c r="G19" s="125" t="s">
        <v>195</v>
      </c>
      <c r="H19" s="121" t="s">
        <v>1</v>
      </c>
      <c r="I19" s="55">
        <v>1</v>
      </c>
      <c r="J19" s="165" t="s">
        <v>124</v>
      </c>
      <c r="K19" s="165"/>
    </row>
    <row r="20" spans="1:11" x14ac:dyDescent="0.25">
      <c r="A20" s="8" t="s">
        <v>460</v>
      </c>
      <c r="B20" s="7" t="s">
        <v>1</v>
      </c>
      <c r="C20" s="16">
        <v>3.5</v>
      </c>
      <c r="D20" s="6" t="s">
        <v>124</v>
      </c>
      <c r="E20" s="56"/>
      <c r="G20" s="126" t="s">
        <v>460</v>
      </c>
      <c r="H20" s="121" t="s">
        <v>1</v>
      </c>
      <c r="I20" s="31">
        <v>3.5</v>
      </c>
      <c r="J20" s="124" t="s">
        <v>124</v>
      </c>
      <c r="K20" s="166"/>
    </row>
    <row r="21" spans="1:11" ht="15" customHeight="1" x14ac:dyDescent="0.25">
      <c r="A21" s="42" t="s">
        <v>111</v>
      </c>
      <c r="B21" s="7" t="s">
        <v>1</v>
      </c>
      <c r="C21" s="15">
        <v>5</v>
      </c>
      <c r="D21" s="10" t="s">
        <v>124</v>
      </c>
      <c r="E21" s="10"/>
      <c r="G21" s="125" t="s">
        <v>111</v>
      </c>
      <c r="H21" s="121" t="s">
        <v>1</v>
      </c>
      <c r="I21" s="55">
        <v>5</v>
      </c>
      <c r="J21" s="165" t="s">
        <v>124</v>
      </c>
      <c r="K21" s="165"/>
    </row>
    <row r="22" spans="1:11" x14ac:dyDescent="0.25">
      <c r="A22" s="8" t="s">
        <v>196</v>
      </c>
      <c r="B22" s="7" t="s">
        <v>1</v>
      </c>
      <c r="C22" s="16">
        <v>1</v>
      </c>
      <c r="D22" s="10" t="s">
        <v>124</v>
      </c>
      <c r="E22" s="85" t="s">
        <v>386</v>
      </c>
      <c r="G22" s="126" t="s">
        <v>196</v>
      </c>
      <c r="H22" s="121" t="s">
        <v>1</v>
      </c>
      <c r="I22" s="31">
        <v>1</v>
      </c>
      <c r="J22" s="165" t="s">
        <v>124</v>
      </c>
      <c r="K22" s="124"/>
    </row>
    <row r="23" spans="1:11" ht="15" customHeight="1" x14ac:dyDescent="0.25">
      <c r="A23" s="39" t="s">
        <v>262</v>
      </c>
      <c r="B23" s="21"/>
      <c r="C23" s="21"/>
      <c r="D23" s="6"/>
      <c r="E23" s="6"/>
      <c r="G23" s="167" t="s">
        <v>262</v>
      </c>
      <c r="H23" s="127"/>
      <c r="I23" s="127"/>
      <c r="J23" s="124"/>
      <c r="K23" s="124"/>
    </row>
    <row r="24" spans="1:11" ht="15" customHeight="1" x14ac:dyDescent="0.25">
      <c r="A24" s="49" t="s">
        <v>252</v>
      </c>
      <c r="B24" s="7" t="s">
        <v>1</v>
      </c>
      <c r="C24" s="50" t="s">
        <v>253</v>
      </c>
      <c r="D24" s="39"/>
      <c r="E24" s="39"/>
      <c r="G24" s="168" t="s">
        <v>252</v>
      </c>
      <c r="H24" s="121" t="s">
        <v>1</v>
      </c>
      <c r="I24" s="169" t="s">
        <v>253</v>
      </c>
      <c r="J24" s="167"/>
      <c r="K24" s="167"/>
    </row>
    <row r="25" spans="1:11" x14ac:dyDescent="0.25">
      <c r="A25" s="49" t="s">
        <v>254</v>
      </c>
      <c r="B25" s="7" t="s">
        <v>1</v>
      </c>
      <c r="C25" s="50" t="s">
        <v>255</v>
      </c>
      <c r="D25" s="39"/>
      <c r="E25" s="39"/>
      <c r="G25" s="168" t="s">
        <v>254</v>
      </c>
      <c r="H25" s="121" t="s">
        <v>1</v>
      </c>
      <c r="I25" s="169" t="s">
        <v>255</v>
      </c>
      <c r="J25" s="167"/>
      <c r="K25" s="167"/>
    </row>
    <row r="26" spans="1:11" ht="15" customHeight="1" x14ac:dyDescent="0.25">
      <c r="A26" s="8" t="s">
        <v>278</v>
      </c>
      <c r="B26" s="7" t="s">
        <v>1</v>
      </c>
      <c r="C26" s="38" t="s">
        <v>279</v>
      </c>
      <c r="D26" s="39"/>
      <c r="E26" s="6"/>
      <c r="G26" s="126" t="s">
        <v>278</v>
      </c>
      <c r="H26" s="121" t="s">
        <v>1</v>
      </c>
      <c r="I26" s="162" t="s">
        <v>279</v>
      </c>
      <c r="J26" s="167"/>
      <c r="K26" s="124"/>
    </row>
    <row r="27" spans="1:11" ht="15" customHeight="1" x14ac:dyDescent="0.25">
      <c r="A27" s="8" t="s">
        <v>256</v>
      </c>
      <c r="B27" s="7" t="s">
        <v>1</v>
      </c>
      <c r="C27" s="24">
        <v>18</v>
      </c>
      <c r="D27" s="39" t="s">
        <v>140</v>
      </c>
      <c r="E27" s="39"/>
      <c r="G27" s="126" t="s">
        <v>256</v>
      </c>
      <c r="H27" s="121" t="s">
        <v>1</v>
      </c>
      <c r="I27" s="54">
        <v>18</v>
      </c>
      <c r="J27" s="167" t="s">
        <v>140</v>
      </c>
      <c r="K27" s="167"/>
    </row>
    <row r="28" spans="1:11" ht="15" customHeight="1" x14ac:dyDescent="0.25">
      <c r="A28" s="8" t="s">
        <v>257</v>
      </c>
      <c r="B28" s="7" t="s">
        <v>1</v>
      </c>
      <c r="C28" s="24">
        <v>3</v>
      </c>
      <c r="D28" s="6"/>
      <c r="E28" s="39"/>
      <c r="G28" s="126" t="s">
        <v>257</v>
      </c>
      <c r="H28" s="121" t="s">
        <v>1</v>
      </c>
      <c r="I28" s="54">
        <v>3</v>
      </c>
      <c r="J28" s="124"/>
      <c r="K28" s="167"/>
    </row>
    <row r="29" spans="1:11" x14ac:dyDescent="0.25">
      <c r="A29" s="42" t="s">
        <v>485</v>
      </c>
      <c r="B29" s="7" t="s">
        <v>1</v>
      </c>
      <c r="C29" s="67">
        <v>0.1</v>
      </c>
      <c r="D29" s="56"/>
      <c r="E29" s="56"/>
      <c r="G29" s="125" t="s">
        <v>485</v>
      </c>
      <c r="H29" s="121" t="s">
        <v>1</v>
      </c>
      <c r="I29" s="29">
        <v>0.1</v>
      </c>
      <c r="J29" s="166"/>
      <c r="K29" s="166"/>
    </row>
    <row r="30" spans="1:11" x14ac:dyDescent="0.25">
      <c r="A30" s="42" t="s">
        <v>486</v>
      </c>
      <c r="B30" s="7" t="s">
        <v>1</v>
      </c>
      <c r="C30" s="67">
        <v>0.7</v>
      </c>
      <c r="D30" s="56"/>
      <c r="E30" s="56"/>
      <c r="G30" s="125" t="s">
        <v>486</v>
      </c>
      <c r="H30" s="121" t="s">
        <v>1</v>
      </c>
      <c r="I30" s="29">
        <v>0.7</v>
      </c>
      <c r="J30" s="166"/>
      <c r="K30" s="166"/>
    </row>
    <row r="31" spans="1:11" ht="15" customHeight="1" x14ac:dyDescent="0.25">
      <c r="A31" s="8" t="s">
        <v>271</v>
      </c>
      <c r="B31" s="7" t="s">
        <v>1</v>
      </c>
      <c r="C31" s="38">
        <v>10.02</v>
      </c>
      <c r="D31" s="39" t="s">
        <v>140</v>
      </c>
      <c r="E31" s="6"/>
      <c r="G31" s="126" t="s">
        <v>271</v>
      </c>
      <c r="H31" s="121" t="s">
        <v>1</v>
      </c>
      <c r="I31" s="30">
        <v>10.02</v>
      </c>
      <c r="J31" s="167" t="s">
        <v>140</v>
      </c>
      <c r="K31" s="124"/>
    </row>
    <row r="32" spans="1:11" x14ac:dyDescent="0.25">
      <c r="A32" s="42" t="s">
        <v>272</v>
      </c>
      <c r="B32" s="7" t="s">
        <v>1</v>
      </c>
      <c r="C32" s="63">
        <v>6.0650000000000004</v>
      </c>
      <c r="D32" s="56" t="s">
        <v>140</v>
      </c>
      <c r="E32" s="4"/>
      <c r="G32" s="125" t="s">
        <v>272</v>
      </c>
      <c r="H32" s="121" t="s">
        <v>1</v>
      </c>
      <c r="I32" s="48">
        <v>6.0650000000000004</v>
      </c>
      <c r="J32" s="166" t="s">
        <v>140</v>
      </c>
      <c r="K32" s="123"/>
    </row>
    <row r="33" spans="1:11" x14ac:dyDescent="0.25">
      <c r="A33" s="58" t="s">
        <v>261</v>
      </c>
      <c r="B33" s="39"/>
      <c r="C33" s="39"/>
      <c r="D33" s="39"/>
      <c r="E33" s="39"/>
      <c r="G33" s="170" t="s">
        <v>261</v>
      </c>
      <c r="H33" s="167"/>
      <c r="I33" s="167"/>
      <c r="J33" s="167"/>
      <c r="K33" s="167"/>
    </row>
    <row r="34" spans="1:11" ht="15" customHeight="1" x14ac:dyDescent="0.25">
      <c r="A34" s="8" t="s">
        <v>251</v>
      </c>
      <c r="B34" s="7" t="s">
        <v>1</v>
      </c>
      <c r="C34" s="53" t="s">
        <v>380</v>
      </c>
      <c r="D34" s="85" t="s">
        <v>122</v>
      </c>
      <c r="E34" s="6"/>
      <c r="G34" s="126" t="s">
        <v>251</v>
      </c>
      <c r="H34" s="121" t="s">
        <v>1</v>
      </c>
      <c r="I34" s="130">
        <f>I9*1000000/24/379.47*I17</f>
        <v>28905.447070914695</v>
      </c>
      <c r="J34" s="129" t="s">
        <v>122</v>
      </c>
      <c r="K34" s="124"/>
    </row>
    <row r="35" spans="1:11" ht="15" customHeight="1" x14ac:dyDescent="0.25">
      <c r="A35" s="8" t="s">
        <v>95</v>
      </c>
      <c r="B35" s="7" t="s">
        <v>1</v>
      </c>
      <c r="C35" s="53" t="s">
        <v>381</v>
      </c>
      <c r="D35" s="85" t="s">
        <v>122</v>
      </c>
      <c r="E35" s="83">
        <f>VpVt(18/12/8,3)</f>
        <v>0.12604698160083752</v>
      </c>
      <c r="G35" s="126" t="s">
        <v>95</v>
      </c>
      <c r="H35" s="121" t="s">
        <v>1</v>
      </c>
      <c r="I35" s="130">
        <f>I10*5.615/24*I14</f>
        <v>260746.56249999997</v>
      </c>
      <c r="J35" s="129" t="s">
        <v>122</v>
      </c>
      <c r="K35" s="124"/>
    </row>
    <row r="36" spans="1:11" x14ac:dyDescent="0.25">
      <c r="A36" s="88" t="s">
        <v>461</v>
      </c>
      <c r="B36" s="88"/>
      <c r="C36" s="88"/>
      <c r="D36" s="88"/>
      <c r="E36" s="88"/>
      <c r="G36" s="171" t="s">
        <v>461</v>
      </c>
      <c r="H36" s="171"/>
      <c r="I36" s="171"/>
      <c r="J36" s="171"/>
      <c r="K36" s="171"/>
    </row>
    <row r="37" spans="1:11" ht="15" customHeight="1" x14ac:dyDescent="0.25">
      <c r="A37" s="40" t="s">
        <v>383</v>
      </c>
      <c r="B37" s="7" t="s">
        <v>1</v>
      </c>
      <c r="C37" s="68" t="s">
        <v>382</v>
      </c>
      <c r="D37" s="11" t="s">
        <v>124</v>
      </c>
      <c r="E37" s="69"/>
      <c r="G37" s="132" t="s">
        <v>383</v>
      </c>
      <c r="H37" s="121" t="s">
        <v>1</v>
      </c>
      <c r="I37" s="172">
        <f>I19+I21+I22</f>
        <v>7</v>
      </c>
      <c r="J37" s="151" t="s">
        <v>124</v>
      </c>
      <c r="K37" s="173"/>
    </row>
    <row r="38" spans="1:11" ht="15" customHeight="1" x14ac:dyDescent="0.25">
      <c r="A38" s="40" t="s">
        <v>475</v>
      </c>
      <c r="B38" s="7" t="s">
        <v>1</v>
      </c>
      <c r="C38" s="50" t="s">
        <v>476</v>
      </c>
      <c r="D38" s="17" t="s">
        <v>116</v>
      </c>
      <c r="E38" s="57"/>
      <c r="G38" s="132" t="s">
        <v>263</v>
      </c>
      <c r="H38" s="121" t="s">
        <v>1</v>
      </c>
      <c r="I38" s="174">
        <f>I35/60/I14*I37/(I30-I29)</f>
        <v>1137.2974537037037</v>
      </c>
      <c r="J38" s="134" t="s">
        <v>116</v>
      </c>
      <c r="K38" s="134"/>
    </row>
    <row r="39" spans="1:11" ht="15" customHeight="1" x14ac:dyDescent="0.25">
      <c r="A39" s="40" t="s">
        <v>462</v>
      </c>
      <c r="B39" s="7" t="s">
        <v>1</v>
      </c>
      <c r="C39" s="50" t="s">
        <v>477</v>
      </c>
      <c r="D39" s="57" t="s">
        <v>29</v>
      </c>
      <c r="E39" s="78" t="s">
        <v>478</v>
      </c>
      <c r="G39" s="132" t="s">
        <v>462</v>
      </c>
      <c r="H39" s="121" t="s">
        <v>1</v>
      </c>
      <c r="I39" s="175">
        <f>ROUNDUP((4*I38/3.1416/I28/(1+1/(3*I28)))^(1/3),0.5)</f>
        <v>8</v>
      </c>
      <c r="J39" s="134" t="s">
        <v>133</v>
      </c>
      <c r="K39" s="176" t="s">
        <v>479</v>
      </c>
    </row>
    <row r="40" spans="1:11" ht="15" customHeight="1" x14ac:dyDescent="0.25">
      <c r="A40" s="40" t="s">
        <v>463</v>
      </c>
      <c r="B40" s="7" t="s">
        <v>1</v>
      </c>
      <c r="C40" s="50" t="s">
        <v>480</v>
      </c>
      <c r="D40" s="57" t="s">
        <v>29</v>
      </c>
      <c r="E40" s="17"/>
      <c r="G40" s="132" t="s">
        <v>463</v>
      </c>
      <c r="H40" s="121" t="s">
        <v>1</v>
      </c>
      <c r="I40" s="175">
        <f>I39*I28</f>
        <v>24</v>
      </c>
      <c r="J40" s="134" t="s">
        <v>133</v>
      </c>
      <c r="K40" s="134"/>
    </row>
    <row r="41" spans="1:11" ht="15" customHeight="1" x14ac:dyDescent="0.25">
      <c r="A41" s="17" t="s">
        <v>117</v>
      </c>
      <c r="B41" s="41"/>
      <c r="C41" s="41"/>
      <c r="D41" s="17"/>
      <c r="E41" s="17"/>
      <c r="G41" s="134" t="s">
        <v>117</v>
      </c>
      <c r="H41" s="144"/>
      <c r="I41" s="144"/>
      <c r="J41" s="134"/>
      <c r="K41" s="134"/>
    </row>
    <row r="42" spans="1:11" ht="15" customHeight="1" x14ac:dyDescent="0.25">
      <c r="A42" s="40" t="s">
        <v>466</v>
      </c>
      <c r="B42" s="7" t="s">
        <v>1</v>
      </c>
      <c r="C42" s="77" t="s">
        <v>483</v>
      </c>
      <c r="D42" s="57"/>
      <c r="E42" s="57"/>
      <c r="G42" s="132" t="s">
        <v>466</v>
      </c>
      <c r="H42" s="121" t="s">
        <v>1</v>
      </c>
      <c r="I42" s="177">
        <f>I27/12/I39</f>
        <v>0.1875</v>
      </c>
      <c r="J42" s="178"/>
      <c r="K42" s="179"/>
    </row>
    <row r="43" spans="1:11" ht="15" customHeight="1" x14ac:dyDescent="0.25">
      <c r="A43" s="42" t="s">
        <v>481</v>
      </c>
      <c r="B43" s="7" t="s">
        <v>1</v>
      </c>
      <c r="C43" s="67">
        <v>0.13</v>
      </c>
      <c r="D43" s="17"/>
      <c r="E43" s="57" t="s">
        <v>482</v>
      </c>
      <c r="G43" s="125" t="s">
        <v>481</v>
      </c>
      <c r="H43" s="121" t="s">
        <v>1</v>
      </c>
      <c r="I43" s="180">
        <f>VpVt(I27/12/I39,I28)</f>
        <v>0.12604698160083752</v>
      </c>
      <c r="J43" s="134"/>
      <c r="K43" s="179" t="s">
        <v>482</v>
      </c>
    </row>
    <row r="44" spans="1:11" ht="15" customHeight="1" x14ac:dyDescent="0.25">
      <c r="A44" s="40" t="s">
        <v>465</v>
      </c>
      <c r="B44" s="7" t="s">
        <v>1</v>
      </c>
      <c r="C44" s="50" t="s">
        <v>484</v>
      </c>
      <c r="D44" s="17" t="s">
        <v>116</v>
      </c>
      <c r="E44" s="57"/>
      <c r="G44" s="132" t="s">
        <v>465</v>
      </c>
      <c r="H44" s="121" t="s">
        <v>1</v>
      </c>
      <c r="I44" s="174">
        <f>I43*I38</f>
        <v>143.3529112216701</v>
      </c>
      <c r="J44" s="134" t="s">
        <v>116</v>
      </c>
      <c r="K44" s="179" t="s">
        <v>467</v>
      </c>
    </row>
    <row r="45" spans="1:11" ht="15" customHeight="1" x14ac:dyDescent="0.25">
      <c r="A45" s="40" t="s">
        <v>264</v>
      </c>
      <c r="B45" s="7" t="s">
        <v>1</v>
      </c>
      <c r="C45" s="71" t="s">
        <v>487</v>
      </c>
      <c r="D45" s="17" t="s">
        <v>116</v>
      </c>
      <c r="E45" s="17"/>
      <c r="G45" s="132" t="s">
        <v>264</v>
      </c>
      <c r="H45" s="121" t="s">
        <v>1</v>
      </c>
      <c r="I45" s="174">
        <f>(I30-I29)*I38</f>
        <v>682.37847222222217</v>
      </c>
      <c r="J45" s="134" t="s">
        <v>116</v>
      </c>
      <c r="K45" s="134"/>
    </row>
    <row r="46" spans="1:11" ht="18" x14ac:dyDescent="0.25">
      <c r="A46" s="40" t="s">
        <v>464</v>
      </c>
      <c r="B46" s="7" t="s">
        <v>1</v>
      </c>
      <c r="C46" s="71" t="s">
        <v>488</v>
      </c>
      <c r="D46" s="17" t="s">
        <v>116</v>
      </c>
      <c r="E46" s="17"/>
      <c r="F46" s="135"/>
      <c r="G46" s="132" t="s">
        <v>464</v>
      </c>
      <c r="H46" s="121" t="s">
        <v>1</v>
      </c>
      <c r="I46" s="174">
        <f>I44+I45</f>
        <v>825.73138344389224</v>
      </c>
      <c r="J46" s="134" t="s">
        <v>116</v>
      </c>
      <c r="K46" s="134"/>
    </row>
    <row r="47" spans="1:11" ht="15" customHeight="1" x14ac:dyDescent="0.25">
      <c r="A47" s="40" t="s">
        <v>468</v>
      </c>
      <c r="B47" s="7" t="s">
        <v>1</v>
      </c>
      <c r="C47" s="71" t="s">
        <v>489</v>
      </c>
      <c r="D47" s="17"/>
      <c r="E47" s="17"/>
      <c r="G47" s="132" t="s">
        <v>468</v>
      </c>
      <c r="H47" s="121" t="s">
        <v>1</v>
      </c>
      <c r="I47" s="181">
        <f>I46/I38</f>
        <v>0.72604698160083747</v>
      </c>
      <c r="J47" s="134"/>
      <c r="K47" s="134"/>
    </row>
    <row r="48" spans="1:11" x14ac:dyDescent="0.25">
      <c r="A48" s="40" t="s">
        <v>490</v>
      </c>
      <c r="B48" s="7" t="s">
        <v>1</v>
      </c>
      <c r="C48" s="77">
        <v>0.67900000000000005</v>
      </c>
      <c r="D48" s="57"/>
      <c r="E48" s="57" t="s">
        <v>467</v>
      </c>
      <c r="G48" s="132" t="s">
        <v>490</v>
      </c>
      <c r="H48" s="121" t="s">
        <v>1</v>
      </c>
      <c r="I48" s="182">
        <f>FTR(I47,I28)</f>
        <v>0.67875549316406247</v>
      </c>
      <c r="J48" s="179"/>
      <c r="K48" s="179" t="s">
        <v>467</v>
      </c>
    </row>
    <row r="49" spans="1:11" ht="18" customHeight="1" x14ac:dyDescent="0.25">
      <c r="A49" s="40" t="s">
        <v>265</v>
      </c>
      <c r="B49" s="7" t="s">
        <v>1</v>
      </c>
      <c r="C49" s="72" t="s">
        <v>491</v>
      </c>
      <c r="D49" s="73" t="s">
        <v>29</v>
      </c>
      <c r="E49" s="73"/>
      <c r="G49" s="132" t="s">
        <v>265</v>
      </c>
      <c r="H49" s="121" t="s">
        <v>1</v>
      </c>
      <c r="I49" s="183">
        <f>I48*I39</f>
        <v>5.4300439453124998</v>
      </c>
      <c r="J49" s="184" t="s">
        <v>29</v>
      </c>
      <c r="K49" s="184"/>
    </row>
    <row r="50" spans="1:11" x14ac:dyDescent="0.25">
      <c r="A50" s="40" t="s">
        <v>384</v>
      </c>
      <c r="B50" s="7" t="s">
        <v>1</v>
      </c>
      <c r="C50" s="72" t="s">
        <v>492</v>
      </c>
      <c r="D50" s="69"/>
      <c r="E50" s="17"/>
      <c r="G50" s="132" t="s">
        <v>384</v>
      </c>
      <c r="H50" s="121" t="s">
        <v>1</v>
      </c>
      <c r="I50" s="185">
        <f>I10*0.029167*I20/7.481/I38+I43</f>
        <v>0.42600887973327461</v>
      </c>
      <c r="J50" s="173"/>
      <c r="K50" s="134"/>
    </row>
    <row r="51" spans="1:11" x14ac:dyDescent="0.25">
      <c r="A51" s="40" t="s">
        <v>469</v>
      </c>
      <c r="B51" s="7" t="s">
        <v>1</v>
      </c>
      <c r="C51" s="77">
        <v>0.443</v>
      </c>
      <c r="D51" s="57"/>
      <c r="E51" s="57" t="s">
        <v>493</v>
      </c>
      <c r="G51" s="132" t="s">
        <v>469</v>
      </c>
      <c r="H51" s="121" t="s">
        <v>1</v>
      </c>
      <c r="I51" s="182">
        <f>FTR(I50,I28)</f>
        <v>0.44278747558593745</v>
      </c>
      <c r="J51" s="179"/>
      <c r="K51" s="179" t="s">
        <v>494</v>
      </c>
    </row>
    <row r="52" spans="1:11" x14ac:dyDescent="0.25">
      <c r="A52" s="40" t="s">
        <v>266</v>
      </c>
      <c r="B52" s="7" t="s">
        <v>1</v>
      </c>
      <c r="C52" s="41" t="s">
        <v>495</v>
      </c>
      <c r="D52" s="69" t="s">
        <v>29</v>
      </c>
      <c r="E52" s="17"/>
      <c r="G52" s="132" t="s">
        <v>266</v>
      </c>
      <c r="H52" s="121" t="s">
        <v>1</v>
      </c>
      <c r="I52" s="133">
        <f>I51*I39</f>
        <v>3.5422998046874996</v>
      </c>
      <c r="J52" s="173" t="s">
        <v>29</v>
      </c>
      <c r="K52" s="134"/>
    </row>
    <row r="53" spans="1:11" x14ac:dyDescent="0.25">
      <c r="A53" s="17" t="s">
        <v>267</v>
      </c>
      <c r="B53" s="41"/>
      <c r="C53" s="41"/>
      <c r="D53" s="17"/>
      <c r="E53" s="17"/>
      <c r="G53" s="134" t="s">
        <v>267</v>
      </c>
      <c r="H53" s="144"/>
      <c r="I53" s="144"/>
      <c r="J53" s="134"/>
      <c r="K53" s="134"/>
    </row>
    <row r="54" spans="1:11" ht="18" x14ac:dyDescent="0.25">
      <c r="A54" s="40" t="s">
        <v>280</v>
      </c>
      <c r="B54" s="7" t="s">
        <v>1</v>
      </c>
      <c r="C54" s="70" t="s">
        <v>496</v>
      </c>
      <c r="D54" s="17" t="s">
        <v>34</v>
      </c>
      <c r="E54" s="17"/>
      <c r="G54" s="132" t="s">
        <v>280</v>
      </c>
      <c r="H54" s="121" t="s">
        <v>1</v>
      </c>
      <c r="I54" s="175">
        <f>(1-I47)*3.14159*(I39/2)^2</f>
        <v>13.770369009162</v>
      </c>
      <c r="J54" s="134" t="s">
        <v>34</v>
      </c>
      <c r="K54" s="134"/>
    </row>
    <row r="55" spans="1:11" x14ac:dyDescent="0.25">
      <c r="A55" s="40" t="s">
        <v>281</v>
      </c>
      <c r="B55" s="7" t="s">
        <v>1</v>
      </c>
      <c r="C55" s="74" t="s">
        <v>497</v>
      </c>
      <c r="D55" s="17" t="s">
        <v>32</v>
      </c>
      <c r="E55" s="17"/>
      <c r="G55" s="132" t="s">
        <v>281</v>
      </c>
      <c r="H55" s="121" t="s">
        <v>1</v>
      </c>
      <c r="I55" s="183">
        <f>I34/I12/I54/3600</f>
        <v>0.75333934661654522</v>
      </c>
      <c r="J55" s="134" t="s">
        <v>32</v>
      </c>
      <c r="K55" s="134"/>
    </row>
    <row r="56" spans="1:11" ht="18" x14ac:dyDescent="0.25">
      <c r="A56" s="40" t="s">
        <v>282</v>
      </c>
      <c r="B56" s="7" t="s">
        <v>1</v>
      </c>
      <c r="C56" s="60" t="s">
        <v>498</v>
      </c>
      <c r="D56" s="51" t="s">
        <v>32</v>
      </c>
      <c r="E56" s="17" t="s">
        <v>510</v>
      </c>
      <c r="G56" s="132" t="s">
        <v>282</v>
      </c>
      <c r="H56" s="121" t="s">
        <v>1</v>
      </c>
      <c r="I56" s="186">
        <f>I55/SQRT((I14-I12)/I12)</f>
        <v>0.10013694367887946</v>
      </c>
      <c r="J56" s="187" t="s">
        <v>32</v>
      </c>
      <c r="K56" s="134" t="str">
        <f>IF(I56&lt;0.5,"(Aceptable gas area)","(Gas area is small)")</f>
        <v>(Aceptable gas area)</v>
      </c>
    </row>
    <row r="57" spans="1:11" x14ac:dyDescent="0.25">
      <c r="A57" s="17" t="s">
        <v>118</v>
      </c>
      <c r="B57" s="41"/>
      <c r="C57" s="41"/>
      <c r="D57" s="17"/>
      <c r="E57" s="17"/>
      <c r="G57" s="134" t="s">
        <v>118</v>
      </c>
      <c r="H57" s="144"/>
      <c r="I57" s="144"/>
      <c r="J57" s="134"/>
      <c r="K57" s="134"/>
    </row>
    <row r="58" spans="1:11" x14ac:dyDescent="0.25">
      <c r="A58" s="40" t="s">
        <v>283</v>
      </c>
      <c r="B58" s="7" t="s">
        <v>1</v>
      </c>
      <c r="C58" s="41" t="s">
        <v>470</v>
      </c>
      <c r="D58" s="17"/>
      <c r="E58" s="17" t="s">
        <v>385</v>
      </c>
      <c r="G58" s="132" t="s">
        <v>283</v>
      </c>
      <c r="H58" s="121" t="s">
        <v>1</v>
      </c>
      <c r="I58" s="144" t="str">
        <f>IF(I19+I21+I22&gt;2,"Not an issue","Potential issue")</f>
        <v>Not an issue</v>
      </c>
      <c r="J58" s="134"/>
      <c r="K58" s="134"/>
    </row>
    <row r="59" spans="1:11" x14ac:dyDescent="0.25">
      <c r="A59" s="75" t="s">
        <v>119</v>
      </c>
      <c r="B59" s="41"/>
      <c r="C59" s="41"/>
      <c r="D59" s="17"/>
      <c r="E59" s="17"/>
      <c r="G59" s="188" t="s">
        <v>119</v>
      </c>
      <c r="H59" s="144"/>
      <c r="I59" s="144"/>
      <c r="J59" s="134"/>
      <c r="K59" s="134"/>
    </row>
    <row r="60" spans="1:11" x14ac:dyDescent="0.25">
      <c r="A60" s="40" t="s">
        <v>284</v>
      </c>
      <c r="B60" s="7" t="s">
        <v>1</v>
      </c>
      <c r="C60" s="41">
        <v>0.35</v>
      </c>
      <c r="D60" s="17" t="s">
        <v>32</v>
      </c>
      <c r="E60" s="17"/>
      <c r="G60" s="132" t="s">
        <v>284</v>
      </c>
      <c r="H60" s="121" t="s">
        <v>1</v>
      </c>
      <c r="I60" s="144">
        <v>0.35</v>
      </c>
      <c r="J60" s="134" t="s">
        <v>32</v>
      </c>
      <c r="K60" s="134"/>
    </row>
    <row r="61" spans="1:11" x14ac:dyDescent="0.25">
      <c r="A61" s="40" t="s">
        <v>285</v>
      </c>
      <c r="B61" s="7" t="s">
        <v>1</v>
      </c>
      <c r="C61" s="25" t="s">
        <v>388</v>
      </c>
      <c r="D61" s="17" t="s">
        <v>32</v>
      </c>
      <c r="E61" s="17" t="s">
        <v>387</v>
      </c>
      <c r="G61" s="132" t="s">
        <v>285</v>
      </c>
      <c r="H61" s="121" t="s">
        <v>1</v>
      </c>
      <c r="I61" s="133">
        <f>I60*(0.0000002449*I8^2-0.0004824*I8+0.998)</f>
        <v>0.3124471875</v>
      </c>
      <c r="J61" s="134" t="s">
        <v>32</v>
      </c>
      <c r="K61" s="134"/>
    </row>
    <row r="62" spans="1:11" ht="16.5" x14ac:dyDescent="0.25">
      <c r="A62" s="40" t="s">
        <v>109</v>
      </c>
      <c r="B62" s="7" t="s">
        <v>1</v>
      </c>
      <c r="C62" s="25" t="s">
        <v>389</v>
      </c>
      <c r="D62" s="17" t="s">
        <v>32</v>
      </c>
      <c r="E62" s="17" t="s">
        <v>110</v>
      </c>
      <c r="G62" s="132" t="s">
        <v>109</v>
      </c>
      <c r="H62" s="121" t="s">
        <v>1</v>
      </c>
      <c r="I62" s="133">
        <f>I61*SQRT((I14-I12)/I12)</f>
        <v>2.3505686456563235</v>
      </c>
      <c r="J62" s="134" t="s">
        <v>32</v>
      </c>
      <c r="K62" s="134" t="s">
        <v>110</v>
      </c>
    </row>
    <row r="63" spans="1:11" ht="18" x14ac:dyDescent="0.25">
      <c r="A63" s="40" t="s">
        <v>142</v>
      </c>
      <c r="B63" s="7" t="s">
        <v>1</v>
      </c>
      <c r="C63" s="74" t="s">
        <v>390</v>
      </c>
      <c r="D63" s="17" t="s">
        <v>34</v>
      </c>
      <c r="E63" s="51" t="s">
        <v>120</v>
      </c>
      <c r="G63" s="132" t="s">
        <v>142</v>
      </c>
      <c r="H63" s="121" t="s">
        <v>1</v>
      </c>
      <c r="I63" s="183">
        <f>I34/I12/3600/I62</f>
        <v>4.4132983783310333</v>
      </c>
      <c r="J63" s="134" t="s">
        <v>34</v>
      </c>
      <c r="K63" s="187" t="s">
        <v>120</v>
      </c>
    </row>
    <row r="64" spans="1:11" x14ac:dyDescent="0.25">
      <c r="A64" s="75" t="s">
        <v>269</v>
      </c>
      <c r="B64" s="41"/>
      <c r="C64" s="41"/>
      <c r="D64" s="17"/>
      <c r="E64" s="17"/>
      <c r="G64" s="188" t="s">
        <v>269</v>
      </c>
      <c r="H64" s="144"/>
      <c r="I64" s="144"/>
      <c r="J64" s="134"/>
      <c r="K64" s="134"/>
    </row>
    <row r="65" spans="1:11" ht="18" x14ac:dyDescent="0.25">
      <c r="A65" s="40" t="s">
        <v>274</v>
      </c>
      <c r="B65" s="7" t="s">
        <v>1</v>
      </c>
      <c r="C65" s="70" t="s">
        <v>471</v>
      </c>
      <c r="D65" s="51" t="s">
        <v>32</v>
      </c>
      <c r="E65" s="17"/>
      <c r="G65" s="132" t="s">
        <v>274</v>
      </c>
      <c r="H65" s="121" t="s">
        <v>1</v>
      </c>
      <c r="I65" s="175">
        <f>(I35+I34)*144*1/(I16*1*3.14159*(I31/2)^2*3600)</f>
        <v>21.387244907022335</v>
      </c>
      <c r="J65" s="187" t="s">
        <v>32</v>
      </c>
      <c r="K65" s="134"/>
    </row>
    <row r="66" spans="1:11" ht="18" x14ac:dyDescent="0.25">
      <c r="A66" s="40" t="s">
        <v>275</v>
      </c>
      <c r="B66" s="7" t="s">
        <v>1</v>
      </c>
      <c r="C66" s="71" t="s">
        <v>472</v>
      </c>
      <c r="D66" s="17" t="s">
        <v>268</v>
      </c>
      <c r="E66" s="11"/>
      <c r="G66" s="132" t="s">
        <v>275</v>
      </c>
      <c r="H66" s="121" t="s">
        <v>1</v>
      </c>
      <c r="I66" s="174">
        <f>I16*I65^2</f>
        <v>3142.4358611779862</v>
      </c>
      <c r="J66" s="134" t="s">
        <v>268</v>
      </c>
      <c r="K66" s="151"/>
    </row>
    <row r="67" spans="1:11" ht="18" x14ac:dyDescent="0.25">
      <c r="A67" s="61" t="s">
        <v>270</v>
      </c>
      <c r="B67" s="7" t="s">
        <v>1</v>
      </c>
      <c r="C67" s="7" t="s">
        <v>391</v>
      </c>
      <c r="D67" s="76"/>
      <c r="E67" s="11" t="s">
        <v>392</v>
      </c>
      <c r="G67" s="189" t="s">
        <v>270</v>
      </c>
      <c r="H67" s="121" t="s">
        <v>1</v>
      </c>
      <c r="I67" s="121" t="str">
        <f>IF(I66&lt;6000,"Acceptable","Exceeds criterion")</f>
        <v>Acceptable</v>
      </c>
      <c r="J67" s="190"/>
      <c r="K67" s="151" t="s">
        <v>392</v>
      </c>
    </row>
    <row r="68" spans="1:11" ht="18" x14ac:dyDescent="0.25">
      <c r="A68" s="40" t="s">
        <v>273</v>
      </c>
      <c r="B68" s="7" t="s">
        <v>1</v>
      </c>
      <c r="C68" s="70" t="s">
        <v>473</v>
      </c>
      <c r="D68" s="51" t="s">
        <v>32</v>
      </c>
      <c r="E68" s="11"/>
      <c r="G68" s="132" t="s">
        <v>273</v>
      </c>
      <c r="H68" s="121" t="s">
        <v>1</v>
      </c>
      <c r="I68" s="175">
        <f>I34*144*1/I12/1/3.14159/(I32/2)^2/3600</f>
        <v>51.706792298686246</v>
      </c>
      <c r="J68" s="187" t="s">
        <v>32</v>
      </c>
      <c r="K68" s="151"/>
    </row>
    <row r="69" spans="1:11" ht="18" x14ac:dyDescent="0.25">
      <c r="A69" s="40" t="s">
        <v>276</v>
      </c>
      <c r="B69" s="7" t="s">
        <v>1</v>
      </c>
      <c r="C69" s="71" t="s">
        <v>474</v>
      </c>
      <c r="D69" s="17" t="s">
        <v>268</v>
      </c>
      <c r="E69" s="11"/>
      <c r="G69" s="132" t="s">
        <v>276</v>
      </c>
      <c r="H69" s="121" t="s">
        <v>1</v>
      </c>
      <c r="I69" s="174">
        <f>I12*I68^2</f>
        <v>2069.3604942402771</v>
      </c>
      <c r="J69" s="134" t="s">
        <v>268</v>
      </c>
      <c r="K69" s="151"/>
    </row>
    <row r="70" spans="1:11" ht="18" x14ac:dyDescent="0.25">
      <c r="A70" s="61" t="s">
        <v>277</v>
      </c>
      <c r="B70" s="7" t="s">
        <v>1</v>
      </c>
      <c r="C70" s="7" t="s">
        <v>391</v>
      </c>
      <c r="D70" s="76"/>
      <c r="E70" s="11" t="s">
        <v>392</v>
      </c>
      <c r="G70" s="189" t="s">
        <v>277</v>
      </c>
      <c r="H70" s="121" t="s">
        <v>1</v>
      </c>
      <c r="I70" s="121" t="str">
        <f>IF(I69&lt;6000,"Acceptable","Exceeds criterion")</f>
        <v>Acceptable</v>
      </c>
      <c r="J70" s="190"/>
      <c r="K70" s="151" t="s">
        <v>392</v>
      </c>
    </row>
    <row r="71" spans="1:11" x14ac:dyDescent="0.25">
      <c r="A71" s="17"/>
      <c r="B71" s="41"/>
      <c r="C71" s="41"/>
      <c r="D71" s="17"/>
      <c r="E71" s="17"/>
      <c r="G71" s="134"/>
      <c r="H71" s="134"/>
      <c r="I71" s="134"/>
      <c r="J71" s="134"/>
      <c r="K71" s="134"/>
    </row>
    <row r="74" spans="1:11" x14ac:dyDescent="0.25">
      <c r="A74" s="100" t="s">
        <v>504</v>
      </c>
      <c r="B74" s="164"/>
      <c r="C74" s="164"/>
      <c r="D74" s="135"/>
      <c r="E74" s="135"/>
    </row>
    <row r="75" spans="1:11" x14ac:dyDescent="0.25">
      <c r="A75" s="100" t="s">
        <v>505</v>
      </c>
      <c r="B75" s="164"/>
      <c r="C75" s="164"/>
      <c r="D75" s="135"/>
      <c r="E75" s="135"/>
    </row>
    <row r="76" spans="1:11" x14ac:dyDescent="0.25">
      <c r="A76" s="100" t="s">
        <v>506</v>
      </c>
      <c r="B76" s="164"/>
      <c r="C76" s="164"/>
      <c r="D76" s="135"/>
      <c r="E76" s="135"/>
    </row>
    <row r="77" spans="1:11" x14ac:dyDescent="0.25">
      <c r="A77" s="100" t="s">
        <v>507</v>
      </c>
      <c r="B77" s="164"/>
      <c r="C77" s="164"/>
      <c r="D77" s="135"/>
      <c r="E77" s="135"/>
    </row>
    <row r="78" spans="1:11" x14ac:dyDescent="0.25">
      <c r="A78" s="101" t="s">
        <v>508</v>
      </c>
      <c r="B78" s="164"/>
      <c r="C78" s="164"/>
      <c r="D78" s="135"/>
      <c r="E78" s="135"/>
    </row>
  </sheetData>
  <sheetProtection password="E156" sheet="1" objects="1" scenarios="1"/>
  <mergeCells count="4">
    <mergeCell ref="G5:K5"/>
    <mergeCell ref="G36:K36"/>
    <mergeCell ref="A5:E5"/>
    <mergeCell ref="A36:E36"/>
  </mergeCells>
  <conditionalFormatting sqref="I67">
    <cfRule type="cellIs" dxfId="9" priority="2" operator="equal">
      <formula>"Exceeds criterion"</formula>
    </cfRule>
  </conditionalFormatting>
  <conditionalFormatting sqref="I70">
    <cfRule type="cellIs" dxfId="8" priority="1" operator="equal">
      <formula>"Exceeds criterion"</formula>
    </cfRule>
  </conditionalFormatting>
  <dataValidations count="1">
    <dataValidation type="list" allowBlank="1" showInputMessage="1" showErrorMessage="1" sqref="C60">
      <formula1>$AI$11:$AI$24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'Example 7-2'!$AI$7:$AI$20</xm:f>
          </x14:formula1>
          <xm:sqref>I60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106"/>
  <sheetViews>
    <sheetView zoomScale="90" zoomScaleNormal="90" workbookViewId="0">
      <selection activeCell="F16" sqref="F16"/>
    </sheetView>
  </sheetViews>
  <sheetFormatPr defaultColWidth="7" defaultRowHeight="15" x14ac:dyDescent="0.25"/>
  <cols>
    <col min="1" max="1" width="48.140625" style="118" customWidth="1"/>
    <col min="2" max="2" width="10.5703125" style="117" customWidth="1"/>
    <col min="3" max="3" width="53.140625" style="117" bestFit="1" customWidth="1"/>
    <col min="4" max="4" width="9.7109375" style="118" customWidth="1"/>
    <col min="5" max="5" width="25.5703125" style="118" bestFit="1" customWidth="1"/>
    <col min="6" max="6" width="11.5703125" style="118" bestFit="1" customWidth="1"/>
    <col min="7" max="7" width="54.5703125" style="118" bestFit="1" customWidth="1"/>
    <col min="8" max="8" width="7" style="118"/>
    <col min="9" max="9" width="11.7109375" style="118" bestFit="1" customWidth="1"/>
    <col min="10" max="10" width="10" style="118" bestFit="1" customWidth="1"/>
    <col min="11" max="11" width="22.85546875" style="118" bestFit="1" customWidth="1"/>
    <col min="12" max="12" width="7" style="118"/>
    <col min="13" max="13" width="15.7109375" style="118" customWidth="1"/>
    <col min="14" max="16384" width="7" style="118"/>
  </cols>
  <sheetData>
    <row r="1" spans="1:11" x14ac:dyDescent="0.25">
      <c r="A1" s="99" t="s">
        <v>499</v>
      </c>
    </row>
    <row r="5" spans="1:11" ht="15" customHeight="1" x14ac:dyDescent="0.25">
      <c r="A5" s="87" t="s">
        <v>451</v>
      </c>
      <c r="B5" s="87"/>
      <c r="C5" s="87"/>
      <c r="D5" s="87"/>
      <c r="E5" s="6"/>
      <c r="G5" s="119" t="s">
        <v>452</v>
      </c>
      <c r="H5" s="119"/>
      <c r="I5" s="119"/>
      <c r="J5" s="119"/>
      <c r="K5" s="124"/>
    </row>
    <row r="6" spans="1:11" ht="18" customHeight="1" x14ac:dyDescent="0.25">
      <c r="A6" s="4" t="s">
        <v>121</v>
      </c>
      <c r="B6" s="21"/>
      <c r="C6" s="21"/>
      <c r="D6" s="6"/>
      <c r="E6" s="6"/>
      <c r="G6" s="123" t="s">
        <v>121</v>
      </c>
      <c r="H6" s="127"/>
      <c r="I6" s="127"/>
      <c r="J6" s="124"/>
      <c r="K6" s="124"/>
    </row>
    <row r="7" spans="1:11" x14ac:dyDescent="0.25">
      <c r="A7" s="8" t="s">
        <v>94</v>
      </c>
      <c r="B7" s="7" t="s">
        <v>101</v>
      </c>
      <c r="C7" s="21">
        <v>250</v>
      </c>
      <c r="D7" s="85" t="s">
        <v>28</v>
      </c>
      <c r="E7" s="6"/>
      <c r="G7" s="126" t="s">
        <v>94</v>
      </c>
      <c r="H7" s="121" t="s">
        <v>101</v>
      </c>
      <c r="I7" s="27">
        <v>250</v>
      </c>
      <c r="J7" s="129" t="s">
        <v>28</v>
      </c>
      <c r="K7" s="124"/>
    </row>
    <row r="8" spans="1:11" x14ac:dyDescent="0.25">
      <c r="A8" s="8" t="s">
        <v>251</v>
      </c>
      <c r="B8" s="7" t="s">
        <v>1</v>
      </c>
      <c r="C8" s="52">
        <v>10</v>
      </c>
      <c r="D8" s="85" t="s">
        <v>99</v>
      </c>
      <c r="E8" s="6"/>
      <c r="G8" s="126" t="s">
        <v>251</v>
      </c>
      <c r="H8" s="121" t="s">
        <v>1</v>
      </c>
      <c r="I8" s="43">
        <v>10</v>
      </c>
      <c r="J8" s="129" t="s">
        <v>99</v>
      </c>
      <c r="K8" s="124"/>
    </row>
    <row r="9" spans="1:11" x14ac:dyDescent="0.25">
      <c r="A9" s="8" t="s">
        <v>286</v>
      </c>
      <c r="B9" s="7" t="s">
        <v>1</v>
      </c>
      <c r="C9" s="53">
        <v>26900</v>
      </c>
      <c r="D9" s="6" t="s">
        <v>115</v>
      </c>
      <c r="E9" s="6"/>
      <c r="G9" s="126" t="s">
        <v>286</v>
      </c>
      <c r="H9" s="121" t="s">
        <v>1</v>
      </c>
      <c r="I9" s="44">
        <v>26900</v>
      </c>
      <c r="J9" s="124" t="s">
        <v>115</v>
      </c>
      <c r="K9" s="124"/>
    </row>
    <row r="10" spans="1:11" x14ac:dyDescent="0.25">
      <c r="A10" s="8" t="s">
        <v>287</v>
      </c>
      <c r="B10" s="7" t="s">
        <v>1</v>
      </c>
      <c r="C10" s="53">
        <v>5181</v>
      </c>
      <c r="D10" s="6" t="s">
        <v>115</v>
      </c>
      <c r="E10" s="6"/>
      <c r="G10" s="126" t="s">
        <v>287</v>
      </c>
      <c r="H10" s="121" t="s">
        <v>1</v>
      </c>
      <c r="I10" s="44">
        <v>5181</v>
      </c>
      <c r="J10" s="124" t="s">
        <v>115</v>
      </c>
      <c r="K10" s="124"/>
    </row>
    <row r="11" spans="1:11" x14ac:dyDescent="0.25">
      <c r="A11" s="8" t="s">
        <v>288</v>
      </c>
      <c r="B11" s="7" t="s">
        <v>1</v>
      </c>
      <c r="C11" s="5">
        <v>150</v>
      </c>
      <c r="D11" s="12" t="s">
        <v>123</v>
      </c>
      <c r="E11" s="6"/>
      <c r="G11" s="126" t="s">
        <v>288</v>
      </c>
      <c r="H11" s="121" t="s">
        <v>1</v>
      </c>
      <c r="I11" s="26">
        <v>150</v>
      </c>
      <c r="J11" s="143" t="s">
        <v>123</v>
      </c>
      <c r="K11" s="124"/>
    </row>
    <row r="12" spans="1:11" x14ac:dyDescent="0.25">
      <c r="A12" s="8" t="s">
        <v>299</v>
      </c>
      <c r="B12" s="7" t="s">
        <v>1</v>
      </c>
      <c r="C12" s="5">
        <v>10</v>
      </c>
      <c r="D12" s="20" t="s">
        <v>124</v>
      </c>
      <c r="E12" s="6"/>
      <c r="G12" s="126" t="s">
        <v>299</v>
      </c>
      <c r="H12" s="121" t="s">
        <v>1</v>
      </c>
      <c r="I12" s="26">
        <v>10</v>
      </c>
      <c r="J12" s="191" t="s">
        <v>124</v>
      </c>
      <c r="K12" s="124"/>
    </row>
    <row r="13" spans="1:11" x14ac:dyDescent="0.25">
      <c r="A13" s="8" t="s">
        <v>300</v>
      </c>
      <c r="B13" s="7" t="s">
        <v>1</v>
      </c>
      <c r="C13" s="5">
        <v>10</v>
      </c>
      <c r="D13" s="20" t="s">
        <v>124</v>
      </c>
      <c r="E13" s="6"/>
      <c r="G13" s="126" t="s">
        <v>300</v>
      </c>
      <c r="H13" s="121" t="s">
        <v>1</v>
      </c>
      <c r="I13" s="26">
        <v>10</v>
      </c>
      <c r="J13" s="191" t="s">
        <v>124</v>
      </c>
      <c r="K13" s="124"/>
    </row>
    <row r="14" spans="1:11" x14ac:dyDescent="0.25">
      <c r="A14" s="8" t="s">
        <v>289</v>
      </c>
      <c r="B14" s="7" t="s">
        <v>1</v>
      </c>
      <c r="C14" s="5">
        <v>5</v>
      </c>
      <c r="D14" s="20" t="s">
        <v>290</v>
      </c>
      <c r="E14" s="6"/>
      <c r="G14" s="126" t="s">
        <v>289</v>
      </c>
      <c r="H14" s="121" t="s">
        <v>1</v>
      </c>
      <c r="I14" s="26">
        <v>5</v>
      </c>
      <c r="J14" s="191" t="s">
        <v>290</v>
      </c>
      <c r="K14" s="124"/>
    </row>
    <row r="15" spans="1:11" x14ac:dyDescent="0.25">
      <c r="A15" s="8" t="s">
        <v>289</v>
      </c>
      <c r="B15" s="7" t="s">
        <v>1</v>
      </c>
      <c r="C15" s="53">
        <v>12</v>
      </c>
      <c r="D15" s="6" t="s">
        <v>194</v>
      </c>
      <c r="E15" s="6"/>
      <c r="G15" s="126" t="s">
        <v>289</v>
      </c>
      <c r="H15" s="121" t="s">
        <v>1</v>
      </c>
      <c r="I15" s="44">
        <v>12</v>
      </c>
      <c r="J15" s="124" t="s">
        <v>194</v>
      </c>
      <c r="K15" s="124"/>
    </row>
    <row r="16" spans="1:11" ht="15.6" customHeight="1" x14ac:dyDescent="0.25">
      <c r="A16" s="8" t="s">
        <v>291</v>
      </c>
      <c r="B16" s="7" t="s">
        <v>1</v>
      </c>
      <c r="C16" s="79">
        <v>0.7</v>
      </c>
      <c r="D16" s="6"/>
      <c r="E16" s="6"/>
      <c r="G16" s="126" t="s">
        <v>291</v>
      </c>
      <c r="H16" s="121" t="s">
        <v>1</v>
      </c>
      <c r="I16" s="45">
        <v>0.7</v>
      </c>
      <c r="J16" s="124"/>
      <c r="K16" s="124"/>
    </row>
    <row r="17" spans="1:11" ht="14.45" customHeight="1" x14ac:dyDescent="0.25">
      <c r="A17" s="8" t="s">
        <v>295</v>
      </c>
      <c r="B17" s="7" t="s">
        <v>1</v>
      </c>
      <c r="C17" s="79">
        <v>0.5</v>
      </c>
      <c r="D17" s="6"/>
      <c r="E17" s="6"/>
      <c r="G17" s="126" t="s">
        <v>295</v>
      </c>
      <c r="H17" s="121" t="s">
        <v>1</v>
      </c>
      <c r="I17" s="45">
        <v>0.5</v>
      </c>
      <c r="J17" s="124"/>
      <c r="K17" s="124"/>
    </row>
    <row r="18" spans="1:11" x14ac:dyDescent="0.25">
      <c r="A18" s="8" t="s">
        <v>296</v>
      </c>
      <c r="B18" s="7" t="s">
        <v>1</v>
      </c>
      <c r="C18" s="5">
        <v>1</v>
      </c>
      <c r="D18" s="6" t="s">
        <v>124</v>
      </c>
      <c r="E18" s="6"/>
      <c r="G18" s="126" t="s">
        <v>296</v>
      </c>
      <c r="H18" s="121" t="s">
        <v>1</v>
      </c>
      <c r="I18" s="26">
        <v>1</v>
      </c>
      <c r="J18" s="124" t="s">
        <v>124</v>
      </c>
      <c r="K18" s="124"/>
    </row>
    <row r="19" spans="1:11" x14ac:dyDescent="0.25">
      <c r="A19" s="8" t="s">
        <v>301</v>
      </c>
      <c r="B19" s="7" t="s">
        <v>1</v>
      </c>
      <c r="C19" s="80">
        <v>3</v>
      </c>
      <c r="D19" s="6"/>
      <c r="E19" s="6"/>
      <c r="G19" s="126" t="s">
        <v>301</v>
      </c>
      <c r="H19" s="121" t="s">
        <v>1</v>
      </c>
      <c r="I19" s="46">
        <v>3</v>
      </c>
      <c r="J19" s="124"/>
      <c r="K19" s="124"/>
    </row>
    <row r="20" spans="1:11" x14ac:dyDescent="0.25">
      <c r="A20" s="8" t="s">
        <v>293</v>
      </c>
      <c r="B20" s="7" t="s">
        <v>1</v>
      </c>
      <c r="C20" s="79" t="s">
        <v>294</v>
      </c>
      <c r="D20" s="6"/>
      <c r="E20" s="6"/>
      <c r="G20" s="126" t="s">
        <v>293</v>
      </c>
      <c r="H20" s="121" t="s">
        <v>1</v>
      </c>
      <c r="I20" s="45" t="s">
        <v>294</v>
      </c>
      <c r="J20" s="124"/>
      <c r="K20" s="124"/>
    </row>
    <row r="21" spans="1:11" x14ac:dyDescent="0.25">
      <c r="A21" s="49" t="s">
        <v>252</v>
      </c>
      <c r="B21" s="7" t="s">
        <v>1</v>
      </c>
      <c r="C21" s="50" t="s">
        <v>253</v>
      </c>
      <c r="D21" s="39"/>
      <c r="E21" s="6"/>
      <c r="G21" s="168" t="s">
        <v>252</v>
      </c>
      <c r="H21" s="121" t="s">
        <v>1</v>
      </c>
      <c r="I21" s="82" t="s">
        <v>253</v>
      </c>
      <c r="J21" s="167"/>
      <c r="K21" s="124"/>
    </row>
    <row r="22" spans="1:11" x14ac:dyDescent="0.25">
      <c r="A22" s="42" t="s">
        <v>297</v>
      </c>
      <c r="B22" s="7" t="s">
        <v>1</v>
      </c>
      <c r="C22" s="67" t="s">
        <v>298</v>
      </c>
      <c r="D22" s="4"/>
      <c r="E22" s="6"/>
      <c r="G22" s="125" t="s">
        <v>297</v>
      </c>
      <c r="H22" s="121" t="s">
        <v>1</v>
      </c>
      <c r="I22" s="29" t="s">
        <v>298</v>
      </c>
      <c r="J22" s="123"/>
      <c r="K22" s="124"/>
    </row>
    <row r="23" spans="1:11" x14ac:dyDescent="0.25">
      <c r="A23" s="42" t="s">
        <v>302</v>
      </c>
      <c r="B23" s="7" t="s">
        <v>1</v>
      </c>
      <c r="C23" s="81">
        <v>12</v>
      </c>
      <c r="D23" s="6" t="s">
        <v>194</v>
      </c>
      <c r="E23" s="6" t="s">
        <v>401</v>
      </c>
      <c r="G23" s="125" t="s">
        <v>302</v>
      </c>
      <c r="H23" s="121" t="s">
        <v>1</v>
      </c>
      <c r="I23" s="47">
        <v>12</v>
      </c>
      <c r="J23" s="124" t="s">
        <v>194</v>
      </c>
      <c r="K23" s="124" t="s">
        <v>401</v>
      </c>
    </row>
    <row r="24" spans="1:11" x14ac:dyDescent="0.25">
      <c r="A24" s="42" t="s">
        <v>303</v>
      </c>
      <c r="B24" s="7" t="s">
        <v>1</v>
      </c>
      <c r="C24" s="81">
        <v>4</v>
      </c>
      <c r="D24" s="6" t="s">
        <v>194</v>
      </c>
      <c r="E24" s="6" t="s">
        <v>407</v>
      </c>
      <c r="G24" s="125" t="s">
        <v>303</v>
      </c>
      <c r="H24" s="121" t="s">
        <v>1</v>
      </c>
      <c r="I24" s="47">
        <v>4</v>
      </c>
      <c r="J24" s="124" t="s">
        <v>194</v>
      </c>
      <c r="K24" s="124" t="s">
        <v>407</v>
      </c>
    </row>
    <row r="25" spans="1:11" x14ac:dyDescent="0.25">
      <c r="A25" s="42" t="s">
        <v>409</v>
      </c>
      <c r="B25" s="7" t="s">
        <v>1</v>
      </c>
      <c r="C25" s="81">
        <v>6</v>
      </c>
      <c r="D25" s="6" t="s">
        <v>194</v>
      </c>
      <c r="E25" s="6" t="s">
        <v>408</v>
      </c>
      <c r="G25" s="125" t="s">
        <v>409</v>
      </c>
      <c r="H25" s="121" t="s">
        <v>1</v>
      </c>
      <c r="I25" s="47">
        <v>6</v>
      </c>
      <c r="J25" s="124" t="s">
        <v>194</v>
      </c>
      <c r="K25" s="124" t="s">
        <v>408</v>
      </c>
    </row>
    <row r="26" spans="1:11" ht="15" customHeight="1" x14ac:dyDescent="0.25">
      <c r="A26" s="42" t="s">
        <v>312</v>
      </c>
      <c r="B26" s="7" t="s">
        <v>1</v>
      </c>
      <c r="C26" s="81">
        <v>6</v>
      </c>
      <c r="D26" s="6" t="s">
        <v>194</v>
      </c>
      <c r="E26" s="6"/>
      <c r="G26" s="125" t="s">
        <v>312</v>
      </c>
      <c r="H26" s="121" t="s">
        <v>1</v>
      </c>
      <c r="I26" s="47">
        <v>6</v>
      </c>
      <c r="J26" s="124" t="s">
        <v>194</v>
      </c>
      <c r="K26" s="124"/>
    </row>
    <row r="27" spans="1:11" ht="15" customHeight="1" x14ac:dyDescent="0.25">
      <c r="A27" s="42" t="s">
        <v>313</v>
      </c>
      <c r="B27" s="7" t="s">
        <v>1</v>
      </c>
      <c r="C27" s="81">
        <v>6</v>
      </c>
      <c r="D27" s="6" t="s">
        <v>194</v>
      </c>
      <c r="E27" s="6"/>
      <c r="G27" s="125" t="s">
        <v>313</v>
      </c>
      <c r="H27" s="121" t="s">
        <v>1</v>
      </c>
      <c r="I27" s="47">
        <v>6</v>
      </c>
      <c r="J27" s="124" t="s">
        <v>194</v>
      </c>
      <c r="K27" s="124"/>
    </row>
    <row r="28" spans="1:11" ht="15" customHeight="1" x14ac:dyDescent="0.25">
      <c r="A28" s="42" t="s">
        <v>314</v>
      </c>
      <c r="B28" s="7" t="s">
        <v>1</v>
      </c>
      <c r="C28" s="81">
        <v>12</v>
      </c>
      <c r="D28" s="6" t="s">
        <v>194</v>
      </c>
      <c r="E28" s="6"/>
      <c r="G28" s="125" t="s">
        <v>314</v>
      </c>
      <c r="H28" s="121" t="s">
        <v>1</v>
      </c>
      <c r="I28" s="47">
        <v>12</v>
      </c>
      <c r="J28" s="124" t="s">
        <v>194</v>
      </c>
      <c r="K28" s="124"/>
    </row>
    <row r="29" spans="1:11" x14ac:dyDescent="0.25">
      <c r="A29" s="42" t="s">
        <v>315</v>
      </c>
      <c r="B29" s="7" t="s">
        <v>1</v>
      </c>
      <c r="C29" s="81">
        <v>4</v>
      </c>
      <c r="D29" s="6" t="s">
        <v>194</v>
      </c>
      <c r="E29" s="6"/>
      <c r="G29" s="125" t="s">
        <v>315</v>
      </c>
      <c r="H29" s="121" t="s">
        <v>1</v>
      </c>
      <c r="I29" s="47">
        <v>4</v>
      </c>
      <c r="J29" s="124" t="s">
        <v>194</v>
      </c>
      <c r="K29" s="124"/>
    </row>
    <row r="30" spans="1:11" ht="15" customHeight="1" x14ac:dyDescent="0.25">
      <c r="A30" s="9" t="s">
        <v>98</v>
      </c>
      <c r="B30" s="5"/>
      <c r="C30" s="5"/>
      <c r="D30" s="4"/>
      <c r="E30" s="6"/>
      <c r="F30" s="148"/>
      <c r="G30" s="138" t="s">
        <v>98</v>
      </c>
      <c r="H30" s="122"/>
      <c r="I30" s="122"/>
      <c r="J30" s="123"/>
      <c r="K30" s="124"/>
    </row>
    <row r="31" spans="1:11" ht="18.75" x14ac:dyDescent="0.3">
      <c r="A31" s="42" t="s">
        <v>105</v>
      </c>
      <c r="B31" s="7" t="s">
        <v>101</v>
      </c>
      <c r="C31" s="5">
        <v>0.77400000000000002</v>
      </c>
      <c r="D31" s="4" t="s">
        <v>31</v>
      </c>
      <c r="E31" s="6"/>
      <c r="F31" s="148"/>
      <c r="G31" s="125" t="s">
        <v>105</v>
      </c>
      <c r="H31" s="121" t="s">
        <v>101</v>
      </c>
      <c r="I31" s="26">
        <v>0.77400000000000002</v>
      </c>
      <c r="J31" s="123" t="s">
        <v>31</v>
      </c>
      <c r="K31" s="124"/>
    </row>
    <row r="32" spans="1:11" ht="15" customHeight="1" x14ac:dyDescent="0.3">
      <c r="A32" s="8" t="s">
        <v>104</v>
      </c>
      <c r="B32" s="7" t="s">
        <v>101</v>
      </c>
      <c r="C32" s="63">
        <v>0.02</v>
      </c>
      <c r="D32" s="4" t="s">
        <v>102</v>
      </c>
      <c r="E32" s="6"/>
      <c r="F32" s="148"/>
      <c r="G32" s="126" t="s">
        <v>104</v>
      </c>
      <c r="H32" s="121" t="s">
        <v>101</v>
      </c>
      <c r="I32" s="48">
        <v>0.02</v>
      </c>
      <c r="J32" s="123" t="s">
        <v>102</v>
      </c>
      <c r="K32" s="124"/>
    </row>
    <row r="33" spans="1:17" ht="16.5" x14ac:dyDescent="0.3">
      <c r="A33" s="42" t="s">
        <v>131</v>
      </c>
      <c r="B33" s="7" t="s">
        <v>1</v>
      </c>
      <c r="C33" s="5">
        <v>43.7</v>
      </c>
      <c r="D33" s="4" t="s">
        <v>100</v>
      </c>
      <c r="E33" s="6"/>
      <c r="F33" s="148"/>
      <c r="G33" s="125" t="s">
        <v>131</v>
      </c>
      <c r="H33" s="121" t="s">
        <v>1</v>
      </c>
      <c r="I33" s="26">
        <v>43.7</v>
      </c>
      <c r="J33" s="123" t="s">
        <v>100</v>
      </c>
      <c r="K33" s="124"/>
    </row>
    <row r="34" spans="1:17" ht="16.5" x14ac:dyDescent="0.3">
      <c r="A34" s="8" t="s">
        <v>292</v>
      </c>
      <c r="B34" s="7" t="s">
        <v>101</v>
      </c>
      <c r="C34" s="21">
        <v>0.31</v>
      </c>
      <c r="D34" s="4" t="s">
        <v>102</v>
      </c>
      <c r="E34" s="6"/>
      <c r="F34" s="148"/>
      <c r="G34" s="126" t="s">
        <v>292</v>
      </c>
      <c r="H34" s="121" t="s">
        <v>101</v>
      </c>
      <c r="I34" s="27">
        <v>0.31</v>
      </c>
      <c r="J34" s="123" t="s">
        <v>102</v>
      </c>
      <c r="K34" s="124"/>
    </row>
    <row r="35" spans="1:17" ht="16.5" x14ac:dyDescent="0.3">
      <c r="A35" s="42" t="s">
        <v>129</v>
      </c>
      <c r="B35" s="7" t="s">
        <v>1</v>
      </c>
      <c r="C35" s="5">
        <v>61.9</v>
      </c>
      <c r="D35" s="4" t="s">
        <v>100</v>
      </c>
      <c r="E35" s="6"/>
      <c r="F35" s="148"/>
      <c r="G35" s="125" t="s">
        <v>129</v>
      </c>
      <c r="H35" s="121" t="s">
        <v>1</v>
      </c>
      <c r="I35" s="26">
        <v>61.9</v>
      </c>
      <c r="J35" s="123" t="s">
        <v>100</v>
      </c>
      <c r="K35" s="124"/>
    </row>
    <row r="36" spans="1:17" ht="16.5" x14ac:dyDescent="0.3">
      <c r="A36" s="42" t="s">
        <v>130</v>
      </c>
      <c r="B36" s="7" t="s">
        <v>1</v>
      </c>
      <c r="C36" s="7">
        <v>0.65</v>
      </c>
      <c r="D36" s="4" t="s">
        <v>102</v>
      </c>
      <c r="E36" s="6"/>
      <c r="F36" s="148"/>
      <c r="G36" s="125" t="s">
        <v>130</v>
      </c>
      <c r="H36" s="121" t="s">
        <v>1</v>
      </c>
      <c r="I36" s="32">
        <v>0.65</v>
      </c>
      <c r="J36" s="123" t="s">
        <v>102</v>
      </c>
      <c r="K36" s="124"/>
      <c r="L36" s="135"/>
      <c r="M36" s="135"/>
      <c r="N36" s="135"/>
      <c r="O36" s="135"/>
      <c r="P36" s="135"/>
      <c r="Q36" s="135"/>
    </row>
    <row r="37" spans="1:17" x14ac:dyDescent="0.25">
      <c r="A37" s="18" t="s">
        <v>261</v>
      </c>
      <c r="B37" s="33"/>
      <c r="C37" s="33"/>
      <c r="D37" s="33"/>
      <c r="E37" s="6"/>
      <c r="F37" s="148"/>
      <c r="G37" s="149" t="s">
        <v>261</v>
      </c>
      <c r="H37" s="147"/>
      <c r="I37" s="147"/>
      <c r="J37" s="147"/>
      <c r="K37" s="124"/>
      <c r="L37" s="148"/>
      <c r="M37" s="148"/>
      <c r="N37" s="135"/>
      <c r="O37" s="135"/>
      <c r="P37" s="135"/>
      <c r="Q37" s="135"/>
    </row>
    <row r="38" spans="1:17" ht="18" x14ac:dyDescent="0.25">
      <c r="A38" s="42" t="s">
        <v>286</v>
      </c>
      <c r="B38" s="7" t="s">
        <v>1</v>
      </c>
      <c r="C38" s="53" t="s">
        <v>370</v>
      </c>
      <c r="D38" s="12" t="s">
        <v>135</v>
      </c>
      <c r="E38" s="6"/>
      <c r="F38" s="148"/>
      <c r="G38" s="125" t="s">
        <v>286</v>
      </c>
      <c r="H38" s="121" t="s">
        <v>1</v>
      </c>
      <c r="I38" s="130">
        <f>I9*5.615/24</f>
        <v>6293.479166666667</v>
      </c>
      <c r="J38" s="143" t="s">
        <v>135</v>
      </c>
      <c r="K38" s="124"/>
    </row>
    <row r="39" spans="1:17" ht="18" x14ac:dyDescent="0.25">
      <c r="A39" s="42" t="s">
        <v>287</v>
      </c>
      <c r="B39" s="7" t="s">
        <v>1</v>
      </c>
      <c r="C39" s="53" t="s">
        <v>371</v>
      </c>
      <c r="D39" s="12" t="s">
        <v>135</v>
      </c>
      <c r="E39" s="6"/>
      <c r="F39" s="148"/>
      <c r="G39" s="125" t="s">
        <v>287</v>
      </c>
      <c r="H39" s="121" t="s">
        <v>1</v>
      </c>
      <c r="I39" s="130">
        <f>I10*5.615/24</f>
        <v>1212.1381250000002</v>
      </c>
      <c r="J39" s="143" t="s">
        <v>135</v>
      </c>
      <c r="K39" s="124"/>
    </row>
    <row r="40" spans="1:17" x14ac:dyDescent="0.25">
      <c r="A40" s="18" t="s">
        <v>332</v>
      </c>
      <c r="B40" s="33"/>
      <c r="C40" s="33"/>
      <c r="D40" s="33"/>
      <c r="E40" s="6"/>
      <c r="F40" s="148"/>
      <c r="G40" s="149" t="s">
        <v>332</v>
      </c>
      <c r="H40" s="147"/>
      <c r="I40" s="147"/>
      <c r="J40" s="147"/>
      <c r="K40" s="124"/>
    </row>
    <row r="41" spans="1:17" ht="18" x14ac:dyDescent="0.25">
      <c r="A41" s="42" t="s">
        <v>333</v>
      </c>
      <c r="B41" s="7" t="s">
        <v>1</v>
      </c>
      <c r="C41" s="53" t="s">
        <v>372</v>
      </c>
      <c r="D41" s="6" t="s">
        <v>116</v>
      </c>
      <c r="E41" s="6"/>
      <c r="F41" s="148"/>
      <c r="G41" s="125" t="s">
        <v>333</v>
      </c>
      <c r="H41" s="121" t="s">
        <v>1</v>
      </c>
      <c r="I41" s="130">
        <f>(I38*(I13+I14*I17+I18)/60+I39*I12/60)/I16</f>
        <v>2311.5083333333337</v>
      </c>
      <c r="J41" s="124" t="s">
        <v>116</v>
      </c>
      <c r="K41" s="124"/>
    </row>
    <row r="42" spans="1:17" ht="16.5" customHeight="1" x14ac:dyDescent="0.25">
      <c r="A42" s="42" t="s">
        <v>334</v>
      </c>
      <c r="B42" s="7" t="s">
        <v>1</v>
      </c>
      <c r="C42" s="59" t="s">
        <v>373</v>
      </c>
      <c r="D42" s="6" t="s">
        <v>29</v>
      </c>
      <c r="E42" s="6"/>
      <c r="F42" s="148"/>
      <c r="G42" s="125" t="s">
        <v>334</v>
      </c>
      <c r="H42" s="121" t="s">
        <v>1</v>
      </c>
      <c r="I42" s="192">
        <f>ROUNDUP((I41/3.1416/(1/12+I19/4))^(1/3),0.5)</f>
        <v>10</v>
      </c>
      <c r="J42" s="124" t="s">
        <v>29</v>
      </c>
      <c r="K42" s="124"/>
    </row>
    <row r="43" spans="1:17" ht="16.5" customHeight="1" x14ac:dyDescent="0.25">
      <c r="A43" s="9" t="s">
        <v>415</v>
      </c>
      <c r="B43" s="5"/>
      <c r="C43" s="5"/>
      <c r="D43" s="10"/>
      <c r="E43" s="6"/>
      <c r="F43" s="148"/>
      <c r="G43" s="138" t="s">
        <v>410</v>
      </c>
      <c r="H43" s="122"/>
      <c r="I43" s="122"/>
      <c r="J43" s="165"/>
      <c r="K43" s="124"/>
    </row>
    <row r="44" spans="1:17" x14ac:dyDescent="0.25">
      <c r="A44" s="42" t="s">
        <v>302</v>
      </c>
      <c r="B44" s="7" t="s">
        <v>1</v>
      </c>
      <c r="C44" s="16" t="s">
        <v>399</v>
      </c>
      <c r="D44" s="10" t="s">
        <v>29</v>
      </c>
      <c r="E44" s="6" t="s">
        <v>401</v>
      </c>
      <c r="F44" s="148"/>
      <c r="G44" s="125" t="s">
        <v>302</v>
      </c>
      <c r="H44" s="121" t="s">
        <v>1</v>
      </c>
      <c r="I44" s="131">
        <f>12/12</f>
        <v>1</v>
      </c>
      <c r="J44" s="165" t="s">
        <v>29</v>
      </c>
      <c r="K44" s="124" t="s">
        <v>401</v>
      </c>
    </row>
    <row r="45" spans="1:17" x14ac:dyDescent="0.25">
      <c r="A45" s="42" t="s">
        <v>306</v>
      </c>
      <c r="B45" s="7" t="s">
        <v>1</v>
      </c>
      <c r="C45" s="16" t="s">
        <v>406</v>
      </c>
      <c r="D45" s="10" t="s">
        <v>29</v>
      </c>
      <c r="E45" s="6" t="s">
        <v>402</v>
      </c>
      <c r="F45" s="148"/>
      <c r="G45" s="125" t="s">
        <v>306</v>
      </c>
      <c r="H45" s="121" t="s">
        <v>1</v>
      </c>
      <c r="I45" s="131">
        <f>I44+I24/12</f>
        <v>1.3333333333333333</v>
      </c>
      <c r="J45" s="165" t="s">
        <v>29</v>
      </c>
      <c r="K45" s="124" t="s">
        <v>402</v>
      </c>
    </row>
    <row r="46" spans="1:17" ht="15" customHeight="1" x14ac:dyDescent="0.25">
      <c r="A46" s="42" t="s">
        <v>403</v>
      </c>
      <c r="B46" s="7" t="s">
        <v>1</v>
      </c>
      <c r="C46" s="63" t="s">
        <v>394</v>
      </c>
      <c r="D46" s="10"/>
      <c r="E46" s="6" t="s">
        <v>445</v>
      </c>
      <c r="F46" s="148"/>
      <c r="G46" s="125" t="s">
        <v>403</v>
      </c>
      <c r="H46" s="121" t="s">
        <v>1</v>
      </c>
      <c r="I46" s="193">
        <f>I39*I12/60/I41</f>
        <v>8.7398785425101211E-2</v>
      </c>
      <c r="J46" s="165"/>
      <c r="K46" s="124"/>
    </row>
    <row r="47" spans="1:17" x14ac:dyDescent="0.25">
      <c r="A47" s="42" t="s">
        <v>404</v>
      </c>
      <c r="B47" s="7" t="s">
        <v>1</v>
      </c>
      <c r="C47" s="15" t="s">
        <v>400</v>
      </c>
      <c r="D47" s="10" t="s">
        <v>29</v>
      </c>
      <c r="E47" s="4"/>
      <c r="F47" s="148"/>
      <c r="G47" s="125" t="s">
        <v>404</v>
      </c>
      <c r="H47" s="121" t="s">
        <v>1</v>
      </c>
      <c r="I47" s="194">
        <f>FTR(I46,I19)*I42</f>
        <v>1.4628723144531248</v>
      </c>
      <c r="J47" s="165" t="s">
        <v>29</v>
      </c>
      <c r="K47" s="124"/>
    </row>
    <row r="48" spans="1:17" x14ac:dyDescent="0.25">
      <c r="A48" s="42" t="s">
        <v>311</v>
      </c>
      <c r="B48" s="7" t="s">
        <v>1</v>
      </c>
      <c r="C48" s="15" t="s">
        <v>405</v>
      </c>
      <c r="D48" s="10" t="s">
        <v>29</v>
      </c>
      <c r="E48" s="4" t="s">
        <v>444</v>
      </c>
      <c r="F48" s="148"/>
      <c r="G48" s="125" t="s">
        <v>311</v>
      </c>
      <c r="H48" s="121" t="s">
        <v>1</v>
      </c>
      <c r="I48" s="194">
        <f>IF(I47&gt;I45+I25/12,I47,I45+I25/12)</f>
        <v>1.8333333333333333</v>
      </c>
      <c r="J48" s="165" t="s">
        <v>29</v>
      </c>
      <c r="K48" s="124"/>
    </row>
    <row r="49" spans="1:11" x14ac:dyDescent="0.25">
      <c r="A49" s="42" t="s">
        <v>393</v>
      </c>
      <c r="B49" s="7" t="s">
        <v>1</v>
      </c>
      <c r="C49" s="63">
        <v>0.125</v>
      </c>
      <c r="D49" s="10"/>
      <c r="E49" s="6" t="s">
        <v>446</v>
      </c>
      <c r="F49" s="148"/>
      <c r="G49" s="125" t="s">
        <v>393</v>
      </c>
      <c r="H49" s="121" t="s">
        <v>1</v>
      </c>
      <c r="I49" s="193">
        <f>VpVt(I48/I42,I19)</f>
        <v>0.12195823711808887</v>
      </c>
      <c r="J49" s="165"/>
      <c r="K49" s="124"/>
    </row>
    <row r="50" spans="1:11" x14ac:dyDescent="0.25">
      <c r="A50" s="42" t="s">
        <v>307</v>
      </c>
      <c r="B50" s="7" t="s">
        <v>1</v>
      </c>
      <c r="C50" s="16" t="s">
        <v>395</v>
      </c>
      <c r="D50" s="10" t="s">
        <v>29</v>
      </c>
      <c r="E50" s="4"/>
      <c r="F50" s="148"/>
      <c r="G50" s="125" t="s">
        <v>307</v>
      </c>
      <c r="H50" s="121" t="s">
        <v>1</v>
      </c>
      <c r="I50" s="161">
        <f>I47+I26/12</f>
        <v>1.9628723144531248</v>
      </c>
      <c r="J50" s="165" t="s">
        <v>29</v>
      </c>
      <c r="K50" s="124"/>
    </row>
    <row r="51" spans="1:11" x14ac:dyDescent="0.25">
      <c r="A51" s="42" t="s">
        <v>430</v>
      </c>
      <c r="B51" s="7" t="s">
        <v>1</v>
      </c>
      <c r="C51" s="63">
        <v>0.13500000000000001</v>
      </c>
      <c r="D51" s="10"/>
      <c r="E51" s="6" t="s">
        <v>447</v>
      </c>
      <c r="F51" s="148"/>
      <c r="G51" s="125" t="s">
        <v>430</v>
      </c>
      <c r="H51" s="121" t="s">
        <v>1</v>
      </c>
      <c r="I51" s="193">
        <f>VpVt(I50/I42,I19)</f>
        <v>0.13479472321869304</v>
      </c>
      <c r="J51" s="165"/>
      <c r="K51" s="124"/>
    </row>
    <row r="52" spans="1:11" x14ac:dyDescent="0.25">
      <c r="A52" s="42" t="s">
        <v>308</v>
      </c>
      <c r="B52" s="7" t="s">
        <v>1</v>
      </c>
      <c r="C52" s="16" t="s">
        <v>396</v>
      </c>
      <c r="D52" s="10" t="s">
        <v>29</v>
      </c>
      <c r="E52" s="4"/>
      <c r="F52" s="148"/>
      <c r="G52" s="125" t="s">
        <v>308</v>
      </c>
      <c r="H52" s="121" t="s">
        <v>1</v>
      </c>
      <c r="I52" s="161">
        <f>I50+I27/12</f>
        <v>2.4628723144531248</v>
      </c>
      <c r="J52" s="165" t="s">
        <v>29</v>
      </c>
      <c r="K52" s="124"/>
    </row>
    <row r="53" spans="1:11" x14ac:dyDescent="0.25">
      <c r="A53" s="42" t="s">
        <v>309</v>
      </c>
      <c r="B53" s="7" t="s">
        <v>1</v>
      </c>
      <c r="C53" s="16" t="s">
        <v>397</v>
      </c>
      <c r="D53" s="10" t="s">
        <v>29</v>
      </c>
      <c r="E53" s="62"/>
      <c r="F53" s="195"/>
      <c r="G53" s="125" t="s">
        <v>309</v>
      </c>
      <c r="H53" s="121" t="s">
        <v>1</v>
      </c>
      <c r="I53" s="161">
        <f>I52+I28/12</f>
        <v>3.4628723144531248</v>
      </c>
      <c r="J53" s="165" t="s">
        <v>29</v>
      </c>
      <c r="K53" s="124"/>
    </row>
    <row r="54" spans="1:11" x14ac:dyDescent="0.25">
      <c r="A54" s="42" t="s">
        <v>427</v>
      </c>
      <c r="B54" s="7" t="s">
        <v>1</v>
      </c>
      <c r="C54" s="38">
        <v>0.29899999999999999</v>
      </c>
      <c r="D54" s="10"/>
      <c r="E54" s="6" t="s">
        <v>448</v>
      </c>
      <c r="F54" s="195"/>
      <c r="G54" s="125" t="s">
        <v>427</v>
      </c>
      <c r="H54" s="121" t="s">
        <v>1</v>
      </c>
      <c r="I54" s="162">
        <f>VpVt(I53/I42,I19)</f>
        <v>0.30434222005609057</v>
      </c>
      <c r="J54" s="165"/>
      <c r="K54" s="124"/>
    </row>
    <row r="55" spans="1:11" x14ac:dyDescent="0.25">
      <c r="A55" s="42" t="s">
        <v>398</v>
      </c>
      <c r="B55" s="7" t="s">
        <v>1</v>
      </c>
      <c r="C55" s="63" t="s">
        <v>411</v>
      </c>
      <c r="D55" s="10"/>
      <c r="E55" s="6" t="s">
        <v>449</v>
      </c>
      <c r="F55" s="195"/>
      <c r="G55" s="125" t="s">
        <v>398</v>
      </c>
      <c r="H55" s="121" t="s">
        <v>1</v>
      </c>
      <c r="I55" s="193">
        <f>I38*I13/60/I41+I49</f>
        <v>0.57573691458097687</v>
      </c>
      <c r="J55" s="165"/>
      <c r="K55" s="124"/>
    </row>
    <row r="56" spans="1:11" x14ac:dyDescent="0.25">
      <c r="A56" s="42" t="s">
        <v>304</v>
      </c>
      <c r="B56" s="7" t="s">
        <v>1</v>
      </c>
      <c r="C56" s="63" t="s">
        <v>412</v>
      </c>
      <c r="D56" s="10" t="s">
        <v>29</v>
      </c>
      <c r="E56" s="62"/>
      <c r="F56" s="195"/>
      <c r="G56" s="125" t="s">
        <v>304</v>
      </c>
      <c r="H56" s="121" t="s">
        <v>1</v>
      </c>
      <c r="I56" s="145">
        <f>FTR(I55,I19)*I42</f>
        <v>5.5858825683593754</v>
      </c>
      <c r="J56" s="165" t="s">
        <v>29</v>
      </c>
      <c r="K56" s="124"/>
    </row>
    <row r="57" spans="1:11" x14ac:dyDescent="0.25">
      <c r="A57" s="42" t="s">
        <v>413</v>
      </c>
      <c r="B57" s="7" t="s">
        <v>1</v>
      </c>
      <c r="C57" s="63" t="s">
        <v>414</v>
      </c>
      <c r="D57" s="10"/>
      <c r="E57" s="6" t="s">
        <v>450</v>
      </c>
      <c r="F57" s="195"/>
      <c r="G57" s="125" t="s">
        <v>413</v>
      </c>
      <c r="H57" s="121" t="s">
        <v>1</v>
      </c>
      <c r="I57" s="193">
        <f>VpVt(I56/I42,I19)</f>
        <v>0.5757300506690437</v>
      </c>
      <c r="J57" s="165"/>
      <c r="K57" s="124"/>
    </row>
    <row r="58" spans="1:11" x14ac:dyDescent="0.25">
      <c r="A58" s="42" t="s">
        <v>305</v>
      </c>
      <c r="B58" s="7" t="s">
        <v>1</v>
      </c>
      <c r="C58" s="16" t="s">
        <v>417</v>
      </c>
      <c r="D58" s="10" t="s">
        <v>29</v>
      </c>
      <c r="E58" s="62"/>
      <c r="F58" s="195"/>
      <c r="G58" s="125" t="s">
        <v>305</v>
      </c>
      <c r="H58" s="121" t="s">
        <v>1</v>
      </c>
      <c r="I58" s="161">
        <f>I57*I42</f>
        <v>5.757300506690437</v>
      </c>
      <c r="J58" s="165" t="s">
        <v>29</v>
      </c>
      <c r="K58" s="124"/>
    </row>
    <row r="59" spans="1:11" ht="15" customHeight="1" x14ac:dyDescent="0.25">
      <c r="A59" s="42" t="s">
        <v>310</v>
      </c>
      <c r="B59" s="7" t="s">
        <v>1</v>
      </c>
      <c r="C59" s="16" t="s">
        <v>416</v>
      </c>
      <c r="D59" s="10" t="s">
        <v>29</v>
      </c>
      <c r="E59" s="6" t="s">
        <v>418</v>
      </c>
      <c r="F59" s="195"/>
      <c r="G59" s="125" t="s">
        <v>310</v>
      </c>
      <c r="H59" s="121" t="s">
        <v>1</v>
      </c>
      <c r="I59" s="161">
        <f>I58+I29/12</f>
        <v>6.0906338400237701</v>
      </c>
      <c r="J59" s="165" t="s">
        <v>29</v>
      </c>
      <c r="K59" s="124"/>
    </row>
    <row r="60" spans="1:11" ht="15" customHeight="1" x14ac:dyDescent="0.25">
      <c r="A60" s="89" t="s">
        <v>421</v>
      </c>
      <c r="B60" s="89"/>
      <c r="C60" s="89"/>
      <c r="D60" s="89"/>
      <c r="E60" s="89"/>
      <c r="F60" s="196"/>
      <c r="G60" s="197" t="s">
        <v>421</v>
      </c>
      <c r="H60" s="197"/>
      <c r="I60" s="197"/>
      <c r="J60" s="197"/>
      <c r="K60" s="197"/>
    </row>
    <row r="61" spans="1:11" x14ac:dyDescent="0.25">
      <c r="A61" s="42" t="s">
        <v>321</v>
      </c>
      <c r="B61" s="7" t="s">
        <v>1</v>
      </c>
      <c r="C61" s="16">
        <v>10</v>
      </c>
      <c r="D61" s="10" t="s">
        <v>316</v>
      </c>
      <c r="E61" s="39"/>
      <c r="F61" s="196"/>
      <c r="G61" s="125" t="s">
        <v>321</v>
      </c>
      <c r="H61" s="121" t="s">
        <v>1</v>
      </c>
      <c r="I61" s="161">
        <v>10</v>
      </c>
      <c r="J61" s="165" t="s">
        <v>316</v>
      </c>
      <c r="K61" s="124"/>
    </row>
    <row r="62" spans="1:11" x14ac:dyDescent="0.25">
      <c r="A62" s="42" t="s">
        <v>317</v>
      </c>
      <c r="B62" s="7" t="s">
        <v>1</v>
      </c>
      <c r="C62" s="16" t="s">
        <v>419</v>
      </c>
      <c r="D62" s="39" t="s">
        <v>124</v>
      </c>
      <c r="E62" s="39"/>
      <c r="F62" s="196"/>
      <c r="G62" s="125" t="s">
        <v>317</v>
      </c>
      <c r="H62" s="121" t="s">
        <v>1</v>
      </c>
      <c r="I62" s="161">
        <f>(I56-I47)*12/I61</f>
        <v>4.9476123046875005</v>
      </c>
      <c r="J62" s="167" t="s">
        <v>124</v>
      </c>
      <c r="K62" s="124"/>
    </row>
    <row r="63" spans="1:11" x14ac:dyDescent="0.25">
      <c r="A63" s="42" t="s">
        <v>318</v>
      </c>
      <c r="B63" s="7" t="s">
        <v>1</v>
      </c>
      <c r="C63" s="16">
        <v>10</v>
      </c>
      <c r="D63" s="39" t="s">
        <v>124</v>
      </c>
      <c r="E63" s="6"/>
      <c r="F63" s="135"/>
      <c r="G63" s="125" t="s">
        <v>318</v>
      </c>
      <c r="H63" s="121" t="s">
        <v>1</v>
      </c>
      <c r="I63" s="161">
        <f>I13</f>
        <v>10</v>
      </c>
      <c r="J63" s="167" t="s">
        <v>124</v>
      </c>
      <c r="K63" s="124"/>
    </row>
    <row r="64" spans="1:11" x14ac:dyDescent="0.25">
      <c r="A64" s="42" t="s">
        <v>319</v>
      </c>
      <c r="B64" s="7"/>
      <c r="C64" s="67" t="s">
        <v>391</v>
      </c>
      <c r="D64" s="56"/>
      <c r="E64" s="6" t="s">
        <v>420</v>
      </c>
      <c r="F64" s="135"/>
      <c r="G64" s="125" t="s">
        <v>319</v>
      </c>
      <c r="H64" s="121"/>
      <c r="I64" s="180" t="str">
        <f>IF(I62&lt;I63,"Acceptable","Unacceptable")</f>
        <v>Acceptable</v>
      </c>
      <c r="J64" s="166"/>
      <c r="K64" s="124"/>
    </row>
    <row r="65" spans="1:11" ht="15" customHeight="1" x14ac:dyDescent="0.25">
      <c r="A65" s="42" t="s">
        <v>322</v>
      </c>
      <c r="B65" s="7" t="s">
        <v>1</v>
      </c>
      <c r="C65" s="16" t="s">
        <v>423</v>
      </c>
      <c r="D65" s="39" t="s">
        <v>320</v>
      </c>
      <c r="E65" s="63"/>
      <c r="F65" s="198"/>
      <c r="G65" s="125" t="s">
        <v>322</v>
      </c>
      <c r="H65" s="121" t="s">
        <v>1</v>
      </c>
      <c r="I65" s="161">
        <f>I39/60/I49/(3.14159*($I$42/2)^2)</f>
        <v>2.1091147463089359</v>
      </c>
      <c r="J65" s="167" t="s">
        <v>320</v>
      </c>
      <c r="K65" s="124"/>
    </row>
    <row r="66" spans="1:11" ht="15" customHeight="1" x14ac:dyDescent="0.25">
      <c r="A66" s="89" t="s">
        <v>422</v>
      </c>
      <c r="B66" s="89"/>
      <c r="C66" s="89"/>
      <c r="D66" s="89"/>
      <c r="E66" s="89"/>
      <c r="F66" s="198"/>
      <c r="G66" s="197" t="s">
        <v>422</v>
      </c>
      <c r="H66" s="197"/>
      <c r="I66" s="197"/>
      <c r="J66" s="197"/>
      <c r="K66" s="197"/>
    </row>
    <row r="67" spans="1:11" x14ac:dyDescent="0.25">
      <c r="A67" s="42" t="s">
        <v>321</v>
      </c>
      <c r="B67" s="7" t="s">
        <v>1</v>
      </c>
      <c r="C67" s="16">
        <v>10</v>
      </c>
      <c r="D67" s="10" t="s">
        <v>316</v>
      </c>
      <c r="E67" s="63"/>
      <c r="F67" s="198"/>
      <c r="G67" s="125" t="s">
        <v>321</v>
      </c>
      <c r="H67" s="121" t="s">
        <v>1</v>
      </c>
      <c r="I67" s="161">
        <v>10</v>
      </c>
      <c r="J67" s="165" t="s">
        <v>316</v>
      </c>
      <c r="K67" s="124"/>
    </row>
    <row r="68" spans="1:11" ht="15" customHeight="1" x14ac:dyDescent="0.25">
      <c r="A68" s="42" t="s">
        <v>317</v>
      </c>
      <c r="B68" s="7" t="s">
        <v>1</v>
      </c>
      <c r="C68" s="16" t="s">
        <v>424</v>
      </c>
      <c r="D68" s="39" t="s">
        <v>124</v>
      </c>
      <c r="E68" s="13"/>
      <c r="F68" s="198"/>
      <c r="G68" s="125" t="s">
        <v>317</v>
      </c>
      <c r="H68" s="121" t="s">
        <v>1</v>
      </c>
      <c r="I68" s="161">
        <f>(I48*12)/I67</f>
        <v>2.2000000000000002</v>
      </c>
      <c r="J68" s="167" t="s">
        <v>124</v>
      </c>
      <c r="K68" s="124"/>
    </row>
    <row r="69" spans="1:11" x14ac:dyDescent="0.25">
      <c r="A69" s="42" t="s">
        <v>318</v>
      </c>
      <c r="B69" s="7" t="s">
        <v>1</v>
      </c>
      <c r="C69" s="16">
        <v>10</v>
      </c>
      <c r="D69" s="39" t="s">
        <v>124</v>
      </c>
      <c r="E69" s="56"/>
      <c r="F69" s="199"/>
      <c r="G69" s="125" t="s">
        <v>318</v>
      </c>
      <c r="H69" s="121" t="s">
        <v>1</v>
      </c>
      <c r="I69" s="161">
        <f>I12</f>
        <v>10</v>
      </c>
      <c r="J69" s="167" t="s">
        <v>124</v>
      </c>
      <c r="K69" s="124"/>
    </row>
    <row r="70" spans="1:11" x14ac:dyDescent="0.25">
      <c r="A70" s="42" t="s">
        <v>331</v>
      </c>
      <c r="B70" s="7"/>
      <c r="C70" s="67" t="s">
        <v>391</v>
      </c>
      <c r="D70" s="56"/>
      <c r="E70" s="56"/>
      <c r="F70" s="199"/>
      <c r="G70" s="125" t="s">
        <v>331</v>
      </c>
      <c r="H70" s="121"/>
      <c r="I70" s="180" t="str">
        <f>IF(I68&lt;I69,"Acceptable","Unacceptable")</f>
        <v>Acceptable</v>
      </c>
      <c r="J70" s="166"/>
      <c r="K70" s="124"/>
    </row>
    <row r="71" spans="1:11" ht="18" x14ac:dyDescent="0.25">
      <c r="A71" s="42" t="s">
        <v>322</v>
      </c>
      <c r="B71" s="7" t="s">
        <v>1</v>
      </c>
      <c r="C71" s="16" t="s">
        <v>425</v>
      </c>
      <c r="D71" s="39" t="s">
        <v>320</v>
      </c>
      <c r="E71" s="63"/>
      <c r="F71" s="148"/>
      <c r="G71" s="125" t="s">
        <v>322</v>
      </c>
      <c r="H71" s="121" t="s">
        <v>1</v>
      </c>
      <c r="I71" s="161">
        <f>$I$38/3600/VpVt($I$56/$I$42,$I$19)-VpVt($I$47/$I$42,$I$19)/(3.14159*($I$42/2)^2)</f>
        <v>3.0353596997554377</v>
      </c>
      <c r="J71" s="167" t="s">
        <v>320</v>
      </c>
      <c r="K71" s="124"/>
    </row>
    <row r="72" spans="1:11" x14ac:dyDescent="0.25">
      <c r="A72" s="90" t="s">
        <v>323</v>
      </c>
      <c r="B72" s="90"/>
      <c r="C72" s="90"/>
      <c r="D72" s="90"/>
      <c r="E72" s="90"/>
      <c r="F72" s="148"/>
      <c r="G72" s="197" t="s">
        <v>323</v>
      </c>
      <c r="H72" s="197"/>
      <c r="I72" s="197"/>
      <c r="J72" s="197"/>
      <c r="K72" s="197"/>
    </row>
    <row r="73" spans="1:11" x14ac:dyDescent="0.25">
      <c r="A73" s="8" t="s">
        <v>327</v>
      </c>
      <c r="B73" s="7" t="s">
        <v>1</v>
      </c>
      <c r="C73" s="16" t="s">
        <v>431</v>
      </c>
      <c r="D73" s="10" t="s">
        <v>124</v>
      </c>
      <c r="E73" s="64"/>
      <c r="F73" s="148"/>
      <c r="G73" s="126" t="s">
        <v>327</v>
      </c>
      <c r="H73" s="121" t="s">
        <v>1</v>
      </c>
      <c r="I73" s="161">
        <f>I51*60*I41/I39</f>
        <v>15.422951539093075</v>
      </c>
      <c r="J73" s="165" t="s">
        <v>124</v>
      </c>
      <c r="K73" s="124"/>
    </row>
    <row r="74" spans="1:11" x14ac:dyDescent="0.25">
      <c r="A74" s="42" t="s">
        <v>325</v>
      </c>
      <c r="B74" s="7" t="s">
        <v>1</v>
      </c>
      <c r="C74" s="16" t="s">
        <v>432</v>
      </c>
      <c r="D74" s="39" t="s">
        <v>124</v>
      </c>
      <c r="E74" s="65"/>
      <c r="F74" s="200"/>
      <c r="G74" s="125" t="s">
        <v>325</v>
      </c>
      <c r="H74" s="121" t="s">
        <v>1</v>
      </c>
      <c r="I74" s="161">
        <f>I50/(I67/12)</f>
        <v>2.3554467773437495</v>
      </c>
      <c r="J74" s="167" t="s">
        <v>124</v>
      </c>
      <c r="K74" s="124"/>
    </row>
    <row r="75" spans="1:11" x14ac:dyDescent="0.25">
      <c r="A75" s="42" t="s">
        <v>329</v>
      </c>
      <c r="B75" s="7" t="s">
        <v>1</v>
      </c>
      <c r="C75" s="67" t="s">
        <v>426</v>
      </c>
      <c r="D75" s="39"/>
      <c r="E75" s="39"/>
      <c r="F75" s="196"/>
      <c r="G75" s="125" t="s">
        <v>329</v>
      </c>
      <c r="H75" s="121" t="s">
        <v>1</v>
      </c>
      <c r="I75" s="180" t="str">
        <f>IF(I74&gt;I73,"Unacceptable","Acceptable")</f>
        <v>Acceptable</v>
      </c>
      <c r="J75" s="167"/>
      <c r="K75" s="124"/>
    </row>
    <row r="76" spans="1:11" x14ac:dyDescent="0.25">
      <c r="A76" s="42"/>
      <c r="B76" s="7"/>
      <c r="C76" s="56"/>
      <c r="D76" s="56"/>
      <c r="E76" s="39"/>
      <c r="F76" s="196"/>
      <c r="G76" s="125"/>
      <c r="H76" s="121"/>
      <c r="I76" s="166"/>
      <c r="J76" s="166"/>
      <c r="K76" s="124"/>
    </row>
    <row r="77" spans="1:11" x14ac:dyDescent="0.25">
      <c r="A77" s="8" t="s">
        <v>324</v>
      </c>
      <c r="B77" s="7" t="s">
        <v>1</v>
      </c>
      <c r="C77" s="16" t="s">
        <v>428</v>
      </c>
      <c r="D77" s="10" t="s">
        <v>124</v>
      </c>
      <c r="E77" s="39"/>
      <c r="F77" s="196"/>
      <c r="G77" s="126" t="s">
        <v>324</v>
      </c>
      <c r="H77" s="121" t="s">
        <v>1</v>
      </c>
      <c r="I77" s="161">
        <f>(VpVt($I$53/$I$42,$I$19)-VpVt($I$47/$I$42,$I$19))*60*$I$41/$I$38</f>
        <v>4.7802398986138712</v>
      </c>
      <c r="J77" s="165" t="s">
        <v>124</v>
      </c>
      <c r="K77" s="124"/>
    </row>
    <row r="78" spans="1:11" x14ac:dyDescent="0.25">
      <c r="A78" s="42" t="s">
        <v>325</v>
      </c>
      <c r="B78" s="7" t="s">
        <v>1</v>
      </c>
      <c r="C78" s="16" t="s">
        <v>429</v>
      </c>
      <c r="D78" s="39" t="s">
        <v>124</v>
      </c>
      <c r="E78" s="39"/>
      <c r="F78" s="196"/>
      <c r="G78" s="125" t="s">
        <v>325</v>
      </c>
      <c r="H78" s="121" t="s">
        <v>1</v>
      </c>
      <c r="I78" s="161">
        <f>(I53-I48 )/10*12</f>
        <v>1.9554467773437501</v>
      </c>
      <c r="J78" s="167" t="s">
        <v>124</v>
      </c>
      <c r="K78" s="124"/>
    </row>
    <row r="79" spans="1:11" x14ac:dyDescent="0.25">
      <c r="A79" s="42" t="s">
        <v>326</v>
      </c>
      <c r="B79" s="7" t="s">
        <v>1</v>
      </c>
      <c r="C79" s="67" t="s">
        <v>391</v>
      </c>
      <c r="D79" s="39"/>
      <c r="E79" s="64"/>
      <c r="F79" s="201"/>
      <c r="G79" s="125" t="s">
        <v>326</v>
      </c>
      <c r="H79" s="121" t="s">
        <v>1</v>
      </c>
      <c r="I79" s="180" t="str">
        <f>IF(I78&gt;I77,"Unacceptable","Acceptable")</f>
        <v>Acceptable</v>
      </c>
      <c r="J79" s="167"/>
      <c r="K79" s="124"/>
    </row>
    <row r="80" spans="1:11" x14ac:dyDescent="0.25">
      <c r="A80" s="42"/>
      <c r="B80" s="7"/>
      <c r="C80" s="56"/>
      <c r="D80" s="56"/>
      <c r="E80" s="6"/>
      <c r="F80" s="135"/>
      <c r="G80" s="125"/>
      <c r="H80" s="121"/>
      <c r="I80" s="166"/>
      <c r="J80" s="166"/>
      <c r="K80" s="124"/>
    </row>
    <row r="81" spans="1:20" x14ac:dyDescent="0.25">
      <c r="A81" s="8" t="s">
        <v>328</v>
      </c>
      <c r="B81" s="7" t="s">
        <v>1</v>
      </c>
      <c r="C81" s="16" t="s">
        <v>435</v>
      </c>
      <c r="D81" s="10" t="s">
        <v>124</v>
      </c>
      <c r="E81" s="6"/>
      <c r="F81" s="135"/>
      <c r="G81" s="126" t="s">
        <v>328</v>
      </c>
      <c r="H81" s="121" t="s">
        <v>1</v>
      </c>
      <c r="I81" s="161">
        <f>(I55-I51)*60*I41/I38</f>
        <v>9.7171201129948663</v>
      </c>
      <c r="J81" s="165" t="s">
        <v>124</v>
      </c>
      <c r="K81" s="124"/>
    </row>
    <row r="82" spans="1:20" x14ac:dyDescent="0.25">
      <c r="A82" s="42" t="s">
        <v>325</v>
      </c>
      <c r="B82" s="7" t="s">
        <v>1</v>
      </c>
      <c r="C82" s="16" t="s">
        <v>434</v>
      </c>
      <c r="D82" s="39" t="s">
        <v>124</v>
      </c>
      <c r="E82" s="6"/>
      <c r="F82" s="135"/>
      <c r="G82" s="125" t="s">
        <v>325</v>
      </c>
      <c r="H82" s="121" t="s">
        <v>1</v>
      </c>
      <c r="I82" s="161">
        <f>($I$56-$I$50 )/10*12</f>
        <v>4.3476123046874999</v>
      </c>
      <c r="J82" s="167" t="s">
        <v>124</v>
      </c>
      <c r="K82" s="124"/>
    </row>
    <row r="83" spans="1:20" x14ac:dyDescent="0.25">
      <c r="A83" s="42" t="s">
        <v>326</v>
      </c>
      <c r="B83" s="7" t="s">
        <v>1</v>
      </c>
      <c r="C83" s="67" t="s">
        <v>391</v>
      </c>
      <c r="D83" s="39"/>
      <c r="E83" s="6"/>
      <c r="F83" s="135"/>
      <c r="G83" s="125" t="s">
        <v>326</v>
      </c>
      <c r="H83" s="121" t="s">
        <v>1</v>
      </c>
      <c r="I83" s="180" t="str">
        <f>IF(I82&gt;I81,"Unacceptable","Acceptable")</f>
        <v>Acceptable</v>
      </c>
      <c r="J83" s="167"/>
      <c r="K83" s="124"/>
    </row>
    <row r="84" spans="1:20" ht="15" customHeight="1" x14ac:dyDescent="0.25">
      <c r="A84" s="42"/>
      <c r="B84" s="7"/>
      <c r="C84" s="56"/>
      <c r="D84" s="56"/>
      <c r="E84" s="6"/>
      <c r="F84" s="135"/>
      <c r="G84" s="125"/>
      <c r="H84" s="121"/>
      <c r="I84" s="166"/>
      <c r="J84" s="166"/>
      <c r="K84" s="124"/>
    </row>
    <row r="85" spans="1:20" x14ac:dyDescent="0.25">
      <c r="A85" s="8" t="s">
        <v>330</v>
      </c>
      <c r="B85" s="7" t="s">
        <v>1</v>
      </c>
      <c r="C85" s="16" t="s">
        <v>433</v>
      </c>
      <c r="D85" s="10" t="s">
        <v>124</v>
      </c>
      <c r="E85" s="64"/>
      <c r="F85" s="201"/>
      <c r="G85" s="126" t="s">
        <v>330</v>
      </c>
      <c r="H85" s="121" t="s">
        <v>1</v>
      </c>
      <c r="I85" s="161">
        <f>(I57-I49)*60*I41/I38</f>
        <v>9.9998487387734585</v>
      </c>
      <c r="J85" s="165" t="s">
        <v>124</v>
      </c>
      <c r="K85" s="124"/>
    </row>
    <row r="86" spans="1:20" x14ac:dyDescent="0.25">
      <c r="A86" s="42" t="s">
        <v>325</v>
      </c>
      <c r="B86" s="7" t="s">
        <v>1</v>
      </c>
      <c r="C86" s="16" t="s">
        <v>436</v>
      </c>
      <c r="D86" s="39" t="s">
        <v>124</v>
      </c>
      <c r="E86" s="6"/>
      <c r="F86" s="135"/>
      <c r="G86" s="125" t="s">
        <v>325</v>
      </c>
      <c r="H86" s="121" t="s">
        <v>1</v>
      </c>
      <c r="I86" s="161">
        <f>(I58-I48 )/10*12</f>
        <v>4.7087606080285251</v>
      </c>
      <c r="J86" s="167" t="s">
        <v>124</v>
      </c>
      <c r="K86" s="124"/>
    </row>
    <row r="87" spans="1:20" x14ac:dyDescent="0.25">
      <c r="A87" s="42" t="s">
        <v>326</v>
      </c>
      <c r="B87" s="7" t="s">
        <v>1</v>
      </c>
      <c r="C87" s="67" t="s">
        <v>391</v>
      </c>
      <c r="D87" s="39"/>
      <c r="E87" s="6"/>
      <c r="F87" s="135"/>
      <c r="G87" s="125" t="s">
        <v>326</v>
      </c>
      <c r="H87" s="121" t="s">
        <v>1</v>
      </c>
      <c r="I87" s="180" t="str">
        <f>IF(I86&gt;I85,"Unacceptable","Acceptable")</f>
        <v>Acceptable</v>
      </c>
      <c r="J87" s="167"/>
      <c r="K87" s="124"/>
    </row>
    <row r="88" spans="1:20" x14ac:dyDescent="0.25">
      <c r="A88" s="6" t="s">
        <v>132</v>
      </c>
      <c r="B88" s="21"/>
      <c r="C88" s="21"/>
      <c r="D88" s="6"/>
      <c r="E88" s="6"/>
      <c r="F88" s="135"/>
      <c r="G88" s="197" t="s">
        <v>132</v>
      </c>
      <c r="H88" s="197"/>
      <c r="I88" s="197"/>
      <c r="J88" s="197"/>
      <c r="K88" s="197"/>
    </row>
    <row r="89" spans="1:20" x14ac:dyDescent="0.25">
      <c r="A89" s="8" t="s">
        <v>335</v>
      </c>
      <c r="B89" s="7" t="s">
        <v>1</v>
      </c>
      <c r="C89" s="16" t="s">
        <v>437</v>
      </c>
      <c r="D89" s="6" t="s">
        <v>29</v>
      </c>
      <c r="E89" s="6"/>
      <c r="F89" s="135"/>
      <c r="G89" s="126" t="s">
        <v>335</v>
      </c>
      <c r="H89" s="121" t="s">
        <v>1</v>
      </c>
      <c r="I89" s="161">
        <f>0.5*I42</f>
        <v>5</v>
      </c>
      <c r="J89" s="124" t="s">
        <v>29</v>
      </c>
      <c r="K89" s="124"/>
    </row>
    <row r="90" spans="1:20" x14ac:dyDescent="0.25">
      <c r="A90" s="8" t="s">
        <v>336</v>
      </c>
      <c r="B90" s="7" t="s">
        <v>1</v>
      </c>
      <c r="C90" s="16" t="s">
        <v>438</v>
      </c>
      <c r="D90" s="6" t="s">
        <v>133</v>
      </c>
      <c r="E90" s="6"/>
      <c r="F90" s="135"/>
      <c r="G90" s="126" t="s">
        <v>336</v>
      </c>
      <c r="H90" s="121" t="s">
        <v>1</v>
      </c>
      <c r="I90" s="161">
        <f>2*I42/4</f>
        <v>5</v>
      </c>
      <c r="J90" s="124" t="s">
        <v>133</v>
      </c>
      <c r="K90" s="124"/>
    </row>
    <row r="91" spans="1:20" x14ac:dyDescent="0.25">
      <c r="A91" s="8" t="s">
        <v>339</v>
      </c>
      <c r="B91" s="7" t="s">
        <v>1</v>
      </c>
      <c r="C91" s="16" t="s">
        <v>439</v>
      </c>
      <c r="D91" s="6" t="s">
        <v>133</v>
      </c>
      <c r="E91" s="6"/>
      <c r="F91" s="196"/>
      <c r="G91" s="126" t="s">
        <v>339</v>
      </c>
      <c r="H91" s="121" t="s">
        <v>1</v>
      </c>
      <c r="I91" s="161">
        <f>0.25*I42</f>
        <v>2.5</v>
      </c>
      <c r="J91" s="124" t="s">
        <v>133</v>
      </c>
      <c r="K91" s="124"/>
      <c r="L91" s="135"/>
      <c r="M91" s="135"/>
      <c r="N91" s="135"/>
      <c r="O91" s="135"/>
      <c r="P91" s="135"/>
      <c r="Q91" s="135"/>
      <c r="R91" s="135"/>
      <c r="S91" s="135"/>
      <c r="T91" s="135"/>
    </row>
    <row r="92" spans="1:20" x14ac:dyDescent="0.25">
      <c r="A92" s="8" t="s">
        <v>337</v>
      </c>
      <c r="B92" s="7" t="s">
        <v>1</v>
      </c>
      <c r="C92" s="16" t="s">
        <v>440</v>
      </c>
      <c r="D92" s="6" t="s">
        <v>133</v>
      </c>
      <c r="E92" s="6"/>
      <c r="F92" s="196"/>
      <c r="G92" s="126" t="s">
        <v>337</v>
      </c>
      <c r="H92" s="121" t="s">
        <v>1</v>
      </c>
      <c r="I92" s="161">
        <f>I42*I19</f>
        <v>30</v>
      </c>
      <c r="J92" s="124" t="s">
        <v>133</v>
      </c>
      <c r="K92" s="124"/>
      <c r="L92" s="135"/>
      <c r="M92" s="135"/>
      <c r="N92" s="135"/>
      <c r="O92" s="135"/>
      <c r="P92" s="135"/>
      <c r="Q92" s="135"/>
      <c r="R92" s="135"/>
      <c r="S92" s="135"/>
      <c r="T92" s="135"/>
    </row>
    <row r="93" spans="1:20" ht="15" customHeight="1" x14ac:dyDescent="0.25">
      <c r="A93" s="8" t="s">
        <v>338</v>
      </c>
      <c r="B93" s="7" t="s">
        <v>1</v>
      </c>
      <c r="C93" s="16" t="s">
        <v>441</v>
      </c>
      <c r="D93" s="6" t="s">
        <v>29</v>
      </c>
      <c r="E93" s="6"/>
      <c r="F93" s="135"/>
      <c r="G93" s="126" t="s">
        <v>338</v>
      </c>
      <c r="H93" s="121" t="s">
        <v>1</v>
      </c>
      <c r="I93" s="161">
        <f>SUM(I89:I92)</f>
        <v>42.5</v>
      </c>
      <c r="J93" s="124" t="s">
        <v>29</v>
      </c>
      <c r="K93" s="124"/>
      <c r="L93" s="135"/>
      <c r="M93" s="164"/>
      <c r="N93" s="164"/>
      <c r="O93" s="135"/>
      <c r="P93" s="135"/>
      <c r="Q93" s="135"/>
      <c r="R93" s="135"/>
      <c r="S93" s="135"/>
      <c r="T93" s="135"/>
    </row>
    <row r="94" spans="1:20" x14ac:dyDescent="0.25">
      <c r="A94" s="6" t="s">
        <v>134</v>
      </c>
      <c r="B94" s="33"/>
      <c r="C94" s="33"/>
      <c r="D94" s="33"/>
      <c r="E94" s="6"/>
      <c r="F94" s="135"/>
      <c r="G94" s="197" t="s">
        <v>134</v>
      </c>
      <c r="H94" s="197"/>
      <c r="I94" s="197"/>
      <c r="J94" s="197"/>
      <c r="K94" s="197"/>
      <c r="L94" s="135"/>
      <c r="M94" s="164"/>
      <c r="N94" s="164"/>
      <c r="O94" s="135"/>
      <c r="P94" s="135"/>
      <c r="Q94" s="135"/>
      <c r="R94" s="135"/>
      <c r="S94" s="135"/>
      <c r="T94" s="135"/>
    </row>
    <row r="95" spans="1:20" ht="15" customHeight="1" x14ac:dyDescent="0.25">
      <c r="A95" s="42" t="s">
        <v>340</v>
      </c>
      <c r="B95" s="7" t="s">
        <v>1</v>
      </c>
      <c r="C95" s="16" t="s">
        <v>442</v>
      </c>
      <c r="D95" s="10" t="s">
        <v>341</v>
      </c>
      <c r="E95" s="6"/>
      <c r="F95" s="135"/>
      <c r="G95" s="125" t="s">
        <v>340</v>
      </c>
      <c r="H95" s="121" t="s">
        <v>1</v>
      </c>
      <c r="I95" s="161">
        <f>1488*32.2*(I11*0.00003937/12)^2*(I33-I31)/18/I32</f>
        <v>1.3836542422693139</v>
      </c>
      <c r="J95" s="165" t="s">
        <v>341</v>
      </c>
      <c r="K95" s="124"/>
      <c r="L95" s="202"/>
      <c r="M95" s="202"/>
      <c r="N95" s="202"/>
      <c r="O95" s="202"/>
      <c r="P95" s="202"/>
      <c r="Q95" s="202"/>
      <c r="R95" s="202"/>
      <c r="S95" s="202"/>
      <c r="T95" s="202"/>
    </row>
    <row r="96" spans="1:20" ht="18" x14ac:dyDescent="0.25">
      <c r="A96" s="8" t="s">
        <v>342</v>
      </c>
      <c r="B96" s="7" t="s">
        <v>1</v>
      </c>
      <c r="C96" s="66" t="s">
        <v>443</v>
      </c>
      <c r="D96" s="10" t="s">
        <v>341</v>
      </c>
      <c r="E96" s="6"/>
      <c r="F96" s="135"/>
      <c r="G96" s="126" t="s">
        <v>342</v>
      </c>
      <c r="H96" s="121" t="s">
        <v>1</v>
      </c>
      <c r="I96" s="203">
        <f>I95/SQRT((I33-I31)/I31)</f>
        <v>0.18579663695020981</v>
      </c>
      <c r="J96" s="165" t="s">
        <v>341</v>
      </c>
      <c r="K96" s="124"/>
      <c r="L96" s="202"/>
      <c r="M96" s="202"/>
      <c r="N96" s="202"/>
      <c r="O96" s="202"/>
      <c r="P96" s="202"/>
      <c r="Q96" s="202"/>
      <c r="R96" s="202"/>
      <c r="S96" s="202"/>
      <c r="T96" s="202"/>
    </row>
    <row r="97" spans="1:20" x14ac:dyDescent="0.25">
      <c r="A97" s="8" t="s">
        <v>343</v>
      </c>
      <c r="B97" s="7" t="s">
        <v>1</v>
      </c>
      <c r="C97" s="66">
        <v>0.36</v>
      </c>
      <c r="D97" s="10" t="s">
        <v>341</v>
      </c>
      <c r="E97" s="6"/>
      <c r="F97" s="135"/>
      <c r="G97" s="126" t="s">
        <v>343</v>
      </c>
      <c r="H97" s="121" t="s">
        <v>1</v>
      </c>
      <c r="I97" s="203">
        <v>0.36</v>
      </c>
      <c r="J97" s="165" t="s">
        <v>341</v>
      </c>
      <c r="K97" s="124"/>
      <c r="L97" s="202"/>
      <c r="M97" s="202"/>
      <c r="N97" s="202"/>
      <c r="O97" s="202"/>
      <c r="P97" s="202"/>
      <c r="Q97" s="202"/>
      <c r="R97" s="202"/>
      <c r="S97" s="202"/>
      <c r="T97" s="202"/>
    </row>
    <row r="98" spans="1:20" x14ac:dyDescent="0.25">
      <c r="A98" s="42" t="s">
        <v>344</v>
      </c>
      <c r="B98" s="7"/>
      <c r="C98" s="67" t="s">
        <v>391</v>
      </c>
      <c r="D98" s="6"/>
      <c r="E98" s="6"/>
      <c r="F98" s="135"/>
      <c r="G98" s="125" t="s">
        <v>344</v>
      </c>
      <c r="H98" s="121"/>
      <c r="I98" s="180" t="str">
        <f>IF(I96&lt;I97,"Acceptable","Unacceptable")</f>
        <v>Acceptable</v>
      </c>
      <c r="J98" s="124"/>
      <c r="K98" s="124"/>
      <c r="L98" s="135"/>
      <c r="M98" s="164"/>
      <c r="N98" s="164"/>
      <c r="O98" s="135"/>
      <c r="P98" s="135"/>
      <c r="Q98" s="135"/>
      <c r="R98" s="135"/>
      <c r="S98" s="135"/>
      <c r="T98" s="135"/>
    </row>
    <row r="99" spans="1:20" x14ac:dyDescent="0.25">
      <c r="A99" s="8"/>
      <c r="B99" s="7"/>
      <c r="C99" s="59"/>
      <c r="D99" s="6"/>
      <c r="E99" s="6"/>
      <c r="F99" s="135"/>
      <c r="G99" s="126"/>
      <c r="H99" s="121"/>
      <c r="I99" s="192"/>
      <c r="J99" s="124"/>
      <c r="K99" s="124"/>
      <c r="L99" s="135"/>
      <c r="M99" s="164"/>
      <c r="N99" s="164"/>
      <c r="O99" s="135"/>
      <c r="P99" s="135"/>
      <c r="Q99" s="135"/>
      <c r="R99" s="135"/>
      <c r="S99" s="135"/>
      <c r="T99" s="135"/>
    </row>
    <row r="100" spans="1:20" x14ac:dyDescent="0.25">
      <c r="A100" s="135"/>
      <c r="B100" s="164"/>
      <c r="C100" s="164"/>
      <c r="D100" s="135"/>
      <c r="E100" s="135"/>
      <c r="F100" s="135"/>
    </row>
    <row r="102" spans="1:20" x14ac:dyDescent="0.25">
      <c r="A102" s="100" t="s">
        <v>504</v>
      </c>
    </row>
    <row r="103" spans="1:20" x14ac:dyDescent="0.25">
      <c r="A103" s="100" t="s">
        <v>505</v>
      </c>
    </row>
    <row r="104" spans="1:20" x14ac:dyDescent="0.25">
      <c r="A104" s="100" t="s">
        <v>506</v>
      </c>
    </row>
    <row r="105" spans="1:20" x14ac:dyDescent="0.25">
      <c r="A105" s="100" t="s">
        <v>507</v>
      </c>
    </row>
    <row r="106" spans="1:20" x14ac:dyDescent="0.25">
      <c r="A106" s="101" t="s">
        <v>508</v>
      </c>
    </row>
  </sheetData>
  <sheetProtection password="E156" sheet="1" objects="1" scenarios="1"/>
  <mergeCells count="11">
    <mergeCell ref="G88:K88"/>
    <mergeCell ref="G94:K94"/>
    <mergeCell ref="G5:J5"/>
    <mergeCell ref="A5:D5"/>
    <mergeCell ref="L95:T97"/>
    <mergeCell ref="A60:E60"/>
    <mergeCell ref="A66:E66"/>
    <mergeCell ref="A72:E72"/>
    <mergeCell ref="G60:K60"/>
    <mergeCell ref="G66:K66"/>
    <mergeCell ref="G72:K72"/>
  </mergeCells>
  <conditionalFormatting sqref="I70 I64">
    <cfRule type="cellIs" dxfId="7" priority="17" operator="equal">
      <formula>"Unacceptable"</formula>
    </cfRule>
  </conditionalFormatting>
  <conditionalFormatting sqref="I79">
    <cfRule type="cellIs" dxfId="6" priority="16" operator="equal">
      <formula>"Unacceptable"</formula>
    </cfRule>
  </conditionalFormatting>
  <conditionalFormatting sqref="I65">
    <cfRule type="cellIs" dxfId="5" priority="15" operator="greaterThan">
      <formula>3</formula>
    </cfRule>
  </conditionalFormatting>
  <conditionalFormatting sqref="I71">
    <cfRule type="cellIs" dxfId="4" priority="14" operator="greaterThan">
      <formula>3</formula>
    </cfRule>
  </conditionalFormatting>
  <conditionalFormatting sqref="I75">
    <cfRule type="cellIs" dxfId="3" priority="13" operator="equal">
      <formula>"Unacceptable"</formula>
    </cfRule>
  </conditionalFormatting>
  <conditionalFormatting sqref="I83">
    <cfRule type="cellIs" dxfId="2" priority="12" operator="equal">
      <formula>"Unacceptable"</formula>
    </cfRule>
  </conditionalFormatting>
  <conditionalFormatting sqref="I87">
    <cfRule type="cellIs" dxfId="1" priority="11" operator="equal">
      <formula>"Unacceptable"</formula>
    </cfRule>
  </conditionalFormatting>
  <conditionalFormatting sqref="I98">
    <cfRule type="cellIs" dxfId="0" priority="10" operator="equal">
      <formula>"Unacceptable"</formula>
    </cfRule>
  </conditionalFormatting>
  <pageMargins left="0.7" right="0.7" top="0.75" bottom="0.75" header="0.3" footer="0.3"/>
  <pageSetup orientation="portrait" r:id="rId1"/>
  <ignoredErrors>
    <ignoredError sqref="I62:I65 I68:I71 I51:I59 I75:I79 I38:I50 I73 I81:I83 I85:I87 I92 I95 I9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Revisions</vt:lpstr>
      <vt:lpstr>Nomenclature</vt:lpstr>
      <vt:lpstr>Example 7-1</vt:lpstr>
      <vt:lpstr>Example 7-2</vt:lpstr>
      <vt:lpstr>Example 7-3</vt:lpstr>
      <vt:lpstr>Example 7-4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Pearson, Herb</dc:creator>
  <cp:keywords>ᅟ</cp:keywords>
  <cp:lastModifiedBy>Hamilton, Stuart</cp:lastModifiedBy>
  <cp:lastPrinted>2008-10-21T15:49:29Z</cp:lastPrinted>
  <dcterms:created xsi:type="dcterms:W3CDTF">2008-10-20T17:40:35Z</dcterms:created>
  <dcterms:modified xsi:type="dcterms:W3CDTF">2017-04-07T11:19:29Z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7e6b3af6-2ab7-4a73-9116-c16d0c1f41fd</vt:lpwstr>
  </property>
  <property fmtid="{D5CDD505-2E9C-101B-9397-08002B2CF9AE}" pid="3" name="DocMarkingOptions">
    <vt:lpwstr>F</vt:lpwstr>
  </property>
  <property fmtid="{D5CDD505-2E9C-101B-9397-08002B2CF9AE}" pid="4" name="Classification">
    <vt:lpwstr>NotClassified</vt:lpwstr>
  </property>
  <property fmtid="{D5CDD505-2E9C-101B-9397-08002B2CF9AE}" pid="5" name="ShowVisibleMarkings">
    <vt:lpwstr>Y</vt:lpwstr>
  </property>
  <property fmtid="{D5CDD505-2E9C-101B-9397-08002B2CF9AE}" pid="6" name="FooterPosition">
    <vt:lpwstr>C</vt:lpwstr>
  </property>
</Properties>
</file>