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5" windowWidth="14175" windowHeight="5325" activeTab="1"/>
  </bookViews>
  <sheets>
    <sheet name="Revisions" sheetId="8" r:id="rId1"/>
    <sheet name="Nomenclature" sheetId="7" r:id="rId2"/>
    <sheet name="Example 9-1" sheetId="1" r:id="rId3"/>
    <sheet name="Example 9-2" sheetId="3" r:id="rId4"/>
    <sheet name="Example 9-3" sheetId="4" r:id="rId5"/>
    <sheet name="Example 9-4" sheetId="6" r:id="rId6"/>
    <sheet name="Figures" sheetId="5" r:id="rId7"/>
  </sheets>
  <definedNames>
    <definedName name="solver_eng" localSheetId="3" hidden="1">1</definedName>
    <definedName name="solver_neg" localSheetId="3" hidden="1">1</definedName>
    <definedName name="solver_num" localSheetId="3" hidden="1">0</definedName>
    <definedName name="solver_opt" localSheetId="3" hidden="1">'Example 9-2'!$J$42</definedName>
    <definedName name="solver_typ" localSheetId="3" hidden="1">3</definedName>
    <definedName name="solver_val" localSheetId="3" hidden="1">0</definedName>
    <definedName name="solver_ver" localSheetId="3" hidden="1">3</definedName>
  </definedNames>
  <calcPr calcId="145621"/>
</workbook>
</file>

<file path=xl/calcChain.xml><?xml version="1.0" encoding="utf-8"?>
<calcChain xmlns="http://schemas.openxmlformats.org/spreadsheetml/2006/main">
  <c r="U9" i="4" l="1"/>
  <c r="O56" i="6" l="1"/>
  <c r="O55" i="6"/>
  <c r="O54" i="6"/>
  <c r="O80" i="6"/>
  <c r="O81" i="6" s="1"/>
  <c r="O78" i="6"/>
  <c r="O79" i="6" s="1"/>
  <c r="O82" i="6" s="1"/>
  <c r="O73" i="6"/>
  <c r="O74" i="6" s="1"/>
  <c r="O71" i="6"/>
  <c r="O72" i="6" s="1"/>
  <c r="O66" i="6"/>
  <c r="O67" i="6" s="1"/>
  <c r="O64" i="6"/>
  <c r="O65" i="6" s="1"/>
  <c r="O75" i="6" l="1"/>
  <c r="O68" i="6"/>
  <c r="O59" i="6"/>
  <c r="AE12" i="4" l="1"/>
  <c r="AF8" i="4"/>
  <c r="AE8" i="4"/>
  <c r="K20" i="4"/>
  <c r="K19" i="4"/>
  <c r="U36" i="6" l="1"/>
  <c r="U35" i="6"/>
  <c r="O58" i="6" s="1"/>
  <c r="U10" i="4"/>
  <c r="U8" i="4"/>
  <c r="K18" i="4"/>
  <c r="K21" i="4" s="1"/>
  <c r="U7" i="4"/>
  <c r="T13" i="4"/>
  <c r="S13" i="4"/>
  <c r="T12" i="4"/>
  <c r="T10" i="4"/>
  <c r="T9" i="4"/>
  <c r="S10" i="4"/>
  <c r="K22" i="4" l="1"/>
  <c r="K24" i="4" s="1"/>
  <c r="U23" i="6"/>
  <c r="O60" i="6" s="1"/>
  <c r="U28" i="6"/>
  <c r="U27" i="6"/>
  <c r="U24" i="6"/>
  <c r="J51" i="3"/>
  <c r="J56" i="3" s="1"/>
  <c r="J55" i="3"/>
  <c r="J39" i="3"/>
  <c r="J46" i="3" s="1"/>
  <c r="J50" i="3" s="1"/>
  <c r="J41" i="3"/>
  <c r="O76" i="6" l="1"/>
  <c r="O83" i="6"/>
  <c r="O69" i="6"/>
  <c r="J57" i="3"/>
  <c r="J40" i="3"/>
  <c r="J52" i="3" s="1"/>
  <c r="J53" i="3" s="1"/>
  <c r="J35" i="3"/>
  <c r="J37" i="3" s="1"/>
  <c r="J42" i="3" l="1"/>
  <c r="J43" i="3" s="1"/>
  <c r="J47" i="3"/>
  <c r="J48" i="3" s="1"/>
  <c r="J59" i="3" s="1"/>
  <c r="R118" i="1"/>
  <c r="AJ18" i="1" l="1"/>
  <c r="R43" i="1"/>
  <c r="AJ17" i="1" s="1"/>
  <c r="R88" i="1"/>
  <c r="AM16" i="1"/>
  <c r="AK26" i="1"/>
  <c r="R35" i="1" l="1"/>
  <c r="H25" i="1"/>
  <c r="R53" i="1"/>
  <c r="R48" i="1"/>
  <c r="R47" i="1"/>
  <c r="R114" i="1" l="1"/>
  <c r="R119" i="1"/>
  <c r="R61" i="1"/>
  <c r="R62" i="1" s="1"/>
  <c r="R63" i="1" s="1"/>
  <c r="R57" i="1"/>
  <c r="R49" i="1"/>
  <c r="E22" i="6"/>
  <c r="E48" i="6" s="1"/>
  <c r="E49" i="6" s="1"/>
  <c r="E33" i="6"/>
  <c r="E34" i="6"/>
  <c r="E35" i="6"/>
  <c r="E37" i="6"/>
  <c r="E41" i="6"/>
  <c r="E52" i="6"/>
  <c r="E55" i="6"/>
  <c r="E17" i="4"/>
  <c r="E19" i="4" s="1"/>
  <c r="E21" i="4" s="1"/>
  <c r="E23" i="4" s="1"/>
  <c r="E25" i="4" s="1"/>
  <c r="B26" i="3"/>
  <c r="B34" i="3"/>
  <c r="B45" i="3" s="1"/>
  <c r="B46" i="3"/>
  <c r="J10" i="1"/>
  <c r="J11" i="1"/>
  <c r="J16" i="1"/>
  <c r="C19" i="1"/>
  <c r="E19" i="1"/>
  <c r="H26" i="1"/>
  <c r="B36" i="1"/>
  <c r="B37" i="1" s="1"/>
  <c r="B38" i="1" s="1"/>
  <c r="H31" i="1" s="1"/>
  <c r="H44" i="1"/>
  <c r="H54" i="1"/>
  <c r="H57" i="1" s="1"/>
  <c r="H60" i="1" s="1"/>
  <c r="E43" i="6" l="1"/>
  <c r="E50" i="6" s="1"/>
  <c r="B37" i="3"/>
  <c r="B29" i="3" s="1"/>
  <c r="R64" i="1"/>
  <c r="R65" i="1" s="1"/>
  <c r="H32" i="1"/>
  <c r="J13" i="1"/>
  <c r="B53" i="3"/>
  <c r="H28" i="1"/>
  <c r="H36" i="1" s="1"/>
  <c r="H40" i="1" s="1"/>
  <c r="J20" i="1"/>
  <c r="B44" i="3"/>
  <c r="H70" i="1"/>
  <c r="H63" i="1"/>
  <c r="H66" i="1" s="1"/>
  <c r="B54" i="3"/>
  <c r="B59" i="3" s="1"/>
  <c r="B60" i="3" s="1"/>
  <c r="E56" i="6" l="1"/>
  <c r="E53" i="6"/>
  <c r="B50" i="3"/>
  <c r="B51" i="3" s="1"/>
  <c r="H46" i="1"/>
  <c r="H48" i="1" s="1"/>
  <c r="H50" i="1" s="1"/>
  <c r="H74" i="1"/>
  <c r="H76" i="1" s="1"/>
  <c r="R98" i="1"/>
  <c r="R94" i="1"/>
  <c r="R97" i="1"/>
  <c r="R93" i="1"/>
  <c r="R96" i="1"/>
  <c r="R92" i="1"/>
  <c r="AF10" i="1" s="1"/>
  <c r="R99" i="1"/>
  <c r="R95" i="1"/>
  <c r="R91" i="1"/>
  <c r="R74" i="1"/>
  <c r="R70" i="1"/>
  <c r="R73" i="1"/>
  <c r="AL8" i="1" s="1"/>
  <c r="R69" i="1"/>
  <c r="AG10" i="1" s="1"/>
  <c r="R76" i="1"/>
  <c r="R72" i="1"/>
  <c r="R68" i="1"/>
  <c r="R75" i="1"/>
  <c r="R71" i="1"/>
  <c r="B55" i="3"/>
  <c r="B56" i="3" s="1"/>
  <c r="B62" i="3" l="1"/>
  <c r="AK13" i="1"/>
  <c r="AK19" i="1" s="1"/>
  <c r="AJ13" i="1"/>
  <c r="AF8" i="1"/>
  <c r="AJ8" i="1"/>
  <c r="AF12" i="1"/>
  <c r="AJ12" i="1"/>
  <c r="AG11" i="1"/>
  <c r="AG19" i="1" s="1"/>
  <c r="AF11" i="1"/>
  <c r="AJ14" i="1"/>
  <c r="AF14" i="1"/>
  <c r="AM14" i="1"/>
  <c r="AL14" i="1"/>
  <c r="AM12" i="1"/>
  <c r="AL12" i="1"/>
  <c r="AM8" i="1"/>
  <c r="AM13" i="1"/>
  <c r="AL13" i="1"/>
  <c r="AI11" i="1"/>
  <c r="AH11" i="1"/>
  <c r="AI14" i="1"/>
  <c r="AH14" i="1"/>
  <c r="AI12" i="1"/>
  <c r="AH12" i="1"/>
  <c r="AH10" i="1"/>
  <c r="AI10" i="1"/>
  <c r="AH8" i="1"/>
  <c r="AI9" i="1"/>
  <c r="AI19" i="1" s="1"/>
  <c r="AJ19" i="1" l="1"/>
  <c r="R108" i="1" s="1"/>
  <c r="R109" i="1" s="1"/>
  <c r="AF19" i="1"/>
  <c r="R105" i="1" s="1"/>
  <c r="R106" i="1" s="1"/>
  <c r="AL19" i="1"/>
  <c r="R82" i="1" s="1"/>
  <c r="R83" i="1" s="1"/>
  <c r="R84" i="1" s="1"/>
  <c r="AM19" i="1"/>
  <c r="AH19" i="1"/>
  <c r="R79" i="1" s="1"/>
  <c r="R80" i="1" s="1"/>
  <c r="R120" i="1" l="1"/>
  <c r="R121" i="1" s="1"/>
  <c r="R123" i="1" s="1"/>
</calcChain>
</file>

<file path=xl/sharedStrings.xml><?xml version="1.0" encoding="utf-8"?>
<sst xmlns="http://schemas.openxmlformats.org/spreadsheetml/2006/main" count="1236" uniqueCount="614">
  <si>
    <t>Fluid Allocation</t>
  </si>
  <si>
    <t>Lean oil</t>
  </si>
  <si>
    <t>Rich oil</t>
  </si>
  <si>
    <t>Name</t>
  </si>
  <si>
    <t>Shell side</t>
  </si>
  <si>
    <t>Tube side</t>
  </si>
  <si>
    <t>Liquid</t>
  </si>
  <si>
    <t>Steam</t>
  </si>
  <si>
    <t>Water</t>
  </si>
  <si>
    <t>Noncondensible</t>
  </si>
  <si>
    <t>Vapor (in/out)</t>
  </si>
  <si>
    <t>Density (#/cf) avg.</t>
  </si>
  <si>
    <t>Viscosity, liquid cP</t>
  </si>
  <si>
    <t>Cp, btu/lb-degF</t>
  </si>
  <si>
    <t>Therm conduct. Btu-ft/hr-sqft-degF</t>
  </si>
  <si>
    <t>Inlet press, psia</t>
  </si>
  <si>
    <t>Press drop (allowable/calc)</t>
  </si>
  <si>
    <t>Heat exchanged, btu/hr</t>
  </si>
  <si>
    <t>MTD, corrected, degF</t>
  </si>
  <si>
    <t>Fluid Quantity, lb/hr</t>
  </si>
  <si>
    <t>Temp, degF (in/out)</t>
  </si>
  <si>
    <t>12 / 9.58</t>
  </si>
  <si>
    <t>10 / 0.51</t>
  </si>
  <si>
    <t>Transfer rate, service/clean</t>
  </si>
  <si>
    <t>100.6 / 148.4</t>
  </si>
  <si>
    <t>btuh</t>
  </si>
  <si>
    <t>LMTD</t>
  </si>
  <si>
    <t>U</t>
  </si>
  <si>
    <t>degF</t>
  </si>
  <si>
    <t>btu/hr-sqft-degF</t>
  </si>
  <si>
    <t>No. tubes</t>
  </si>
  <si>
    <t>Tube OD, in</t>
  </si>
  <si>
    <t>Tube wall, in</t>
  </si>
  <si>
    <t>Tube length, ft</t>
  </si>
  <si>
    <t>Total tube side cross sectional area</t>
  </si>
  <si>
    <t>sq.in.</t>
  </si>
  <si>
    <t>lb/(sqft-sec)</t>
  </si>
  <si>
    <t>Viscosity, lbm/ft-sec</t>
  </si>
  <si>
    <t>sq.ft.</t>
  </si>
  <si>
    <t>Tube ID, in</t>
  </si>
  <si>
    <t>Tube ID, ft</t>
  </si>
  <si>
    <t>Single Tube inside area, ft</t>
  </si>
  <si>
    <t>Reynolds Number Calculation</t>
  </si>
  <si>
    <t>Re turbulent</t>
  </si>
  <si>
    <t>Velocity, ft/sec-tube</t>
  </si>
  <si>
    <t>(hr-sqft-degF)/btu</t>
  </si>
  <si>
    <t>Pressure drop, psi/ft</t>
  </si>
  <si>
    <t>Pressure drop factor, f, Eq 9-14</t>
  </si>
  <si>
    <t>Pressure drop for 30 ft tube</t>
  </si>
  <si>
    <t>psi/ft</t>
  </si>
  <si>
    <t>lb/sqft-sec</t>
  </si>
  <si>
    <t>Calculate f from base values in Fig 9-11 and spec sheet data.</t>
  </si>
  <si>
    <t>Calculate f</t>
  </si>
  <si>
    <t>psi</t>
  </si>
  <si>
    <t>Calculate sum of heat transfer resistances</t>
  </si>
  <si>
    <t>Fouling resistance</t>
  </si>
  <si>
    <t>Calculate U</t>
  </si>
  <si>
    <t>btu/(hr-sqft-degF)</t>
  </si>
  <si>
    <t>Compare required U in Step 3. to calculated U in Step 7. (100.75951 vs. 99.087872)</t>
  </si>
  <si>
    <t>Above pressure drops (tube and shell) are within allowable limits.</t>
  </si>
  <si>
    <t>Heat exchanger is adequately sized.</t>
  </si>
  <si>
    <t>Selected Base Values from Fig. 9-11</t>
  </si>
  <si>
    <t>HC Oil, Turbulent</t>
  </si>
  <si>
    <t>Local r</t>
  </si>
  <si>
    <t>k</t>
  </si>
  <si>
    <t>Cp</t>
  </si>
  <si>
    <t>ρ</t>
  </si>
  <si>
    <t>μ</t>
  </si>
  <si>
    <t>dP (shell), dP/ft (tubes)</t>
  </si>
  <si>
    <t>Selected Values from Fig. 9-13</t>
  </si>
  <si>
    <t>Net cross flow area, sq.in.</t>
  </si>
  <si>
    <t xml:space="preserve">psi </t>
  </si>
  <si>
    <t>Calculate shell side mass flow rate, G</t>
  </si>
  <si>
    <t>Within allowed dP of 12 psi.</t>
  </si>
  <si>
    <t>Baffle spacing, c-c, inches</t>
  </si>
  <si>
    <t>Example 9-2 Propane Refrigerant Condenser Sizing</t>
  </si>
  <si>
    <t>Given values:</t>
  </si>
  <si>
    <t>Upper/lower temp</t>
  </si>
  <si>
    <t>Subcooling liquid propane, Zone 3</t>
  </si>
  <si>
    <t>Condensing propane, Zone 2</t>
  </si>
  <si>
    <t>Desuperheating propane, Zone 1</t>
  </si>
  <si>
    <t>the following equation:</t>
  </si>
  <si>
    <t xml:space="preserve">Determine heat duty of desuperheating at </t>
  </si>
  <si>
    <t>Heat Removed</t>
  </si>
  <si>
    <t>mmbtu/hr</t>
  </si>
  <si>
    <t>when adding 5.914167 mmbtu/hr heat input.</t>
  </si>
  <si>
    <t xml:space="preserve">The remainder of desuperheating duty is </t>
  </si>
  <si>
    <t>included in condensing Zone 2.</t>
  </si>
  <si>
    <t>temperature ranges, Fig 9-14.</t>
  </si>
  <si>
    <t>Zone 1 heat duty</t>
  </si>
  <si>
    <t>Zone 2 heat duty</t>
  </si>
  <si>
    <t>Zone 3 heat duty</t>
  </si>
  <si>
    <t>the required surface area for each zone.</t>
  </si>
  <si>
    <t>Zone 1 LMTD</t>
  </si>
  <si>
    <t>Zone 2 LMTD</t>
  </si>
  <si>
    <t>Zone 2 Q</t>
  </si>
  <si>
    <t>Zone 2 Area</t>
  </si>
  <si>
    <t>Zone 1 Area</t>
  </si>
  <si>
    <t>Zone 3 LMTD</t>
  </si>
  <si>
    <t>Zone 3 Area</t>
  </si>
  <si>
    <t>Total Area</t>
  </si>
  <si>
    <t>Zone 2 note: Do not use 133 degF as the inlet temp</t>
  </si>
  <si>
    <t>Example 9-3 Determine shell diameter</t>
  </si>
  <si>
    <t>Tube OD</t>
  </si>
  <si>
    <t>inches</t>
  </si>
  <si>
    <t>Four</t>
  </si>
  <si>
    <t>Pitch layout</t>
  </si>
  <si>
    <t>Square</t>
  </si>
  <si>
    <t>Tube passes</t>
  </si>
  <si>
    <t>Split ring floating head</t>
  </si>
  <si>
    <t>Allow for inlet flow area</t>
  </si>
  <si>
    <t>Round up to nearest inch.  Use as ID.</t>
  </si>
  <si>
    <t>Warm feed gas press</t>
  </si>
  <si>
    <t>psia</t>
  </si>
  <si>
    <t>From Fig 9-40 select the typical mass</t>
  </si>
  <si>
    <t>velocities (G) for each stream</t>
  </si>
  <si>
    <t>Operating press</t>
  </si>
  <si>
    <t>sq.ft./sec</t>
  </si>
  <si>
    <t>sq.ft/sec</t>
  </si>
  <si>
    <t>Assumed exchanger width</t>
  </si>
  <si>
    <t>lb/hr</t>
  </si>
  <si>
    <t>Inlet vapor flow rate, feed gas</t>
  </si>
  <si>
    <t>Inlet vapor flow rate, residue</t>
  </si>
  <si>
    <t>Inlet vapor flow rate, recycle</t>
  </si>
  <si>
    <t>vapor (propane) side at propane stream inlet, given</t>
  </si>
  <si>
    <t>Fig-9-8</t>
  </si>
  <si>
    <t>Fig-9-9</t>
  </si>
  <si>
    <t>Fig-9-10</t>
  </si>
  <si>
    <t>Fig-9-11</t>
  </si>
  <si>
    <t>Fig-9-12</t>
  </si>
  <si>
    <t>Fig-9-13</t>
  </si>
  <si>
    <t>Fig-9-14</t>
  </si>
  <si>
    <t>Fig-9-35</t>
  </si>
  <si>
    <t>Fig-9-38</t>
  </si>
  <si>
    <t>Fig-9-39</t>
  </si>
  <si>
    <t>Fig-9-40</t>
  </si>
  <si>
    <t>Feed gas exchanger duty</t>
  </si>
  <si>
    <t>btu/hr</t>
  </si>
  <si>
    <t>Feed gas exchanger CMTD</t>
  </si>
  <si>
    <t>Allowable pressure drop, feed gas</t>
  </si>
  <si>
    <t>Allowable pressure drop, residue gas</t>
  </si>
  <si>
    <t>Allowable pressure drop, recycle gas</t>
  </si>
  <si>
    <t>btu/hr-degF</t>
  </si>
  <si>
    <t>Use Eq. 9-17 (one, gas-to-gas, serrated fin, 25" X 22.2", and required UA = 490,200 BTU/hr-degF exchanger) to obtain exchanger length.</t>
  </si>
  <si>
    <t>Exchanger size is established as 25" X 22.2" X 180 "</t>
  </si>
  <si>
    <t>Density of feed gas outlet (Fig. 9-38)</t>
  </si>
  <si>
    <t>lb/cu.ft.</t>
  </si>
  <si>
    <t>Density of feed gas liquid outlet (Fig. 9-38)</t>
  </si>
  <si>
    <t>Number of exchangers</t>
  </si>
  <si>
    <t>Fin surface type - serrated</t>
  </si>
  <si>
    <t>Feed gas density out</t>
  </si>
  <si>
    <t>Density of feed gas vapor inlet (Fig 9-38)</t>
  </si>
  <si>
    <t>Density of residue gas vapor in (Fig. 9-38)</t>
  </si>
  <si>
    <t>Density of residue gas vapor out (Fig. 9-38)</t>
  </si>
  <si>
    <t>Density of recycle gas vapor outlet (Fig 9-38)</t>
  </si>
  <si>
    <t>Step 1. CHECK HEAT BALANCE</t>
  </si>
  <si>
    <t>Step 2. CALCULATE LMTD</t>
  </si>
  <si>
    <t>Step 3. CHECK REQUIRED HEAT TRANSFER COEFF</t>
  </si>
  <si>
    <t>Step 4. CALCULATE TUBE SIDE PRESSURE DROP AND RESISTANCE TO HEAT TRANSFER</t>
  </si>
  <si>
    <t>Step 5. CALCULATE SHELL SIDE PRESSURE DROP AND RESISTANCE TO HEAT TRANSFER</t>
  </si>
  <si>
    <t>Step 6. CALCULATE TUBE METAL RESISTANCE</t>
  </si>
  <si>
    <t>Step 7. CALCULATE OVERALL HEAT TRANSFER COEFFICIENT</t>
  </si>
  <si>
    <t>Step 8. COMPARE REQUIRED VS. CALCULATED HEAT TRANSFER COEFFICIENTS</t>
  </si>
  <si>
    <t>Fig-9-17</t>
  </si>
  <si>
    <t>Fig-9-26</t>
  </si>
  <si>
    <t>Fig-9-27</t>
  </si>
  <si>
    <t>Fig-9-28</t>
  </si>
  <si>
    <t>Compute the exchanger height, H</t>
  </si>
  <si>
    <t>First use Fig. 9-39 to calculate UA.</t>
  </si>
  <si>
    <t>Delta P (Eq. 9-23). Compare with 10.0 psi allowed</t>
  </si>
  <si>
    <t>Delta P (Eq. 9-22). Compare with 7.0 psi allowed</t>
  </si>
  <si>
    <t>If above pressure drops are excessive, then lower G and return to Step 1.</t>
  </si>
  <si>
    <t xml:space="preserve"> =</t>
  </si>
  <si>
    <t>Within allowed dP of 10 psi.</t>
  </si>
  <si>
    <t>Calculation</t>
  </si>
  <si>
    <t>Net cross flow area is the distance between baffles (~18") times the total open clearance (typically 0.1 to 0.2 inches) between tubes, multiplied by the number of tube clearances.</t>
  </si>
  <si>
    <t>Surface area, sq.ft.</t>
  </si>
  <si>
    <t>The above example is suitable for condensing a pure propane vapor using Fig. 9-14, Propane Condensing Curve.  For condensing another hydrocarbon or mixture of vapors having a condensing temperature range greater than 10 degF, a specialist should be consulted.</t>
  </si>
  <si>
    <t>Application 9-2 Propane Refrigerant Condenser Sizing</t>
  </si>
  <si>
    <t>Application 9-3 Determine shell diameter</t>
  </si>
  <si>
    <t>Common widths are 12, 17, 25, 35, 42, and 48 inches.</t>
  </si>
  <si>
    <t>Typical mass velocity from Fig. 9-40.</t>
  </si>
  <si>
    <t>Density of recycle gas vapor inlet (Fig 9-38)</t>
  </si>
  <si>
    <t>This estimation is suitable for condensing up to 30 wt% of vapors in the feed gas, or for reboilers vaporizing up to 20 wt% of feed liquid.  For services outside these limits, a plate fin design specialist should be consulted.</t>
  </si>
  <si>
    <t>If exchanger length is too long for packaging and/or transportation, then lower G and return to Step 1.</t>
  </si>
  <si>
    <t>Number of tubes can range from 200 to 2,000.</t>
  </si>
  <si>
    <t>Number of tube passes is limited to 2, 4, 6, or 8.</t>
  </si>
  <si>
    <t>To allow for entrance or exit areas, multiply shell ID from Fig. 9-26 by 1.02 for each inlet or outlet area to be used.</t>
  </si>
  <si>
    <t>Residue gas press</t>
  </si>
  <si>
    <t>Recycle gas press</t>
  </si>
  <si>
    <t>Exchanger cross section is establishes as 25" wide X 22.2" high</t>
  </si>
  <si>
    <t>Example 9-1.  Lean Oil to Rich Oil Exchanger.  Evaluate the indicated performance of this design.  Note: Changes in variables may not be carried through to the final results.</t>
  </si>
  <si>
    <t>Application 9-1. This is an evaluation of a heat exchanger performance given fixed parameters, not a sizing design.  Changes to variables may not be carried through to the results.  Use this spreadsheet to follow the calculations on how the performance is evaluated.</t>
  </si>
  <si>
    <t>Example 9-4 Approximate sizing a gas-to-gas exchanger</t>
  </si>
  <si>
    <t>Application 9-4 Approximate sizing a gas-to-gas exchanger</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</si>
  <si>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</si>
  <si>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r>
      <t>Q</t>
    </r>
    <r>
      <rPr>
        <vertAlign val="subscript"/>
        <sz val="11"/>
        <color indexed="8"/>
        <rFont val="Times New Roman"/>
        <family val="1"/>
      </rPr>
      <t>H</t>
    </r>
  </si>
  <si>
    <r>
      <t>Q</t>
    </r>
    <r>
      <rPr>
        <vertAlign val="subscript"/>
        <sz val="11"/>
        <color indexed="8"/>
        <rFont val="Times New Roman"/>
        <family val="1"/>
      </rPr>
      <t>C</t>
    </r>
  </si>
  <si>
    <r>
      <t>Q</t>
    </r>
    <r>
      <rPr>
        <vertAlign val="subscript"/>
        <sz val="11"/>
        <color indexed="8"/>
        <rFont val="Times New Roman"/>
        <family val="1"/>
      </rPr>
      <t>H</t>
    </r>
    <r>
      <rPr>
        <sz val="11"/>
        <color theme="1"/>
        <rFont val="Times New Roman"/>
        <family val="1"/>
      </rPr>
      <t>/Q</t>
    </r>
    <r>
      <rPr>
        <vertAlign val="subscript"/>
        <sz val="11"/>
        <color indexed="8"/>
        <rFont val="Times New Roman"/>
        <family val="1"/>
      </rPr>
      <t>C</t>
    </r>
  </si>
  <si>
    <r>
      <t>Mass flow rate per total tube area, G</t>
    </r>
    <r>
      <rPr>
        <vertAlign val="subscript"/>
        <sz val="11"/>
        <color indexed="8"/>
        <rFont val="Times New Roman"/>
        <family val="1"/>
      </rPr>
      <t>2</t>
    </r>
  </si>
  <si>
    <r>
      <t>Film resistance factor, f, for determining film resistance, (r</t>
    </r>
    <r>
      <rPr>
        <vertAlign val="subscript"/>
        <sz val="11"/>
        <color indexed="8"/>
        <rFont val="Times New Roman"/>
        <family val="1"/>
      </rPr>
      <t>i</t>
    </r>
    <r>
      <rPr>
        <sz val="11"/>
        <color theme="1"/>
        <rFont val="Times New Roman"/>
        <family val="1"/>
      </rPr>
      <t>)</t>
    </r>
    <r>
      <rPr>
        <vertAlign val="subscript"/>
        <sz val="11"/>
        <color indexed="8"/>
        <rFont val="Times New Roman"/>
        <family val="1"/>
      </rPr>
      <t>2</t>
    </r>
  </si>
  <si>
    <r>
      <t>(r</t>
    </r>
    <r>
      <rPr>
        <vertAlign val="subscript"/>
        <sz val="11"/>
        <color indexed="8"/>
        <rFont val="Times New Roman"/>
        <family val="1"/>
      </rPr>
      <t>i</t>
    </r>
    <r>
      <rPr>
        <sz val="11"/>
        <color theme="1"/>
        <rFont val="Times New Roman"/>
        <family val="1"/>
      </rPr>
      <t>)</t>
    </r>
    <r>
      <rPr>
        <vertAlign val="subscript"/>
        <sz val="11"/>
        <color indexed="8"/>
        <rFont val="Times New Roman"/>
        <family val="1"/>
      </rPr>
      <t>2</t>
    </r>
  </si>
  <si>
    <r>
      <t>(dP</t>
    </r>
    <r>
      <rPr>
        <vertAlign val="subscript"/>
        <sz val="11"/>
        <color indexed="8"/>
        <rFont val="Times New Roman"/>
        <family val="1"/>
      </rPr>
      <t>i</t>
    </r>
    <r>
      <rPr>
        <sz val="11"/>
        <color theme="1"/>
        <rFont val="Times New Roman"/>
        <family val="1"/>
      </rPr>
      <t>)</t>
    </r>
    <r>
      <rPr>
        <vertAlign val="subscript"/>
        <sz val="11"/>
        <color indexed="8"/>
        <rFont val="Times New Roman"/>
        <family val="1"/>
      </rPr>
      <t>1</t>
    </r>
    <r>
      <rPr>
        <sz val="11"/>
        <color theme="1"/>
        <rFont val="Times New Roman"/>
        <family val="1"/>
      </rPr>
      <t xml:space="preserve"> from Fig. 9-11 as HC Oil Turbulent dP/ft</t>
    </r>
  </si>
  <si>
    <r>
      <t>(dP</t>
    </r>
    <r>
      <rPr>
        <vertAlign val="subscript"/>
        <sz val="11"/>
        <color indexed="8"/>
        <rFont val="Times New Roman"/>
        <family val="1"/>
      </rPr>
      <t>i</t>
    </r>
    <r>
      <rPr>
        <sz val="11"/>
        <color theme="1"/>
        <rFont val="Times New Roman"/>
        <family val="1"/>
      </rPr>
      <t>)</t>
    </r>
    <r>
      <rPr>
        <vertAlign val="subscript"/>
        <sz val="11"/>
        <color indexed="8"/>
        <rFont val="Times New Roman"/>
        <family val="1"/>
      </rPr>
      <t>2</t>
    </r>
  </si>
  <si>
    <r>
      <t>G</t>
    </r>
    <r>
      <rPr>
        <vertAlign val="subscript"/>
        <sz val="11"/>
        <color indexed="8"/>
        <rFont val="Times New Roman"/>
        <family val="1"/>
      </rPr>
      <t>i</t>
    </r>
  </si>
  <si>
    <r>
      <t>D</t>
    </r>
    <r>
      <rPr>
        <vertAlign val="subscript"/>
        <sz val="11"/>
        <color indexed="8"/>
        <rFont val="Times New Roman"/>
        <family val="1"/>
      </rPr>
      <t>i</t>
    </r>
  </si>
  <si>
    <r>
      <t>Calculate (r</t>
    </r>
    <r>
      <rPr>
        <vertAlign val="subscript"/>
        <sz val="11"/>
        <color indexed="8"/>
        <rFont val="Times New Roman"/>
        <family val="1"/>
      </rPr>
      <t>o</t>
    </r>
    <r>
      <rPr>
        <sz val="11"/>
        <color theme="1"/>
        <rFont val="Times New Roman"/>
        <family val="1"/>
      </rPr>
      <t>)</t>
    </r>
    <r>
      <rPr>
        <vertAlign val="subscript"/>
        <sz val="11"/>
        <color indexed="8"/>
        <rFont val="Times New Roman"/>
        <family val="1"/>
      </rPr>
      <t>2</t>
    </r>
  </si>
  <si>
    <r>
      <t>Calculate (dP</t>
    </r>
    <r>
      <rPr>
        <vertAlign val="subscript"/>
        <sz val="11"/>
        <color indexed="8"/>
        <rFont val="Times New Roman"/>
        <family val="1"/>
      </rPr>
      <t>o</t>
    </r>
    <r>
      <rPr>
        <sz val="11"/>
        <color theme="1"/>
        <rFont val="Times New Roman"/>
        <family val="1"/>
      </rPr>
      <t>)</t>
    </r>
    <r>
      <rPr>
        <vertAlign val="subscript"/>
        <sz val="11"/>
        <color indexed="8"/>
        <rFont val="Times New Roman"/>
        <family val="1"/>
      </rPr>
      <t>2</t>
    </r>
  </si>
  <si>
    <r>
      <t>Calculate tube metal resistance, r</t>
    </r>
    <r>
      <rPr>
        <vertAlign val="subscript"/>
        <sz val="11"/>
        <color indexed="8"/>
        <rFont val="Times New Roman"/>
        <family val="1"/>
      </rPr>
      <t>w</t>
    </r>
  </si>
  <si>
    <r>
      <t>Upper T</t>
    </r>
    <r>
      <rPr>
        <vertAlign val="subscript"/>
        <sz val="11"/>
        <color indexed="8"/>
        <rFont val="Times New Roman"/>
        <family val="1"/>
      </rPr>
      <t>v</t>
    </r>
    <r>
      <rPr>
        <sz val="11"/>
        <color theme="1"/>
        <rFont val="Times New Roman"/>
        <family val="1"/>
      </rPr>
      <t>/lower temp</t>
    </r>
  </si>
  <si>
    <r>
      <t>U</t>
    </r>
    <r>
      <rPr>
        <vertAlign val="subscript"/>
        <sz val="11"/>
        <color indexed="8"/>
        <rFont val="Times New Roman"/>
        <family val="1"/>
      </rPr>
      <t>v</t>
    </r>
    <r>
      <rPr>
        <sz val="11"/>
        <color indexed="8"/>
        <rFont val="Times New Roman"/>
        <family val="1"/>
      </rPr>
      <t>, overall heat transfer coefficient of vapor</t>
    </r>
  </si>
  <si>
    <r>
      <t>h</t>
    </r>
    <r>
      <rPr>
        <vertAlign val="subscript"/>
        <sz val="11"/>
        <color indexed="8"/>
        <rFont val="Times New Roman"/>
        <family val="1"/>
      </rPr>
      <t>v</t>
    </r>
    <r>
      <rPr>
        <sz val="11"/>
        <color indexed="8"/>
        <rFont val="Times New Roman"/>
        <family val="1"/>
      </rPr>
      <t>, film coefficient of vapor</t>
    </r>
  </si>
  <si>
    <r>
      <t>U</t>
    </r>
    <r>
      <rPr>
        <vertAlign val="subscript"/>
        <sz val="11"/>
        <color indexed="8"/>
        <rFont val="Times New Roman"/>
        <family val="1"/>
      </rPr>
      <t>v</t>
    </r>
  </si>
  <si>
    <t>Cooling water temp (in/out)</t>
  </si>
  <si>
    <r>
      <t>Keep cooling water Temp</t>
    </r>
    <r>
      <rPr>
        <vertAlign val="subscript"/>
        <sz val="11"/>
        <color theme="1"/>
        <rFont val="Times New Roman"/>
        <family val="1"/>
      </rPr>
      <t>in</t>
    </r>
    <r>
      <rPr>
        <sz val="11"/>
        <color theme="1"/>
        <rFont val="Times New Roman"/>
        <family val="1"/>
      </rPr>
      <t xml:space="preserve"> less than propane temp out (94 degF).</t>
    </r>
  </si>
  <si>
    <r>
      <rPr>
        <b/>
        <sz val="11"/>
        <color indexed="8"/>
        <rFont val="Times New Roman"/>
        <family val="1"/>
      </rPr>
      <t xml:space="preserve">Step 1. </t>
    </r>
    <r>
      <rPr>
        <sz val="11"/>
        <color theme="1"/>
        <rFont val="Times New Roman"/>
        <family val="1"/>
      </rPr>
      <t>Calculate outside tube wall surface temp on</t>
    </r>
  </si>
  <si>
    <r>
      <t>T</t>
    </r>
    <r>
      <rPr>
        <vertAlign val="subscript"/>
        <sz val="11"/>
        <color indexed="8"/>
        <rFont val="Times New Roman"/>
        <family val="1"/>
      </rPr>
      <t>wo</t>
    </r>
    <r>
      <rPr>
        <sz val="11"/>
        <color theme="1"/>
        <rFont val="Times New Roman"/>
        <family val="1"/>
      </rPr>
      <t xml:space="preserve"> = T</t>
    </r>
    <r>
      <rPr>
        <vertAlign val="subscript"/>
        <sz val="11"/>
        <color indexed="8"/>
        <rFont val="Times New Roman"/>
        <family val="1"/>
      </rPr>
      <t>V</t>
    </r>
    <r>
      <rPr>
        <sz val="11"/>
        <color theme="1"/>
        <rFont val="Times New Roman"/>
        <family val="1"/>
      </rPr>
      <t xml:space="preserve"> - [U</t>
    </r>
    <r>
      <rPr>
        <vertAlign val="subscript"/>
        <sz val="11"/>
        <color indexed="8"/>
        <rFont val="Times New Roman"/>
        <family val="1"/>
      </rPr>
      <t>v</t>
    </r>
    <r>
      <rPr>
        <sz val="11"/>
        <color theme="1"/>
        <rFont val="Times New Roman"/>
        <family val="1"/>
      </rPr>
      <t>(T</t>
    </r>
    <r>
      <rPr>
        <vertAlign val="subscript"/>
        <sz val="11"/>
        <color indexed="8"/>
        <rFont val="Times New Roman"/>
        <family val="1"/>
      </rPr>
      <t>v</t>
    </r>
    <r>
      <rPr>
        <sz val="11"/>
        <color theme="1"/>
        <rFont val="Times New Roman"/>
        <family val="1"/>
      </rPr>
      <t>-T</t>
    </r>
    <r>
      <rPr>
        <vertAlign val="subscript"/>
        <sz val="11"/>
        <color indexed="8"/>
        <rFont val="Times New Roman"/>
        <family val="1"/>
      </rPr>
      <t>c</t>
    </r>
    <r>
      <rPr>
        <sz val="11"/>
        <color indexed="8"/>
        <rFont val="Times New Roman"/>
        <family val="1"/>
      </rPr>
      <t>)</t>
    </r>
    <r>
      <rPr>
        <sz val="11"/>
        <color theme="1"/>
        <rFont val="Times New Roman"/>
        <family val="1"/>
      </rPr>
      <t>/h</t>
    </r>
    <r>
      <rPr>
        <vertAlign val="subscript"/>
        <sz val="11"/>
        <color indexed="8"/>
        <rFont val="Times New Roman"/>
        <family val="1"/>
      </rPr>
      <t>v</t>
    </r>
    <r>
      <rPr>
        <sz val="11"/>
        <color theme="1"/>
        <rFont val="Times New Roman"/>
        <family val="1"/>
      </rPr>
      <t>]</t>
    </r>
  </si>
  <si>
    <r>
      <rPr>
        <b/>
        <sz val="11"/>
        <color indexed="8"/>
        <rFont val="Times New Roman"/>
        <family val="1"/>
      </rPr>
      <t>Step 2.</t>
    </r>
    <r>
      <rPr>
        <sz val="11"/>
        <color theme="1"/>
        <rFont val="Times New Roman"/>
        <family val="1"/>
      </rPr>
      <t xml:space="preserve"> Since T</t>
    </r>
    <r>
      <rPr>
        <vertAlign val="subscript"/>
        <sz val="11"/>
        <color indexed="8"/>
        <rFont val="Times New Roman"/>
        <family val="1"/>
      </rPr>
      <t>wo</t>
    </r>
    <r>
      <rPr>
        <sz val="11"/>
        <color theme="1"/>
        <rFont val="Times New Roman"/>
        <family val="1"/>
      </rPr>
      <t xml:space="preserve"> is greater than propane saturation temperature, reduce T</t>
    </r>
    <r>
      <rPr>
        <vertAlign val="subscript"/>
        <sz val="11"/>
        <color indexed="8"/>
        <rFont val="Times New Roman"/>
        <family val="1"/>
      </rPr>
      <t xml:space="preserve">v </t>
    </r>
    <r>
      <rPr>
        <sz val="11"/>
        <color theme="1"/>
        <rFont val="Times New Roman"/>
        <family val="1"/>
      </rPr>
      <t>(bulk propane temp. below) until T</t>
    </r>
    <r>
      <rPr>
        <vertAlign val="subscript"/>
        <sz val="11"/>
        <color indexed="8"/>
        <rFont val="Times New Roman"/>
        <family val="1"/>
      </rPr>
      <t>wo</t>
    </r>
    <r>
      <rPr>
        <sz val="11"/>
        <color theme="1"/>
        <rFont val="Times New Roman"/>
        <family val="1"/>
      </rPr>
      <t xml:space="preserve"> is at or below saturation temp. of 108 degF.</t>
    </r>
  </si>
  <si>
    <r>
      <t>T</t>
    </r>
    <r>
      <rPr>
        <vertAlign val="subscript"/>
        <sz val="11"/>
        <color indexed="8"/>
        <rFont val="Times New Roman"/>
        <family val="1"/>
      </rPr>
      <t>wo</t>
    </r>
    <r>
      <rPr>
        <sz val="11"/>
        <color theme="1"/>
        <rFont val="Times New Roman"/>
        <family val="1"/>
      </rPr>
      <t xml:space="preserve"> is calculated by entering various values of T</t>
    </r>
    <r>
      <rPr>
        <vertAlign val="subscript"/>
        <sz val="11"/>
        <color indexed="8"/>
        <rFont val="Times New Roman"/>
        <family val="1"/>
      </rPr>
      <t>v</t>
    </r>
    <r>
      <rPr>
        <sz val="11"/>
        <color theme="1"/>
        <rFont val="Times New Roman"/>
        <family val="1"/>
      </rPr>
      <t xml:space="preserve"> below (keeping T</t>
    </r>
    <r>
      <rPr>
        <vertAlign val="subscript"/>
        <sz val="11"/>
        <color indexed="8"/>
        <rFont val="Times New Roman"/>
        <family val="1"/>
      </rPr>
      <t>wo</t>
    </r>
    <r>
      <rPr>
        <sz val="11"/>
        <color theme="1"/>
        <rFont val="Times New Roman"/>
        <family val="1"/>
      </rPr>
      <t xml:space="preserve"> at or below 108 degF).         </t>
    </r>
  </si>
  <si>
    <r>
      <t>T</t>
    </r>
    <r>
      <rPr>
        <vertAlign val="subscript"/>
        <sz val="11"/>
        <color indexed="8"/>
        <rFont val="Times New Roman"/>
        <family val="1"/>
      </rPr>
      <t>wo</t>
    </r>
    <r>
      <rPr>
        <sz val="11"/>
        <color theme="1"/>
        <rFont val="Times New Roman"/>
        <family val="1"/>
      </rPr>
      <t>, degF</t>
    </r>
  </si>
  <si>
    <r>
      <t>T</t>
    </r>
    <r>
      <rPr>
        <vertAlign val="subscript"/>
        <sz val="11"/>
        <color indexed="8"/>
        <rFont val="Times New Roman"/>
        <family val="1"/>
      </rPr>
      <t>v</t>
    </r>
  </si>
  <si>
    <r>
      <t>T</t>
    </r>
    <r>
      <rPr>
        <vertAlign val="subscript"/>
        <sz val="11"/>
        <color indexed="8"/>
        <rFont val="Times New Roman"/>
        <family val="1"/>
      </rPr>
      <t>wo</t>
    </r>
    <r>
      <rPr>
        <sz val="11"/>
        <color theme="1"/>
        <rFont val="Times New Roman"/>
        <family val="1"/>
      </rPr>
      <t xml:space="preserve"> = 133 degF</t>
    </r>
  </si>
  <si>
    <r>
      <t>Determine water temperature T</t>
    </r>
    <r>
      <rPr>
        <vertAlign val="subscript"/>
        <sz val="11"/>
        <color indexed="8"/>
        <rFont val="Times New Roman"/>
        <family val="1"/>
      </rPr>
      <t>C</t>
    </r>
    <r>
      <rPr>
        <sz val="11"/>
        <color theme="1"/>
        <rFont val="Times New Roman"/>
        <family val="1"/>
      </rPr>
      <t xml:space="preserve"> bulk wtr temp</t>
    </r>
  </si>
  <si>
    <r>
      <rPr>
        <b/>
        <sz val="11"/>
        <color indexed="8"/>
        <rFont val="Times New Roman"/>
        <family val="1"/>
      </rPr>
      <t>Step 3.</t>
    </r>
    <r>
      <rPr>
        <sz val="11"/>
        <color theme="1"/>
        <rFont val="Times New Roman"/>
        <family val="1"/>
      </rPr>
      <t xml:space="preserve"> Obtain the duties for the appropriate</t>
    </r>
  </si>
  <si>
    <r>
      <rPr>
        <b/>
        <sz val="11"/>
        <color indexed="8"/>
        <rFont val="Times New Roman"/>
        <family val="1"/>
      </rPr>
      <t>Step 4.</t>
    </r>
    <r>
      <rPr>
        <sz val="11"/>
        <color theme="1"/>
        <rFont val="Times New Roman"/>
        <family val="1"/>
      </rPr>
      <t xml:space="preserve"> Solve the equation Q = UA(LMTD) to obtain</t>
    </r>
  </si>
  <si>
    <r>
      <t>Zone 2 T</t>
    </r>
    <r>
      <rPr>
        <vertAlign val="subscript"/>
        <sz val="11"/>
        <color indexed="8"/>
        <rFont val="Times New Roman"/>
        <family val="1"/>
      </rPr>
      <t>C</t>
    </r>
  </si>
  <si>
    <r>
      <rPr>
        <b/>
        <sz val="11"/>
        <color indexed="8"/>
        <rFont val="Times New Roman"/>
        <family val="1"/>
      </rPr>
      <t>Step 1.</t>
    </r>
    <r>
      <rPr>
        <sz val="11"/>
        <color theme="1"/>
        <rFont val="Times New Roman"/>
        <family val="1"/>
      </rPr>
      <t xml:space="preserve"> From the top curve (1" OD tubes on 1-1/4" pitch) of Fig 9-26 read 25" corresponding to 320 tubes.</t>
    </r>
  </si>
  <si>
    <r>
      <rPr>
        <b/>
        <sz val="11"/>
        <color indexed="8"/>
        <rFont val="Times New Roman"/>
        <family val="1"/>
      </rPr>
      <t>Step 2</t>
    </r>
    <r>
      <rPr>
        <sz val="11"/>
        <color theme="1"/>
        <rFont val="Times New Roman"/>
        <family val="1"/>
      </rPr>
      <t>. Correct for square pitch by multiplying by 1.075 (see note on Fig 9-26).</t>
    </r>
  </si>
  <si>
    <r>
      <rPr>
        <b/>
        <sz val="11"/>
        <color indexed="8"/>
        <rFont val="Times New Roman"/>
        <family val="1"/>
      </rPr>
      <t>Step 3.</t>
    </r>
    <r>
      <rPr>
        <sz val="11"/>
        <color theme="1"/>
        <rFont val="Times New Roman"/>
        <family val="1"/>
      </rPr>
      <t xml:space="preserve"> Use Fig 9-27 to correct for four pass by multiplying by 1.05</t>
    </r>
  </si>
  <si>
    <r>
      <rPr>
        <b/>
        <sz val="11"/>
        <color indexed="8"/>
        <rFont val="Times New Roman"/>
        <family val="1"/>
      </rPr>
      <t>Step 4.</t>
    </r>
    <r>
      <rPr>
        <sz val="11"/>
        <color theme="1"/>
        <rFont val="Times New Roman"/>
        <family val="1"/>
      </rPr>
      <t xml:space="preserve"> Correct for inlet flow area by mutlipling by 1.02</t>
    </r>
  </si>
  <si>
    <r>
      <rPr>
        <b/>
        <sz val="11"/>
        <color indexed="8"/>
        <rFont val="Times New Roman"/>
        <family val="1"/>
      </rPr>
      <t>Step 5.</t>
    </r>
    <r>
      <rPr>
        <sz val="11"/>
        <color theme="1"/>
        <rFont val="Times New Roman"/>
        <family val="1"/>
      </rPr>
      <t xml:space="preserve"> From Fig 9-28, correct for split ring floating head by adding 1".</t>
    </r>
  </si>
  <si>
    <r>
      <t>Feed gas X</t>
    </r>
    <r>
      <rPr>
        <vertAlign val="subscript"/>
        <sz val="11"/>
        <color indexed="8"/>
        <rFont val="Times New Roman"/>
        <family val="1"/>
      </rPr>
      <t>v</t>
    </r>
    <r>
      <rPr>
        <sz val="11"/>
        <color theme="1"/>
        <rFont val="Times New Roman"/>
        <family val="1"/>
      </rPr>
      <t xml:space="preserve"> @ 54 degF (Fig 9-39)</t>
    </r>
  </si>
  <si>
    <r>
      <t>One (1) minus Feed gas X</t>
    </r>
    <r>
      <rPr>
        <vertAlign val="subscript"/>
        <sz val="11"/>
        <color indexed="8"/>
        <rFont val="Times New Roman"/>
        <family val="1"/>
      </rPr>
      <t>v</t>
    </r>
  </si>
  <si>
    <r>
      <rPr>
        <b/>
        <sz val="11"/>
        <color indexed="8"/>
        <rFont val="Times New Roman"/>
        <family val="1"/>
      </rPr>
      <t>Step 1.</t>
    </r>
    <r>
      <rPr>
        <sz val="11"/>
        <color theme="1"/>
        <rFont val="Times New Roman"/>
        <family val="1"/>
      </rPr>
      <t xml:space="preserve">  Determine Exchanger Cross Section</t>
    </r>
  </si>
  <si>
    <r>
      <t>G</t>
    </r>
    <r>
      <rPr>
        <vertAlign val="subscript"/>
        <sz val="11"/>
        <color indexed="8"/>
        <rFont val="Times New Roman"/>
        <family val="1"/>
      </rPr>
      <t>H</t>
    </r>
  </si>
  <si>
    <r>
      <t>G</t>
    </r>
    <r>
      <rPr>
        <vertAlign val="subscript"/>
        <sz val="11"/>
        <color indexed="8"/>
        <rFont val="Times New Roman"/>
        <family val="1"/>
      </rPr>
      <t>C</t>
    </r>
  </si>
  <si>
    <r>
      <rPr>
        <b/>
        <sz val="11"/>
        <color indexed="8"/>
        <rFont val="Times New Roman"/>
        <family val="1"/>
      </rPr>
      <t>Step 2.</t>
    </r>
    <r>
      <rPr>
        <sz val="11"/>
        <color theme="1"/>
        <rFont val="Times New Roman"/>
        <family val="1"/>
      </rPr>
      <t xml:space="preserve"> Determine exchanger length.</t>
    </r>
  </si>
  <si>
    <r>
      <rPr>
        <b/>
        <sz val="11"/>
        <color indexed="8"/>
        <rFont val="Times New Roman"/>
        <family val="1"/>
      </rPr>
      <t>Step 3</t>
    </r>
    <r>
      <rPr>
        <sz val="11"/>
        <color theme="1"/>
        <rFont val="Times New Roman"/>
        <family val="1"/>
      </rPr>
      <t>. Check pressure drops</t>
    </r>
  </si>
  <si>
    <r>
      <t xml:space="preserve">Feed gas mean density, </t>
    </r>
    <r>
      <rPr>
        <sz val="11"/>
        <color indexed="8"/>
        <rFont val="Times New Roman"/>
        <family val="1"/>
      </rPr>
      <t>ρ</t>
    </r>
    <r>
      <rPr>
        <vertAlign val="subscript"/>
        <sz val="11"/>
        <color indexed="8"/>
        <rFont val="Times New Roman"/>
        <family val="1"/>
      </rPr>
      <t>m</t>
    </r>
    <r>
      <rPr>
        <sz val="11"/>
        <color theme="1"/>
        <rFont val="Times New Roman"/>
        <family val="1"/>
      </rPr>
      <t xml:space="preserve"> (Eq. 9-26)</t>
    </r>
  </si>
  <si>
    <r>
      <t xml:space="preserve">Residue gas mean density, </t>
    </r>
    <r>
      <rPr>
        <sz val="11"/>
        <color indexed="8"/>
        <rFont val="Times New Roman"/>
        <family val="1"/>
      </rPr>
      <t>ρ</t>
    </r>
    <r>
      <rPr>
        <vertAlign val="subscript"/>
        <sz val="11"/>
        <color indexed="8"/>
        <rFont val="Times New Roman"/>
        <family val="1"/>
      </rPr>
      <t>m</t>
    </r>
  </si>
  <si>
    <r>
      <t xml:space="preserve">Recycle gas mean density, </t>
    </r>
    <r>
      <rPr>
        <sz val="11"/>
        <color indexed="8"/>
        <rFont val="Times New Roman"/>
        <family val="1"/>
      </rPr>
      <t>ρ</t>
    </r>
    <r>
      <rPr>
        <vertAlign val="subscript"/>
        <sz val="11"/>
        <color indexed="8"/>
        <rFont val="Times New Roman"/>
        <family val="1"/>
      </rPr>
      <t>m</t>
    </r>
  </si>
  <si>
    <t>Operating Conditions and Design</t>
  </si>
  <si>
    <t>=</t>
  </si>
  <si>
    <r>
      <t>Btu/lb-</t>
    </r>
    <r>
      <rPr>
        <sz val="11"/>
        <color indexed="8"/>
        <rFont val="Calibri"/>
        <family val="2"/>
      </rPr>
      <t>°</t>
    </r>
    <r>
      <rPr>
        <sz val="11"/>
        <color indexed="8"/>
        <rFont val="Times New Roman"/>
        <family val="1"/>
      </rPr>
      <t>F</t>
    </r>
  </si>
  <si>
    <r>
      <t>m</t>
    </r>
    <r>
      <rPr>
        <vertAlign val="subscript"/>
        <sz val="11"/>
        <color indexed="8"/>
        <rFont val="Times New Roman"/>
        <family val="1"/>
      </rPr>
      <t>H</t>
    </r>
  </si>
  <si>
    <r>
      <t>Cp</t>
    </r>
    <r>
      <rPr>
        <vertAlign val="subscript"/>
        <sz val="11"/>
        <color indexed="8"/>
        <rFont val="Times New Roman"/>
        <family val="1"/>
      </rPr>
      <t>H</t>
    </r>
  </si>
  <si>
    <r>
      <t>T</t>
    </r>
    <r>
      <rPr>
        <vertAlign val="subscript"/>
        <sz val="11"/>
        <color indexed="8"/>
        <rFont val="Times New Roman"/>
        <family val="1"/>
      </rPr>
      <t>H1</t>
    </r>
  </si>
  <si>
    <r>
      <t>T</t>
    </r>
    <r>
      <rPr>
        <vertAlign val="subscript"/>
        <sz val="11"/>
        <color indexed="8"/>
        <rFont val="Times New Roman"/>
        <family val="1"/>
      </rPr>
      <t>H2</t>
    </r>
  </si>
  <si>
    <r>
      <t>m</t>
    </r>
    <r>
      <rPr>
        <vertAlign val="subscript"/>
        <sz val="11"/>
        <color indexed="8"/>
        <rFont val="Times New Roman"/>
        <family val="1"/>
      </rPr>
      <t>C</t>
    </r>
  </si>
  <si>
    <r>
      <t>Cp</t>
    </r>
    <r>
      <rPr>
        <vertAlign val="subscript"/>
        <sz val="11"/>
        <color indexed="8"/>
        <rFont val="Times New Roman"/>
        <family val="1"/>
      </rPr>
      <t>C</t>
    </r>
  </si>
  <si>
    <r>
      <t>T</t>
    </r>
    <r>
      <rPr>
        <vertAlign val="subscript"/>
        <sz val="11"/>
        <color indexed="8"/>
        <rFont val="Times New Roman"/>
        <family val="1"/>
      </rPr>
      <t>C1</t>
    </r>
  </si>
  <si>
    <r>
      <t>T</t>
    </r>
    <r>
      <rPr>
        <vertAlign val="subscript"/>
        <sz val="11"/>
        <color indexed="8"/>
        <rFont val="Times New Roman"/>
        <family val="1"/>
      </rPr>
      <t>C2</t>
    </r>
  </si>
  <si>
    <r>
      <rPr>
        <sz val="11"/>
        <color indexed="8"/>
        <rFont val="Calibri"/>
        <family val="2"/>
      </rPr>
      <t>°</t>
    </r>
    <r>
      <rPr>
        <sz val="11"/>
        <color indexed="8"/>
        <rFont val="Times New Roman"/>
        <family val="1"/>
      </rPr>
      <t>F</t>
    </r>
  </si>
  <si>
    <t>Heat Balance</t>
  </si>
  <si>
    <t>Hot Side Heat Flow</t>
  </si>
  <si>
    <t>Cold Side Heat Flow</t>
  </si>
  <si>
    <t>Btu/hr</t>
  </si>
  <si>
    <r>
      <t>Q</t>
    </r>
    <r>
      <rPr>
        <vertAlign val="subscript"/>
        <sz val="11"/>
        <color indexed="8"/>
        <rFont val="Times New Roman"/>
        <family val="1"/>
      </rPr>
      <t>H/</t>
    </r>
    <r>
      <rPr>
        <sz val="11"/>
        <color indexed="8"/>
        <rFont val="Times New Roman"/>
        <family val="1"/>
      </rPr>
      <t>Q</t>
    </r>
    <r>
      <rPr>
        <vertAlign val="subscript"/>
        <sz val="11"/>
        <color indexed="8"/>
        <rFont val="Times New Roman"/>
        <family val="1"/>
      </rPr>
      <t>C</t>
    </r>
  </si>
  <si>
    <t>Log Mean Temperature Difference</t>
  </si>
  <si>
    <t>Heat Transfer Coefficient</t>
  </si>
  <si>
    <r>
      <t>Btu/(hr-sq ft-</t>
    </r>
    <r>
      <rPr>
        <sz val="11"/>
        <color indexed="8"/>
        <rFont val="Calibri"/>
        <family val="2"/>
      </rPr>
      <t>°</t>
    </r>
    <r>
      <rPr>
        <sz val="11"/>
        <color indexed="8"/>
        <rFont val="Times New Roman"/>
        <family val="1"/>
      </rPr>
      <t>F)</t>
    </r>
  </si>
  <si>
    <t>Surface Area</t>
  </si>
  <si>
    <t>A</t>
  </si>
  <si>
    <r>
      <rPr>
        <sz val="11"/>
        <color indexed="8"/>
        <rFont val="Times New Roman"/>
        <family val="1"/>
      </rPr>
      <t>ft</t>
    </r>
    <r>
      <rPr>
        <vertAlign val="superscript"/>
        <sz val="11"/>
        <color indexed="8"/>
        <rFont val="Times New Roman"/>
        <family val="1"/>
      </rPr>
      <t>2</t>
    </r>
  </si>
  <si>
    <t>Tube Side Pressure Drop and Resistance to Heat Transfer</t>
  </si>
  <si>
    <t>Tube Side Cross Sectional Area</t>
  </si>
  <si>
    <t>Number of Tubes</t>
  </si>
  <si>
    <t>n</t>
  </si>
  <si>
    <r>
      <t>A</t>
    </r>
    <r>
      <rPr>
        <vertAlign val="subscript"/>
        <sz val="11"/>
        <color indexed="8"/>
        <rFont val="Times New Roman"/>
        <family val="1"/>
      </rPr>
      <t>TUBE</t>
    </r>
  </si>
  <si>
    <t>in</t>
  </si>
  <si>
    <t>Do</t>
  </si>
  <si>
    <t>Di</t>
  </si>
  <si>
    <t>tw</t>
  </si>
  <si>
    <r>
      <t>in</t>
    </r>
    <r>
      <rPr>
        <vertAlign val="superscript"/>
        <sz val="11"/>
        <color indexed="8"/>
        <rFont val="Times New Roman"/>
        <family val="1"/>
      </rPr>
      <t>2</t>
    </r>
  </si>
  <si>
    <r>
      <t>ft</t>
    </r>
    <r>
      <rPr>
        <vertAlign val="superscript"/>
        <sz val="11"/>
        <color indexed="8"/>
        <rFont val="Times New Roman"/>
        <family val="1"/>
      </rPr>
      <t>2</t>
    </r>
  </si>
  <si>
    <t>Tube Wall Thickness</t>
  </si>
  <si>
    <t>Tube ID</t>
  </si>
  <si>
    <r>
      <t>G</t>
    </r>
    <r>
      <rPr>
        <vertAlign val="subscript"/>
        <sz val="11"/>
        <color indexed="8"/>
        <rFont val="Times New Roman"/>
        <family val="1"/>
      </rPr>
      <t>TUBE</t>
    </r>
  </si>
  <si>
    <t>Mass velocity</t>
  </si>
  <si>
    <r>
      <t>lb/ft</t>
    </r>
    <r>
      <rPr>
        <vertAlign val="superscript"/>
        <sz val="11"/>
        <color indexed="8"/>
        <rFont val="Times New Roman"/>
        <family val="1"/>
      </rPr>
      <t>2</t>
    </r>
    <r>
      <rPr>
        <sz val="11"/>
        <color indexed="8"/>
        <rFont val="Times New Roman"/>
        <family val="1"/>
      </rPr>
      <t>-sec</t>
    </r>
  </si>
  <si>
    <t>Re</t>
  </si>
  <si>
    <t>Reynolds Number</t>
  </si>
  <si>
    <r>
      <t>lb/ft</t>
    </r>
    <r>
      <rPr>
        <vertAlign val="superscript"/>
        <sz val="11"/>
        <color indexed="8"/>
        <rFont val="Times New Roman"/>
        <family val="1"/>
      </rPr>
      <t>3</t>
    </r>
  </si>
  <si>
    <r>
      <rPr>
        <sz val="11"/>
        <color indexed="8"/>
        <rFont val="Calibri"/>
        <family val="2"/>
      </rPr>
      <t>ρ</t>
    </r>
    <r>
      <rPr>
        <vertAlign val="subscript"/>
        <sz val="11"/>
        <color indexed="8"/>
        <rFont val="Times New Roman"/>
        <family val="1"/>
      </rPr>
      <t>H</t>
    </r>
  </si>
  <si>
    <r>
      <rPr>
        <sz val="11"/>
        <color indexed="8"/>
        <rFont val="Calibri"/>
        <family val="2"/>
      </rPr>
      <t>ρ</t>
    </r>
    <r>
      <rPr>
        <vertAlign val="subscript"/>
        <sz val="11"/>
        <color indexed="8"/>
        <rFont val="Times New Roman"/>
        <family val="1"/>
      </rPr>
      <t>C</t>
    </r>
  </si>
  <si>
    <r>
      <t>μ</t>
    </r>
    <r>
      <rPr>
        <vertAlign val="subscript"/>
        <sz val="11"/>
        <color indexed="8"/>
        <rFont val="Times New Roman"/>
        <family val="1"/>
      </rPr>
      <t>H</t>
    </r>
  </si>
  <si>
    <t>cP</t>
  </si>
  <si>
    <r>
      <t>μ</t>
    </r>
    <r>
      <rPr>
        <vertAlign val="subscript"/>
        <sz val="11"/>
        <color indexed="8"/>
        <rFont val="Times New Roman"/>
        <family val="1"/>
      </rPr>
      <t>C</t>
    </r>
  </si>
  <si>
    <t>Shell Side Mass Flow</t>
  </si>
  <si>
    <t>Shell Side Heat Capacity</t>
  </si>
  <si>
    <t>Shell Side Temperature In</t>
  </si>
  <si>
    <t>Shell Side Temperature Out</t>
  </si>
  <si>
    <t>Shell Side Density</t>
  </si>
  <si>
    <t>Shell Side Viscosity</t>
  </si>
  <si>
    <t>Tube Side Mass Flow</t>
  </si>
  <si>
    <t>Tube Side Heat Capacity</t>
  </si>
  <si>
    <t>Tube Side Temperature In</t>
  </si>
  <si>
    <t>Tube Side Temperature Out</t>
  </si>
  <si>
    <t>Tube Side Density</t>
  </si>
  <si>
    <t>Tube Side Viscosity</t>
  </si>
  <si>
    <t>Flow Regime</t>
  </si>
  <si>
    <t>Viscosity</t>
  </si>
  <si>
    <r>
      <t>r</t>
    </r>
    <r>
      <rPr>
        <vertAlign val="subscript"/>
        <sz val="11"/>
        <color theme="1"/>
        <rFont val="Calibri"/>
        <family val="2"/>
        <scheme val="minor"/>
      </rPr>
      <t>2</t>
    </r>
  </si>
  <si>
    <t>Turbulent</t>
  </si>
  <si>
    <t>Streamline</t>
  </si>
  <si>
    <r>
      <t>ΔP</t>
    </r>
    <r>
      <rPr>
        <vertAlign val="subscript"/>
        <sz val="11"/>
        <color theme="1"/>
        <rFont val="Calibri"/>
        <family val="2"/>
      </rPr>
      <t>2</t>
    </r>
  </si>
  <si>
    <t>Thermal Conducitivty</t>
  </si>
  <si>
    <t>Sp. Heat Capacity</t>
  </si>
  <si>
    <t>Mass Velocity</t>
  </si>
  <si>
    <t>Density</t>
  </si>
  <si>
    <t>Tube Diameter</t>
  </si>
  <si>
    <t>Tube Length</t>
  </si>
  <si>
    <t>Tube Passes</t>
  </si>
  <si>
    <t>No. Tube Rows Crossed</t>
  </si>
  <si>
    <t>Shell</t>
  </si>
  <si>
    <t>Tube</t>
  </si>
  <si>
    <t>Shell Side Fluid</t>
  </si>
  <si>
    <t>Fluid Type</t>
  </si>
  <si>
    <t>Tube Side</t>
  </si>
  <si>
    <t>Fluid</t>
  </si>
  <si>
    <t>HC Oil</t>
  </si>
  <si>
    <t>Methane</t>
  </si>
  <si>
    <t>Shell Side</t>
  </si>
  <si>
    <t>Fluid Select</t>
  </si>
  <si>
    <t>ΔP/ft</t>
  </si>
  <si>
    <t>Tube Side Base Values</t>
  </si>
  <si>
    <r>
      <t>μ</t>
    </r>
    <r>
      <rPr>
        <vertAlign val="subscript"/>
        <sz val="11"/>
        <color indexed="8"/>
        <rFont val="Calibri"/>
        <family val="2"/>
      </rPr>
      <t>W</t>
    </r>
  </si>
  <si>
    <t>ΔP</t>
  </si>
  <si>
    <r>
      <t>G</t>
    </r>
    <r>
      <rPr>
        <vertAlign val="subscript"/>
        <sz val="11"/>
        <color indexed="8"/>
        <rFont val="Times New Roman"/>
        <family val="1"/>
      </rPr>
      <t>o</t>
    </r>
  </si>
  <si>
    <r>
      <t>D</t>
    </r>
    <r>
      <rPr>
        <vertAlign val="subscript"/>
        <sz val="11"/>
        <color indexed="8"/>
        <rFont val="Times New Roman"/>
        <family val="1"/>
      </rPr>
      <t>o</t>
    </r>
  </si>
  <si>
    <t>N/A</t>
  </si>
  <si>
    <t>Shell Side Base Values</t>
  </si>
  <si>
    <t>f</t>
  </si>
  <si>
    <t>Viscosity Bulk to wall Correction</t>
  </si>
  <si>
    <t>Tube Side Wall Viscosity</t>
  </si>
  <si>
    <r>
      <t>μ</t>
    </r>
    <r>
      <rPr>
        <vertAlign val="subscript"/>
        <sz val="11"/>
        <color indexed="8"/>
        <rFont val="Times New Roman"/>
        <family val="1"/>
      </rPr>
      <t>WC</t>
    </r>
  </si>
  <si>
    <t>Tube Side Thermal Conductivity</t>
  </si>
  <si>
    <r>
      <t>Btu-ft/hr-ft</t>
    </r>
    <r>
      <rPr>
        <vertAlign val="superscript"/>
        <sz val="11"/>
        <color indexed="8"/>
        <rFont val="Times New Roman"/>
        <family val="1"/>
      </rPr>
      <t>2</t>
    </r>
    <r>
      <rPr>
        <sz val="11"/>
        <color indexed="8"/>
        <rFont val="Times New Roman"/>
        <family val="1"/>
      </rPr>
      <t>-</t>
    </r>
    <r>
      <rPr>
        <sz val="11"/>
        <color indexed="8"/>
        <rFont val="Calibri"/>
        <family val="2"/>
      </rPr>
      <t>°</t>
    </r>
    <r>
      <rPr>
        <sz val="8.8000000000000007"/>
        <color indexed="8"/>
        <rFont val="Times New Roman"/>
        <family val="1"/>
      </rPr>
      <t>F</t>
    </r>
  </si>
  <si>
    <t>Shell Side Wall Viscosity</t>
  </si>
  <si>
    <t>Shell Side Thermal Conductivity</t>
  </si>
  <si>
    <r>
      <t>k</t>
    </r>
    <r>
      <rPr>
        <vertAlign val="subscript"/>
        <sz val="11"/>
        <color indexed="8"/>
        <rFont val="Calibri"/>
        <family val="2"/>
      </rPr>
      <t>H</t>
    </r>
  </si>
  <si>
    <r>
      <t>μ</t>
    </r>
    <r>
      <rPr>
        <vertAlign val="subscript"/>
        <sz val="11"/>
        <color indexed="8"/>
        <rFont val="Times New Roman"/>
        <family val="1"/>
      </rPr>
      <t>HC</t>
    </r>
  </si>
  <si>
    <r>
      <t>k</t>
    </r>
    <r>
      <rPr>
        <vertAlign val="subscript"/>
        <sz val="11"/>
        <color indexed="8"/>
        <rFont val="Calibri"/>
        <family val="2"/>
      </rPr>
      <t>C</t>
    </r>
  </si>
  <si>
    <r>
      <t>(r</t>
    </r>
    <r>
      <rPr>
        <vertAlign val="subscript"/>
        <sz val="11"/>
        <color indexed="8"/>
        <rFont val="Times New Roman"/>
        <family val="1"/>
      </rPr>
      <t>i</t>
    </r>
    <r>
      <rPr>
        <sz val="11"/>
        <color indexed="8"/>
        <rFont val="Times New Roman"/>
        <family val="1"/>
      </rPr>
      <t>)</t>
    </r>
    <r>
      <rPr>
        <vertAlign val="subscript"/>
        <sz val="11"/>
        <color indexed="8"/>
        <rFont val="Times New Roman"/>
        <family val="1"/>
      </rPr>
      <t>2</t>
    </r>
  </si>
  <si>
    <r>
      <t>(hr-ft2-</t>
    </r>
    <r>
      <rPr>
        <sz val="11"/>
        <color indexed="8"/>
        <rFont val="Calibri"/>
        <family val="2"/>
      </rPr>
      <t>°</t>
    </r>
    <r>
      <rPr>
        <sz val="11"/>
        <color indexed="8"/>
        <rFont val="Times New Roman"/>
        <family val="1"/>
      </rPr>
      <t>F)/Btu</t>
    </r>
  </si>
  <si>
    <t>Number of Passes</t>
  </si>
  <si>
    <t>Np</t>
  </si>
  <si>
    <r>
      <t>(ΔP</t>
    </r>
    <r>
      <rPr>
        <vertAlign val="subscript"/>
        <sz val="11"/>
        <color indexed="8"/>
        <rFont val="Times New Roman"/>
        <family val="1"/>
      </rPr>
      <t>i</t>
    </r>
    <r>
      <rPr>
        <sz val="11"/>
        <color indexed="8"/>
        <rFont val="Times New Roman"/>
        <family val="1"/>
      </rPr>
      <t>)</t>
    </r>
    <r>
      <rPr>
        <vertAlign val="subscript"/>
        <sz val="11"/>
        <color indexed="8"/>
        <rFont val="Times New Roman"/>
        <family val="1"/>
      </rPr>
      <t>2</t>
    </r>
  </si>
  <si>
    <t>L</t>
  </si>
  <si>
    <t>ft</t>
  </si>
  <si>
    <t>Shell Side Pressure Drop and Resistance to Heat Transfer</t>
  </si>
  <si>
    <r>
      <t>G</t>
    </r>
    <r>
      <rPr>
        <vertAlign val="subscript"/>
        <sz val="11"/>
        <color indexed="8"/>
        <rFont val="Times New Roman"/>
        <family val="1"/>
      </rPr>
      <t>SHELL</t>
    </r>
  </si>
  <si>
    <t>Net Cross Flow Area</t>
  </si>
  <si>
    <r>
      <t>lb/(ft</t>
    </r>
    <r>
      <rPr>
        <vertAlign val="superscript"/>
        <sz val="11"/>
        <color indexed="8"/>
        <rFont val="Times New Roman"/>
        <family val="1"/>
      </rPr>
      <t>2</t>
    </r>
    <r>
      <rPr>
        <sz val="11"/>
        <color indexed="8"/>
        <rFont val="Times New Roman"/>
        <family val="1"/>
      </rPr>
      <t>-sec)</t>
    </r>
  </si>
  <si>
    <r>
      <t>(r</t>
    </r>
    <r>
      <rPr>
        <vertAlign val="subscript"/>
        <sz val="11"/>
        <color indexed="8"/>
        <rFont val="Times New Roman"/>
        <family val="1"/>
      </rPr>
      <t>o</t>
    </r>
    <r>
      <rPr>
        <sz val="11"/>
        <color indexed="8"/>
        <rFont val="Times New Roman"/>
        <family val="1"/>
      </rPr>
      <t>)</t>
    </r>
    <r>
      <rPr>
        <vertAlign val="subscript"/>
        <sz val="11"/>
        <color indexed="8"/>
        <rFont val="Times New Roman"/>
        <family val="1"/>
      </rPr>
      <t>2</t>
    </r>
  </si>
  <si>
    <r>
      <t>(ΔP</t>
    </r>
    <r>
      <rPr>
        <vertAlign val="subscript"/>
        <sz val="11"/>
        <color indexed="8"/>
        <rFont val="Times New Roman"/>
        <family val="1"/>
      </rPr>
      <t>o</t>
    </r>
    <r>
      <rPr>
        <sz val="11"/>
        <color indexed="8"/>
        <rFont val="Times New Roman"/>
        <family val="1"/>
      </rPr>
      <t>)</t>
    </r>
    <r>
      <rPr>
        <vertAlign val="subscript"/>
        <sz val="11"/>
        <color indexed="8"/>
        <rFont val="Times New Roman"/>
        <family val="1"/>
      </rPr>
      <t>2</t>
    </r>
  </si>
  <si>
    <t>Tube Rows Crossed Between Baffle</t>
  </si>
  <si>
    <t>RC</t>
  </si>
  <si>
    <t>Number of Baffles</t>
  </si>
  <si>
    <t>Number of Crossflow Spaces</t>
  </si>
  <si>
    <t>SP</t>
  </si>
  <si>
    <t>No. Baffle Spaces</t>
  </si>
  <si>
    <t>Tube Metal Resistance</t>
  </si>
  <si>
    <t>Metal Thermal Conductivity</t>
  </si>
  <si>
    <r>
      <t>k</t>
    </r>
    <r>
      <rPr>
        <vertAlign val="subscript"/>
        <sz val="11"/>
        <color indexed="8"/>
        <rFont val="Times New Roman"/>
        <family val="1"/>
      </rPr>
      <t>w</t>
    </r>
  </si>
  <si>
    <r>
      <t>r</t>
    </r>
    <r>
      <rPr>
        <vertAlign val="subscript"/>
        <sz val="11"/>
        <color indexed="8"/>
        <rFont val="Times New Roman"/>
        <family val="1"/>
      </rPr>
      <t>w</t>
    </r>
  </si>
  <si>
    <t>Overall Heat Transfer Coefficient</t>
  </si>
  <si>
    <r>
      <rPr>
        <sz val="11"/>
        <color indexed="8"/>
        <rFont val="Calibri"/>
        <family val="2"/>
      </rPr>
      <t>Σ</t>
    </r>
    <r>
      <rPr>
        <sz val="11"/>
        <color indexed="8"/>
        <rFont val="Times New Roman"/>
        <family val="1"/>
      </rPr>
      <t>r</t>
    </r>
  </si>
  <si>
    <r>
      <t>A</t>
    </r>
    <r>
      <rPr>
        <vertAlign val="subscript"/>
        <sz val="11"/>
        <color indexed="8"/>
        <rFont val="Times New Roman"/>
        <family val="1"/>
      </rPr>
      <t>o</t>
    </r>
  </si>
  <si>
    <r>
      <t>A</t>
    </r>
    <r>
      <rPr>
        <vertAlign val="subscript"/>
        <sz val="11"/>
        <color indexed="8"/>
        <rFont val="Times New Roman"/>
        <family val="1"/>
      </rPr>
      <t>i</t>
    </r>
  </si>
  <si>
    <t>Shell Side Fouling Resistance</t>
  </si>
  <si>
    <r>
      <t>r</t>
    </r>
    <r>
      <rPr>
        <vertAlign val="subscript"/>
        <sz val="11"/>
        <color indexed="8"/>
        <rFont val="Calibri"/>
        <family val="2"/>
      </rPr>
      <t>fo</t>
    </r>
  </si>
  <si>
    <t>Tube Side Fluid</t>
  </si>
  <si>
    <t>Tube Side Fouling Resistance</t>
  </si>
  <si>
    <r>
      <t>r</t>
    </r>
    <r>
      <rPr>
        <vertAlign val="subscript"/>
        <sz val="11"/>
        <color indexed="8"/>
        <rFont val="Calibri"/>
        <family val="2"/>
      </rPr>
      <t>fi</t>
    </r>
  </si>
  <si>
    <r>
      <t>Btu/(hr-ft</t>
    </r>
    <r>
      <rPr>
        <vertAlign val="superscript"/>
        <sz val="11"/>
        <color indexed="8"/>
        <rFont val="Times New Roman"/>
        <family val="1"/>
      </rPr>
      <t>2</t>
    </r>
    <r>
      <rPr>
        <sz val="11"/>
        <color indexed="8"/>
        <rFont val="Times New Roman"/>
        <family val="1"/>
      </rPr>
      <t>-</t>
    </r>
    <r>
      <rPr>
        <sz val="11"/>
        <color indexed="8"/>
        <rFont val="Calibri"/>
        <family val="2"/>
      </rPr>
      <t>°</t>
    </r>
    <r>
      <rPr>
        <sz val="11"/>
        <color indexed="8"/>
        <rFont val="Times New Roman"/>
        <family val="1"/>
      </rPr>
      <t>F)</t>
    </r>
  </si>
  <si>
    <r>
      <t>(hr-ft</t>
    </r>
    <r>
      <rPr>
        <vertAlign val="superscript"/>
        <sz val="11"/>
        <color indexed="8"/>
        <rFont val="Times New Roman"/>
        <family val="1"/>
      </rPr>
      <t>2</t>
    </r>
    <r>
      <rPr>
        <sz val="11"/>
        <color indexed="8"/>
        <rFont val="Times New Roman"/>
        <family val="1"/>
      </rPr>
      <t>-</t>
    </r>
    <r>
      <rPr>
        <sz val="11"/>
        <color indexed="8"/>
        <rFont val="Calibri"/>
        <family val="2"/>
      </rPr>
      <t>°</t>
    </r>
    <r>
      <rPr>
        <sz val="11"/>
        <color indexed="8"/>
        <rFont val="Times New Roman"/>
        <family val="1"/>
      </rPr>
      <t>F)/Btu</t>
    </r>
  </si>
  <si>
    <r>
      <t>Btu/((hr-ft</t>
    </r>
    <r>
      <rPr>
        <vertAlign val="superscript"/>
        <sz val="11"/>
        <color indexed="8"/>
        <rFont val="Times New Roman"/>
        <family val="1"/>
      </rPr>
      <t>2</t>
    </r>
    <r>
      <rPr>
        <sz val="11"/>
        <color indexed="8"/>
        <rFont val="Times New Roman"/>
        <family val="1"/>
      </rPr>
      <t>-</t>
    </r>
    <r>
      <rPr>
        <sz val="11"/>
        <color indexed="8"/>
        <rFont val="Calibri"/>
        <family val="2"/>
      </rPr>
      <t>°</t>
    </r>
    <r>
      <rPr>
        <sz val="11"/>
        <color indexed="8"/>
        <rFont val="Times New Roman"/>
        <family val="1"/>
      </rPr>
      <t>F)/ft)</t>
    </r>
  </si>
  <si>
    <t>Performance</t>
  </si>
  <si>
    <t>Operating Conditions and Deisgn</t>
  </si>
  <si>
    <t>Lower Temp</t>
  </si>
  <si>
    <r>
      <t>Upper T</t>
    </r>
    <r>
      <rPr>
        <vertAlign val="subscript"/>
        <sz val="11"/>
        <color indexed="8"/>
        <rFont val="Times New Roman"/>
        <family val="1"/>
      </rPr>
      <t>v</t>
    </r>
  </si>
  <si>
    <r>
      <rPr>
        <sz val="11"/>
        <color theme="1"/>
        <rFont val="Calibri"/>
        <family val="2"/>
      </rPr>
      <t>°</t>
    </r>
    <r>
      <rPr>
        <sz val="11"/>
        <color theme="1"/>
        <rFont val="Times New Roman"/>
        <family val="1"/>
      </rPr>
      <t>F</t>
    </r>
  </si>
  <si>
    <r>
      <t>Btu/(hr-ft</t>
    </r>
    <r>
      <rPr>
        <vertAlign val="superscript"/>
        <sz val="11"/>
        <color theme="1"/>
        <rFont val="Times New Roman"/>
        <family val="1"/>
      </rPr>
      <t>2</t>
    </r>
    <r>
      <rPr>
        <sz val="11"/>
        <color theme="1"/>
        <rFont val="Times New Roman"/>
        <family val="1"/>
      </rPr>
      <t>-</t>
    </r>
    <r>
      <rPr>
        <sz val="11"/>
        <color theme="1"/>
        <rFont val="Calibri"/>
        <family val="2"/>
      </rPr>
      <t>°</t>
    </r>
    <r>
      <rPr>
        <sz val="11"/>
        <color theme="1"/>
        <rFont val="Times New Roman"/>
        <family val="1"/>
      </rPr>
      <t>F)</t>
    </r>
  </si>
  <si>
    <t>MMBtu/hr</t>
  </si>
  <si>
    <r>
      <t>h</t>
    </r>
    <r>
      <rPr>
        <vertAlign val="subscript"/>
        <sz val="11"/>
        <color indexed="8"/>
        <rFont val="Times New Roman"/>
        <family val="1"/>
      </rPr>
      <t>v</t>
    </r>
  </si>
  <si>
    <t>Overall heat transfer coefficient of vapor</t>
  </si>
  <si>
    <r>
      <t>F</t>
    </r>
    <r>
      <rPr>
        <sz val="11"/>
        <color indexed="8"/>
        <rFont val="Times New Roman"/>
        <family val="1"/>
      </rPr>
      <t>ilm coefficient of vapor</t>
    </r>
  </si>
  <si>
    <r>
      <t>T</t>
    </r>
    <r>
      <rPr>
        <vertAlign val="subscript"/>
        <sz val="11"/>
        <color theme="1"/>
        <rFont val="Times New Roman"/>
        <family val="1"/>
      </rPr>
      <t>1</t>
    </r>
  </si>
  <si>
    <t>Condensing Temperature</t>
  </si>
  <si>
    <r>
      <t>T</t>
    </r>
    <r>
      <rPr>
        <vertAlign val="subscript"/>
        <sz val="11"/>
        <color theme="1"/>
        <rFont val="Times New Roman"/>
        <family val="1"/>
      </rPr>
      <t>2</t>
    </r>
  </si>
  <si>
    <r>
      <t>U</t>
    </r>
    <r>
      <rPr>
        <vertAlign val="subscript"/>
        <sz val="11"/>
        <color indexed="8"/>
        <rFont val="Times New Roman"/>
        <family val="1"/>
      </rPr>
      <t>C</t>
    </r>
  </si>
  <si>
    <t>Overall heat transfer coefficient of condensing</t>
  </si>
  <si>
    <r>
      <t>Q</t>
    </r>
    <r>
      <rPr>
        <vertAlign val="subscript"/>
        <sz val="11"/>
        <color theme="1"/>
        <rFont val="Times New Roman"/>
        <family val="1"/>
      </rPr>
      <t>2</t>
    </r>
  </si>
  <si>
    <t>Upper Temp</t>
  </si>
  <si>
    <r>
      <t>T</t>
    </r>
    <r>
      <rPr>
        <vertAlign val="subscript"/>
        <sz val="11"/>
        <color theme="1"/>
        <rFont val="Times New Roman"/>
        <family val="1"/>
      </rPr>
      <t>3</t>
    </r>
  </si>
  <si>
    <r>
      <t>U</t>
    </r>
    <r>
      <rPr>
        <vertAlign val="subscript"/>
        <sz val="11"/>
        <color indexed="8"/>
        <rFont val="Times New Roman"/>
        <family val="1"/>
      </rPr>
      <t>L</t>
    </r>
  </si>
  <si>
    <t>Overall heat transfer coefficient of liquid</t>
  </si>
  <si>
    <r>
      <t>Q</t>
    </r>
    <r>
      <rPr>
        <vertAlign val="subscript"/>
        <sz val="11"/>
        <color theme="1"/>
        <rFont val="Times New Roman"/>
        <family val="1"/>
      </rPr>
      <t>3</t>
    </r>
  </si>
  <si>
    <r>
      <t>T</t>
    </r>
    <r>
      <rPr>
        <vertAlign val="subscript"/>
        <sz val="11"/>
        <color indexed="8"/>
        <rFont val="Times New Roman"/>
        <family val="1"/>
      </rPr>
      <t>wo</t>
    </r>
  </si>
  <si>
    <r>
      <t>T</t>
    </r>
    <r>
      <rPr>
        <vertAlign val="subscript"/>
        <sz val="11"/>
        <color theme="1"/>
        <rFont val="Times New Roman"/>
        <family val="1"/>
      </rPr>
      <t>C</t>
    </r>
  </si>
  <si>
    <t>Cooling water temp in</t>
  </si>
  <si>
    <t>Cooling water temp out</t>
  </si>
  <si>
    <r>
      <t>T</t>
    </r>
    <r>
      <rPr>
        <vertAlign val="subscript"/>
        <sz val="11"/>
        <color theme="1"/>
        <rFont val="Times New Roman"/>
        <family val="1"/>
      </rPr>
      <t>w</t>
    </r>
  </si>
  <si>
    <r>
      <t>T</t>
    </r>
    <r>
      <rPr>
        <vertAlign val="subscript"/>
        <sz val="11"/>
        <color theme="1"/>
        <rFont val="Times New Roman"/>
        <family val="1"/>
      </rPr>
      <t>wo</t>
    </r>
    <r>
      <rPr>
        <sz val="11"/>
        <color theme="1"/>
        <rFont val="Times New Roman"/>
        <family val="1"/>
      </rPr>
      <t xml:space="preserve"> &lt; T</t>
    </r>
    <r>
      <rPr>
        <vertAlign val="subscript"/>
        <sz val="11"/>
        <color theme="1"/>
        <rFont val="Times New Roman"/>
        <family val="1"/>
      </rPr>
      <t>2</t>
    </r>
    <r>
      <rPr>
        <sz val="11"/>
        <color theme="1"/>
        <rFont val="Times New Roman"/>
        <family val="1"/>
      </rPr>
      <t xml:space="preserve"> ?</t>
    </r>
  </si>
  <si>
    <r>
      <t>T</t>
    </r>
    <r>
      <rPr>
        <vertAlign val="subscript"/>
        <sz val="11"/>
        <color theme="1"/>
        <rFont val="Times New Roman"/>
        <family val="1"/>
      </rPr>
      <t>v</t>
    </r>
  </si>
  <si>
    <r>
      <t>Goal T</t>
    </r>
    <r>
      <rPr>
        <vertAlign val="subscript"/>
        <sz val="11"/>
        <color theme="1"/>
        <rFont val="Times New Roman"/>
        <family val="1"/>
      </rPr>
      <t>wo</t>
    </r>
  </si>
  <si>
    <r>
      <t>T</t>
    </r>
    <r>
      <rPr>
        <vertAlign val="subscript"/>
        <sz val="11"/>
        <color indexed="8"/>
        <rFont val="Times New Roman"/>
        <family val="1"/>
      </rPr>
      <t>wo-GOAL</t>
    </r>
  </si>
  <si>
    <t>Adjusted Desuperheating Duty</t>
  </si>
  <si>
    <r>
      <t>Adjusted T</t>
    </r>
    <r>
      <rPr>
        <vertAlign val="subscript"/>
        <sz val="11"/>
        <color theme="1"/>
        <rFont val="Times New Roman"/>
        <family val="1"/>
      </rPr>
      <t>v</t>
    </r>
  </si>
  <si>
    <r>
      <t>Adjusted T</t>
    </r>
    <r>
      <rPr>
        <vertAlign val="subscript"/>
        <sz val="11"/>
        <color theme="1"/>
        <rFont val="Times New Roman"/>
        <family val="1"/>
      </rPr>
      <t>c</t>
    </r>
  </si>
  <si>
    <r>
      <t>Adjusted T</t>
    </r>
    <r>
      <rPr>
        <vertAlign val="subscript"/>
        <sz val="11"/>
        <color theme="1"/>
        <rFont val="Times New Roman"/>
        <family val="1"/>
      </rPr>
      <t>wo</t>
    </r>
  </si>
  <si>
    <r>
      <t>Repeat by lowering T</t>
    </r>
    <r>
      <rPr>
        <vertAlign val="subscript"/>
        <sz val="11"/>
        <color theme="1"/>
        <rFont val="Times New Roman"/>
        <family val="1"/>
      </rPr>
      <t>v</t>
    </r>
    <r>
      <rPr>
        <sz val="11"/>
        <color theme="1"/>
        <rFont val="Times New Roman"/>
        <family val="1"/>
      </rPr>
      <t xml:space="preserve"> until "Yes" Result</t>
    </r>
  </si>
  <si>
    <t>Zone 1 Heat Duty</t>
  </si>
  <si>
    <t>Zone 2 Heat Duty</t>
  </si>
  <si>
    <t>Zone 3 Heat Duty</t>
  </si>
  <si>
    <r>
      <t>Q</t>
    </r>
    <r>
      <rPr>
        <vertAlign val="subscript"/>
        <sz val="11"/>
        <color theme="1"/>
        <rFont val="Times New Roman"/>
        <family val="1"/>
      </rPr>
      <t>1</t>
    </r>
  </si>
  <si>
    <r>
      <t>T</t>
    </r>
    <r>
      <rPr>
        <vertAlign val="subscript"/>
        <sz val="11"/>
        <color theme="1"/>
        <rFont val="Times New Roman"/>
        <family val="1"/>
      </rPr>
      <t>LMTD-1</t>
    </r>
  </si>
  <si>
    <r>
      <t>A</t>
    </r>
    <r>
      <rPr>
        <vertAlign val="subscript"/>
        <sz val="11"/>
        <color theme="1"/>
        <rFont val="Times New Roman"/>
        <family val="1"/>
      </rPr>
      <t>1</t>
    </r>
  </si>
  <si>
    <r>
      <t>T</t>
    </r>
    <r>
      <rPr>
        <vertAlign val="subscript"/>
        <sz val="11"/>
        <color theme="1"/>
        <rFont val="Times New Roman"/>
        <family val="1"/>
      </rPr>
      <t>LMTD-2</t>
    </r>
  </si>
  <si>
    <r>
      <t>A</t>
    </r>
    <r>
      <rPr>
        <vertAlign val="subscript"/>
        <sz val="11"/>
        <color theme="1"/>
        <rFont val="Times New Roman"/>
        <family val="1"/>
      </rPr>
      <t>2</t>
    </r>
  </si>
  <si>
    <r>
      <t>T</t>
    </r>
    <r>
      <rPr>
        <vertAlign val="subscript"/>
        <sz val="11"/>
        <color theme="1"/>
        <rFont val="Times New Roman"/>
        <family val="1"/>
      </rPr>
      <t>LMTD-3</t>
    </r>
  </si>
  <si>
    <r>
      <t>A</t>
    </r>
    <r>
      <rPr>
        <vertAlign val="subscript"/>
        <sz val="11"/>
        <color theme="1"/>
        <rFont val="Times New Roman"/>
        <family val="1"/>
      </rPr>
      <t>3</t>
    </r>
  </si>
  <si>
    <r>
      <t>ft</t>
    </r>
    <r>
      <rPr>
        <vertAlign val="superscript"/>
        <sz val="11"/>
        <color theme="1"/>
        <rFont val="Times New Roman"/>
        <family val="1"/>
      </rPr>
      <t>2</t>
    </r>
  </si>
  <si>
    <r>
      <t>Zone 2 T</t>
    </r>
    <r>
      <rPr>
        <vertAlign val="subscript"/>
        <sz val="11"/>
        <color theme="1"/>
        <rFont val="Times New Roman"/>
        <family val="1"/>
      </rPr>
      <t>C</t>
    </r>
  </si>
  <si>
    <t>Surface Temperature on Outside Wall on Vapor Refrigerant System inlet</t>
  </si>
  <si>
    <r>
      <t>Q</t>
    </r>
    <r>
      <rPr>
        <vertAlign val="subscript"/>
        <sz val="11"/>
        <color theme="1"/>
        <rFont val="Times New Roman"/>
        <family val="1"/>
      </rPr>
      <t>V</t>
    </r>
  </si>
  <si>
    <t>Determine Heat Duty and Area</t>
  </si>
  <si>
    <t>inch</t>
  </si>
  <si>
    <r>
      <t>D</t>
    </r>
    <r>
      <rPr>
        <vertAlign val="subscript"/>
        <sz val="11"/>
        <color theme="1"/>
        <rFont val="Times New Roman"/>
        <family val="1"/>
      </rPr>
      <t>o</t>
    </r>
  </si>
  <si>
    <t>Pitch Layout</t>
  </si>
  <si>
    <t>Tube Pitch</t>
  </si>
  <si>
    <t>Exchanger Type</t>
  </si>
  <si>
    <t>Shell ID</t>
  </si>
  <si>
    <t>Multiplier</t>
  </si>
  <si>
    <t>Pitch Layout Multiplier</t>
  </si>
  <si>
    <t>Pitch</t>
  </si>
  <si>
    <t>Triangle</t>
  </si>
  <si>
    <t>Shell Inside Diameter</t>
  </si>
  <si>
    <t>Shell Diameter</t>
  </si>
  <si>
    <t>&lt;12"</t>
  </si>
  <si>
    <t>12" to 24"</t>
  </si>
  <si>
    <t>25" to 41"</t>
  </si>
  <si>
    <t>&gt;41"</t>
  </si>
  <si>
    <t>Pass Multiplier</t>
  </si>
  <si>
    <t>YES</t>
  </si>
  <si>
    <t>Area Allowance</t>
  </si>
  <si>
    <t>NO</t>
  </si>
  <si>
    <t>Flow Area Multiplater</t>
  </si>
  <si>
    <t>Allow for Inlet or Outlet Flow Area</t>
  </si>
  <si>
    <t>Shell ID Subtotal</t>
  </si>
  <si>
    <t>Type of Construction Adder</t>
  </si>
  <si>
    <t>&lt;27"</t>
  </si>
  <si>
    <t>Type</t>
  </si>
  <si>
    <t>Split Ring</t>
  </si>
  <si>
    <t>Pull Through</t>
  </si>
  <si>
    <t>None</t>
  </si>
  <si>
    <t>27" to 41"</t>
  </si>
  <si>
    <t>Type of Construction</t>
  </si>
  <si>
    <t>Fixed Tubesheet</t>
  </si>
  <si>
    <t>Warm Feed Gas Pressure</t>
  </si>
  <si>
    <t>Residue Gas Pressure</t>
  </si>
  <si>
    <t>Recycle Gas Pressure</t>
  </si>
  <si>
    <r>
      <t>P</t>
    </r>
    <r>
      <rPr>
        <vertAlign val="subscript"/>
        <sz val="11"/>
        <color theme="1"/>
        <rFont val="Times New Roman"/>
        <family val="1"/>
      </rPr>
      <t>H</t>
    </r>
  </si>
  <si>
    <r>
      <t>P</t>
    </r>
    <r>
      <rPr>
        <vertAlign val="subscript"/>
        <sz val="11"/>
        <color theme="1"/>
        <rFont val="Times New Roman"/>
        <family val="1"/>
      </rPr>
      <t>C1</t>
    </r>
  </si>
  <si>
    <r>
      <t>P</t>
    </r>
    <r>
      <rPr>
        <vertAlign val="subscript"/>
        <sz val="11"/>
        <color theme="1"/>
        <rFont val="Times New Roman"/>
        <family val="1"/>
      </rPr>
      <t>C2</t>
    </r>
  </si>
  <si>
    <t>Feed Gas Mass Velocity</t>
  </si>
  <si>
    <t>Residue Gas Mass Velocity</t>
  </si>
  <si>
    <t>Recycle Gas Mass Velocity</t>
  </si>
  <si>
    <r>
      <t>G</t>
    </r>
    <r>
      <rPr>
        <vertAlign val="subscript"/>
        <sz val="11"/>
        <color theme="1"/>
        <rFont val="Times New Roman"/>
        <family val="1"/>
      </rPr>
      <t>H</t>
    </r>
  </si>
  <si>
    <r>
      <t>G</t>
    </r>
    <r>
      <rPr>
        <vertAlign val="subscript"/>
        <sz val="11"/>
        <color theme="1"/>
        <rFont val="Times New Roman"/>
        <family val="1"/>
      </rPr>
      <t>C1</t>
    </r>
  </si>
  <si>
    <r>
      <t>G</t>
    </r>
    <r>
      <rPr>
        <vertAlign val="subscript"/>
        <sz val="11"/>
        <color theme="1"/>
        <rFont val="Times New Roman"/>
        <family val="1"/>
      </rPr>
      <t>C2</t>
    </r>
  </si>
  <si>
    <t>Figure 9-40</t>
  </si>
  <si>
    <r>
      <t>lb/(ft</t>
    </r>
    <r>
      <rPr>
        <vertAlign val="superscript"/>
        <sz val="11"/>
        <color theme="1"/>
        <rFont val="Times New Roman"/>
        <family val="1"/>
      </rPr>
      <t>2</t>
    </r>
    <r>
      <rPr>
        <sz val="11"/>
        <color theme="1"/>
        <rFont val="Times New Roman"/>
        <family val="1"/>
      </rPr>
      <t>-s)</t>
    </r>
  </si>
  <si>
    <t>Operating Pressure</t>
  </si>
  <si>
    <t>Gas to Gas</t>
  </si>
  <si>
    <t>Number of Exchangers</t>
  </si>
  <si>
    <t>Exchanger Width</t>
  </si>
  <si>
    <t>N</t>
  </si>
  <si>
    <t>W</t>
  </si>
  <si>
    <t>Demethanizer Reboiler</t>
  </si>
  <si>
    <t>Exchanger Cross Section</t>
  </si>
  <si>
    <t>Cross Exchanger Stack Height</t>
  </si>
  <si>
    <t>H</t>
  </si>
  <si>
    <t>Q</t>
  </si>
  <si>
    <t>Feed Gas Exchanger Duty</t>
  </si>
  <si>
    <t>CMTD</t>
  </si>
  <si>
    <t>Feed Gas Corrected Log Mean Temperature Difference</t>
  </si>
  <si>
    <t>UA</t>
  </si>
  <si>
    <t>Fin Type</t>
  </si>
  <si>
    <t>Serrated</t>
  </si>
  <si>
    <t>Perforated</t>
  </si>
  <si>
    <r>
      <t>Btu/(hr-</t>
    </r>
    <r>
      <rPr>
        <sz val="11"/>
        <color theme="1"/>
        <rFont val="Calibri"/>
        <family val="2"/>
      </rPr>
      <t>°</t>
    </r>
    <r>
      <rPr>
        <sz val="11"/>
        <color theme="1"/>
        <rFont val="Times New Roman"/>
        <family val="1"/>
      </rPr>
      <t>F)</t>
    </r>
  </si>
  <si>
    <t>Length</t>
  </si>
  <si>
    <t>Exchanger Length</t>
  </si>
  <si>
    <t>Determine Length</t>
  </si>
  <si>
    <t>Determine Pressure Drop</t>
  </si>
  <si>
    <r>
      <rPr>
        <sz val="11"/>
        <color theme="1"/>
        <rFont val="Calibri"/>
        <family val="2"/>
      </rPr>
      <t>ρ</t>
    </r>
    <r>
      <rPr>
        <vertAlign val="subscript"/>
        <sz val="11"/>
        <color theme="1"/>
        <rFont val="Times New Roman"/>
        <family val="1"/>
      </rPr>
      <t>H-in</t>
    </r>
  </si>
  <si>
    <r>
      <rPr>
        <sz val="11"/>
        <color theme="1"/>
        <rFont val="Calibri"/>
        <family val="2"/>
      </rPr>
      <t>ρ</t>
    </r>
    <r>
      <rPr>
        <vertAlign val="subscript"/>
        <sz val="11"/>
        <color theme="1"/>
        <rFont val="Times New Roman"/>
        <family val="1"/>
      </rPr>
      <t>H-out</t>
    </r>
  </si>
  <si>
    <r>
      <rPr>
        <sz val="11"/>
        <color theme="1"/>
        <rFont val="Calibri"/>
        <family val="2"/>
      </rPr>
      <t>ρ</t>
    </r>
    <r>
      <rPr>
        <vertAlign val="subscript"/>
        <sz val="11"/>
        <color theme="1"/>
        <rFont val="Times New Roman"/>
        <family val="1"/>
      </rPr>
      <t>C1-in</t>
    </r>
  </si>
  <si>
    <r>
      <rPr>
        <sz val="11"/>
        <color theme="1"/>
        <rFont val="Calibri"/>
        <family val="2"/>
      </rPr>
      <t>ρ</t>
    </r>
    <r>
      <rPr>
        <vertAlign val="subscript"/>
        <sz val="11"/>
        <color theme="1"/>
        <rFont val="Times New Roman"/>
        <family val="1"/>
      </rPr>
      <t>C1-out</t>
    </r>
  </si>
  <si>
    <r>
      <rPr>
        <sz val="11"/>
        <color theme="1"/>
        <rFont val="Calibri"/>
        <family val="2"/>
      </rPr>
      <t>ρ</t>
    </r>
    <r>
      <rPr>
        <vertAlign val="subscript"/>
        <sz val="11"/>
        <color theme="1"/>
        <rFont val="Times New Roman"/>
        <family val="1"/>
      </rPr>
      <t>C2-in</t>
    </r>
  </si>
  <si>
    <r>
      <rPr>
        <sz val="11"/>
        <color theme="1"/>
        <rFont val="Calibri"/>
        <family val="2"/>
      </rPr>
      <t>ρ</t>
    </r>
    <r>
      <rPr>
        <vertAlign val="subscript"/>
        <sz val="11"/>
        <color theme="1"/>
        <rFont val="Times New Roman"/>
        <family val="1"/>
      </rPr>
      <t>C2-out</t>
    </r>
  </si>
  <si>
    <r>
      <t>lb/ft</t>
    </r>
    <r>
      <rPr>
        <vertAlign val="superscript"/>
        <sz val="11"/>
        <color theme="1"/>
        <rFont val="Times New Roman"/>
        <family val="1"/>
      </rPr>
      <t>3</t>
    </r>
  </si>
  <si>
    <t>Condensing</t>
  </si>
  <si>
    <t>Feed Gas Phase</t>
  </si>
  <si>
    <t>Residue Gas Phase</t>
  </si>
  <si>
    <t>All Vapor</t>
  </si>
  <si>
    <t>Recycle Gas Phase</t>
  </si>
  <si>
    <t>Warm Feed Gas Outlet Density Vapor</t>
  </si>
  <si>
    <t>Warm Feed Gas Outlet Density Liquid</t>
  </si>
  <si>
    <r>
      <rPr>
        <sz val="11"/>
        <color theme="1"/>
        <rFont val="Calibri"/>
        <family val="2"/>
      </rPr>
      <t>ρ</t>
    </r>
    <r>
      <rPr>
        <vertAlign val="subscript"/>
        <sz val="11"/>
        <color theme="1"/>
        <rFont val="Times New Roman"/>
        <family val="1"/>
      </rPr>
      <t>H-out-V</t>
    </r>
  </si>
  <si>
    <r>
      <rPr>
        <sz val="11"/>
        <color theme="1"/>
        <rFont val="Calibri"/>
        <family val="2"/>
      </rPr>
      <t>ρ</t>
    </r>
    <r>
      <rPr>
        <vertAlign val="subscript"/>
        <sz val="11"/>
        <color theme="1"/>
        <rFont val="Times New Roman"/>
        <family val="1"/>
      </rPr>
      <t>H-out-L</t>
    </r>
  </si>
  <si>
    <r>
      <rPr>
        <sz val="11"/>
        <color theme="1"/>
        <rFont val="Calibri"/>
        <family val="2"/>
      </rPr>
      <t>ρ</t>
    </r>
    <r>
      <rPr>
        <vertAlign val="subscript"/>
        <sz val="11"/>
        <color theme="1"/>
        <rFont val="Times New Roman"/>
        <family val="1"/>
      </rPr>
      <t>H-in-V</t>
    </r>
  </si>
  <si>
    <t>Warm Feed Gas Inlet Density Vapor</t>
  </si>
  <si>
    <t>Warm Feed Gas Inlet Density Liquid</t>
  </si>
  <si>
    <r>
      <rPr>
        <sz val="11"/>
        <color theme="1"/>
        <rFont val="Calibri"/>
        <family val="2"/>
      </rPr>
      <t>ρ</t>
    </r>
    <r>
      <rPr>
        <vertAlign val="subscript"/>
        <sz val="11"/>
        <color theme="1"/>
        <rFont val="Times New Roman"/>
        <family val="1"/>
      </rPr>
      <t>H-in-L</t>
    </r>
  </si>
  <si>
    <t>Residue Gas Inlet Density Vapor</t>
  </si>
  <si>
    <t>Residue Gas Inlet Density Liquid</t>
  </si>
  <si>
    <t>Residue Gas Outlet Density Vapor</t>
  </si>
  <si>
    <t>Residue Gas Outlet Density Liquid</t>
  </si>
  <si>
    <r>
      <rPr>
        <sz val="11"/>
        <color theme="1"/>
        <rFont val="Calibri"/>
        <family val="2"/>
      </rPr>
      <t>ρ</t>
    </r>
    <r>
      <rPr>
        <vertAlign val="subscript"/>
        <sz val="11"/>
        <color theme="1"/>
        <rFont val="Times New Roman"/>
        <family val="1"/>
      </rPr>
      <t>C1-in-V</t>
    </r>
  </si>
  <si>
    <r>
      <rPr>
        <sz val="11"/>
        <color theme="1"/>
        <rFont val="Calibri"/>
        <family val="2"/>
      </rPr>
      <t>ρ</t>
    </r>
    <r>
      <rPr>
        <vertAlign val="subscript"/>
        <sz val="11"/>
        <color theme="1"/>
        <rFont val="Times New Roman"/>
        <family val="1"/>
      </rPr>
      <t>C1-in-L</t>
    </r>
  </si>
  <si>
    <r>
      <rPr>
        <sz val="11"/>
        <color theme="1"/>
        <rFont val="Calibri"/>
        <family val="2"/>
      </rPr>
      <t>ρ</t>
    </r>
    <r>
      <rPr>
        <vertAlign val="subscript"/>
        <sz val="11"/>
        <color theme="1"/>
        <rFont val="Times New Roman"/>
        <family val="1"/>
      </rPr>
      <t>C1-out-V</t>
    </r>
  </si>
  <si>
    <r>
      <rPr>
        <sz val="11"/>
        <color theme="1"/>
        <rFont val="Calibri"/>
        <family val="2"/>
      </rPr>
      <t>ρ</t>
    </r>
    <r>
      <rPr>
        <vertAlign val="subscript"/>
        <sz val="11"/>
        <color theme="1"/>
        <rFont val="Times New Roman"/>
        <family val="1"/>
      </rPr>
      <t>C1-out-L</t>
    </r>
  </si>
  <si>
    <t>Recycle Gas Inlet Density Vapor</t>
  </si>
  <si>
    <t>Recycle Gas Inlet Density Liquid</t>
  </si>
  <si>
    <t>Recycle Gas Outlet Density Vapor</t>
  </si>
  <si>
    <t>Recycle Gas Outlet Density Liquid</t>
  </si>
  <si>
    <r>
      <rPr>
        <sz val="11"/>
        <color theme="1"/>
        <rFont val="Calibri"/>
        <family val="2"/>
      </rPr>
      <t>ρ</t>
    </r>
    <r>
      <rPr>
        <vertAlign val="subscript"/>
        <sz val="11"/>
        <color theme="1"/>
        <rFont val="Times New Roman"/>
        <family val="1"/>
      </rPr>
      <t>C2-in-V</t>
    </r>
  </si>
  <si>
    <r>
      <rPr>
        <sz val="11"/>
        <color theme="1"/>
        <rFont val="Calibri"/>
        <family val="2"/>
      </rPr>
      <t>ρ</t>
    </r>
    <r>
      <rPr>
        <vertAlign val="subscript"/>
        <sz val="11"/>
        <color theme="1"/>
        <rFont val="Times New Roman"/>
        <family val="1"/>
      </rPr>
      <t>C2-in-L</t>
    </r>
  </si>
  <si>
    <r>
      <rPr>
        <sz val="11"/>
        <color theme="1"/>
        <rFont val="Calibri"/>
        <family val="2"/>
      </rPr>
      <t>ρ</t>
    </r>
    <r>
      <rPr>
        <vertAlign val="subscript"/>
        <sz val="11"/>
        <color theme="1"/>
        <rFont val="Times New Roman"/>
        <family val="1"/>
      </rPr>
      <t>C2-out-V</t>
    </r>
  </si>
  <si>
    <r>
      <rPr>
        <sz val="11"/>
        <color theme="1"/>
        <rFont val="Calibri"/>
        <family val="2"/>
      </rPr>
      <t>ρ</t>
    </r>
    <r>
      <rPr>
        <vertAlign val="subscript"/>
        <sz val="11"/>
        <color theme="1"/>
        <rFont val="Times New Roman"/>
        <family val="1"/>
      </rPr>
      <t>C2-out-L</t>
    </r>
  </si>
  <si>
    <r>
      <rPr>
        <sz val="11"/>
        <color theme="1"/>
        <rFont val="Calibri"/>
        <family val="2"/>
      </rPr>
      <t>ρ</t>
    </r>
    <r>
      <rPr>
        <vertAlign val="subscript"/>
        <sz val="11"/>
        <color theme="1"/>
        <rFont val="Times New Roman"/>
        <family val="1"/>
      </rPr>
      <t>Hm</t>
    </r>
  </si>
  <si>
    <r>
      <t>m</t>
    </r>
    <r>
      <rPr>
        <vertAlign val="subscript"/>
        <sz val="11"/>
        <color theme="1"/>
        <rFont val="Times New Roman"/>
        <family val="1"/>
      </rPr>
      <t>H-in-V</t>
    </r>
  </si>
  <si>
    <t>Warm Feed Flow Rate Vapor Inlet</t>
  </si>
  <si>
    <t>Warm Feed Flow Rate Liquid Inlet</t>
  </si>
  <si>
    <t>Warm Feed Flow Rate Vapor Outlet</t>
  </si>
  <si>
    <t>Warm Feed Flow Rate Liquid Outlet</t>
  </si>
  <si>
    <r>
      <t>m</t>
    </r>
    <r>
      <rPr>
        <vertAlign val="subscript"/>
        <sz val="11"/>
        <color theme="1"/>
        <rFont val="Times New Roman"/>
        <family val="1"/>
      </rPr>
      <t>H-in-L</t>
    </r>
  </si>
  <si>
    <r>
      <t>m</t>
    </r>
    <r>
      <rPr>
        <vertAlign val="subscript"/>
        <sz val="11"/>
        <color theme="1"/>
        <rFont val="Times New Roman"/>
        <family val="1"/>
      </rPr>
      <t>H-out-V</t>
    </r>
  </si>
  <si>
    <r>
      <t>m</t>
    </r>
    <r>
      <rPr>
        <vertAlign val="subscript"/>
        <sz val="11"/>
        <color theme="1"/>
        <rFont val="Times New Roman"/>
        <family val="1"/>
      </rPr>
      <t>H-out-L</t>
    </r>
  </si>
  <si>
    <t>Residue Flow Rate Vapor Inlet</t>
  </si>
  <si>
    <t>Residue Flow Rate Vapor Outlet</t>
  </si>
  <si>
    <t>Residue Flow Rate Liquid Inlet</t>
  </si>
  <si>
    <t>Residue Flow Rate Liquid Outlet</t>
  </si>
  <si>
    <r>
      <t>m</t>
    </r>
    <r>
      <rPr>
        <vertAlign val="subscript"/>
        <sz val="11"/>
        <color theme="1"/>
        <rFont val="Times New Roman"/>
        <family val="1"/>
      </rPr>
      <t>C1-in-V</t>
    </r>
  </si>
  <si>
    <r>
      <t>m</t>
    </r>
    <r>
      <rPr>
        <vertAlign val="subscript"/>
        <sz val="11"/>
        <color theme="1"/>
        <rFont val="Times New Roman"/>
        <family val="1"/>
      </rPr>
      <t>C1-in-L</t>
    </r>
  </si>
  <si>
    <r>
      <t>m</t>
    </r>
    <r>
      <rPr>
        <vertAlign val="subscript"/>
        <sz val="11"/>
        <color theme="1"/>
        <rFont val="Times New Roman"/>
        <family val="1"/>
      </rPr>
      <t>C1-out-V</t>
    </r>
  </si>
  <si>
    <r>
      <t>m</t>
    </r>
    <r>
      <rPr>
        <vertAlign val="subscript"/>
        <sz val="11"/>
        <color theme="1"/>
        <rFont val="Times New Roman"/>
        <family val="1"/>
      </rPr>
      <t>C1-out-L</t>
    </r>
  </si>
  <si>
    <t>Recycle Flow Rate Vapor Inlet</t>
  </si>
  <si>
    <t>Recycle Flow Rate Liquid Inlet</t>
  </si>
  <si>
    <t>Recycle Flow Rate Vapor Outlet</t>
  </si>
  <si>
    <t>Recycle Flow Rate Liquid Outlet</t>
  </si>
  <si>
    <r>
      <t>m</t>
    </r>
    <r>
      <rPr>
        <vertAlign val="subscript"/>
        <sz val="11"/>
        <color theme="1"/>
        <rFont val="Times New Roman"/>
        <family val="1"/>
      </rPr>
      <t>C2-in-V</t>
    </r>
  </si>
  <si>
    <r>
      <t>m</t>
    </r>
    <r>
      <rPr>
        <vertAlign val="subscript"/>
        <sz val="11"/>
        <color theme="1"/>
        <rFont val="Times New Roman"/>
        <family val="1"/>
      </rPr>
      <t>C2-in-L</t>
    </r>
  </si>
  <si>
    <r>
      <t>m</t>
    </r>
    <r>
      <rPr>
        <vertAlign val="subscript"/>
        <sz val="11"/>
        <color theme="1"/>
        <rFont val="Times New Roman"/>
        <family val="1"/>
      </rPr>
      <t>C2-out-V</t>
    </r>
  </si>
  <si>
    <r>
      <t>m</t>
    </r>
    <r>
      <rPr>
        <vertAlign val="subscript"/>
        <sz val="11"/>
        <color theme="1"/>
        <rFont val="Times New Roman"/>
        <family val="1"/>
      </rPr>
      <t>C2-out-L</t>
    </r>
  </si>
  <si>
    <t>Feed Inlet Phase</t>
  </si>
  <si>
    <t>Feed Inlet Density</t>
  </si>
  <si>
    <t>Feed Outlet Phase</t>
  </si>
  <si>
    <t>Feed Outlet Density</t>
  </si>
  <si>
    <t>Feed Average Density</t>
  </si>
  <si>
    <t>Feed Pressure Drop</t>
  </si>
  <si>
    <t>Phase</t>
  </si>
  <si>
    <t>All Vapor dP</t>
  </si>
  <si>
    <t>Residue Inlet Phase</t>
  </si>
  <si>
    <t>Residue Inlet Density</t>
  </si>
  <si>
    <t>Residue Outlet Phase</t>
  </si>
  <si>
    <t>Residue Outlet Density</t>
  </si>
  <si>
    <t>Residue Average Density</t>
  </si>
  <si>
    <t>Residue Pressure Drop</t>
  </si>
  <si>
    <r>
      <rPr>
        <sz val="11"/>
        <color theme="1"/>
        <rFont val="Calibri"/>
        <family val="2"/>
      </rPr>
      <t>ρ</t>
    </r>
    <r>
      <rPr>
        <vertAlign val="subscript"/>
        <sz val="11"/>
        <color theme="1"/>
        <rFont val="Times New Roman"/>
        <family val="1"/>
      </rPr>
      <t>C1m</t>
    </r>
  </si>
  <si>
    <r>
      <rPr>
        <sz val="11"/>
        <color theme="1"/>
        <rFont val="Calibri"/>
        <family val="2"/>
      </rPr>
      <t>Δ</t>
    </r>
    <r>
      <rPr>
        <sz val="11"/>
        <color theme="1"/>
        <rFont val="Times New Roman"/>
        <family val="1"/>
      </rPr>
      <t>P</t>
    </r>
    <r>
      <rPr>
        <vertAlign val="subscript"/>
        <sz val="11"/>
        <color theme="1"/>
        <rFont val="Times New Roman"/>
        <family val="1"/>
      </rPr>
      <t>H</t>
    </r>
  </si>
  <si>
    <r>
      <rPr>
        <sz val="11"/>
        <color theme="1"/>
        <rFont val="Calibri"/>
        <family val="2"/>
      </rPr>
      <t>Δ</t>
    </r>
    <r>
      <rPr>
        <sz val="11"/>
        <color theme="1"/>
        <rFont val="Times New Roman"/>
        <family val="1"/>
      </rPr>
      <t>P</t>
    </r>
    <r>
      <rPr>
        <vertAlign val="subscript"/>
        <sz val="11"/>
        <color theme="1"/>
        <rFont val="Times New Roman"/>
        <family val="1"/>
      </rPr>
      <t>C1</t>
    </r>
  </si>
  <si>
    <t>Recycle Inlet Phase</t>
  </si>
  <si>
    <t>Recycle Inlet Density</t>
  </si>
  <si>
    <t>Recycle Outlet Phase</t>
  </si>
  <si>
    <t>Recycle Outlet Density</t>
  </si>
  <si>
    <t>Recycle Average Density</t>
  </si>
  <si>
    <t>Recycle Pressure Drop</t>
  </si>
  <si>
    <r>
      <rPr>
        <sz val="11"/>
        <color theme="1"/>
        <rFont val="Calibri"/>
        <family val="2"/>
      </rPr>
      <t>ρ</t>
    </r>
    <r>
      <rPr>
        <vertAlign val="subscript"/>
        <sz val="11"/>
        <color theme="1"/>
        <rFont val="Times New Roman"/>
        <family val="1"/>
      </rPr>
      <t>C2m</t>
    </r>
  </si>
  <si>
    <r>
      <rPr>
        <sz val="11"/>
        <color theme="1"/>
        <rFont val="Calibri"/>
        <family val="2"/>
      </rPr>
      <t>Δ</t>
    </r>
    <r>
      <rPr>
        <sz val="11"/>
        <color theme="1"/>
        <rFont val="Times New Roman"/>
        <family val="1"/>
      </rPr>
      <t>P</t>
    </r>
    <r>
      <rPr>
        <vertAlign val="subscript"/>
        <sz val="11"/>
        <color theme="1"/>
        <rFont val="Times New Roman"/>
        <family val="1"/>
      </rPr>
      <t>C2</t>
    </r>
  </si>
  <si>
    <t>Equation 9-34 (if applicable)</t>
  </si>
  <si>
    <t>Equation 9-29/30/31/32 (if applicable)</t>
  </si>
  <si>
    <t>Equation 9-33</t>
  </si>
  <si>
    <t>Equation 9-24/25/26/27/28 (if applicable)</t>
  </si>
  <si>
    <t>Equation 9-22/23 (if applicable)</t>
  </si>
  <si>
    <t>Equation 9-16</t>
  </si>
  <si>
    <t>Equation 9-17</t>
  </si>
  <si>
    <t>Figure 9-8</t>
  </si>
  <si>
    <t>Figure 9-10</t>
  </si>
  <si>
    <t>Figure 9-11</t>
  </si>
  <si>
    <t>Equation 9-5</t>
  </si>
  <si>
    <t>Equation 9-3</t>
  </si>
  <si>
    <t xml:space="preserve"> Figure 9-26</t>
  </si>
  <si>
    <t>Initial Shell ID</t>
  </si>
  <si>
    <t xml:space="preserve"> Figure 9-27</t>
  </si>
  <si>
    <t xml:space="preserve"> Figure 9-28</t>
  </si>
  <si>
    <t>GPSA Engineering Data Book 14th Edition</t>
  </si>
  <si>
    <t>FIG. 9-1</t>
  </si>
  <si>
    <t>Nomenclature</t>
  </si>
  <si>
    <t>REVISION</t>
  </si>
  <si>
    <t>DATE</t>
  </si>
  <si>
    <t>REASON(S) FOR REVISION</t>
  </si>
  <si>
    <t xml:space="preserve">Initial release </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</si>
  <si>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</si>
  <si>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</si>
  <si>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reference to or reliance on the information in this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</si>
  <si>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</si>
  <si>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t>From Figure 9-26</t>
  </si>
  <si>
    <t>From Figure 9-27</t>
  </si>
  <si>
    <t>From Figure 9-28</t>
  </si>
  <si>
    <t>From Figure 9-40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</si>
</sst>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
    <numFmt numFmtId="165" formatCode="#,##0.0"/>
    <numFmt numFmtId="166" formatCode="#,##0.000"/>
    <numFmt numFmtId="167" formatCode="0.0"/>
    <numFmt numFmtId="168" formatCode="0.0000"/>
    <numFmt numFmtId="169" formatCode="0.000"/>
    <numFmt numFmtId="170" formatCode="0.0%"/>
  </numFmts>
  <fonts count="27" x14ac:knownFonts="1">
    <font>
      <sz val="11"/>
      <color theme="1"/>
      <name val="Calibri"/>
      <family val="2"/>
      <scheme val="minor"/>
    </font>
    <font>
      <b/>
      <sz val="11"/>
      <color indexed="8"/>
      <name val="Calibri"/>
      <family val="2"/>
    </font>
    <font>
      <sz val="11"/>
      <color indexed="8"/>
      <name val="Times New Roman"/>
      <family val="1"/>
    </font>
    <font>
      <sz val="16"/>
      <color indexed="8"/>
      <name val="Franklin Gothic Demi"/>
      <family val="2"/>
    </font>
    <font>
      <b/>
      <sz val="11"/>
      <color indexed="8"/>
      <name val="Calibri"/>
      <family val="2"/>
    </font>
    <font>
      <b/>
      <sz val="11"/>
      <color theme="1"/>
      <name val="Calibri"/>
      <family val="2"/>
      <scheme val="minor"/>
    </font>
    <font>
      <sz val="11"/>
      <color rgb="FFC00000"/>
      <name val="Times New Roman"/>
      <family val="1"/>
    </font>
    <font>
      <b/>
      <sz val="11"/>
      <color indexed="8"/>
      <name val="Times New Roman"/>
      <family val="1"/>
    </font>
    <font>
      <sz val="11"/>
      <color theme="1"/>
      <name val="Times New Roman"/>
      <family val="1"/>
    </font>
    <font>
      <vertAlign val="subscript"/>
      <sz val="11"/>
      <color indexed="8"/>
      <name val="Times New Roman"/>
      <family val="1"/>
    </font>
    <font>
      <b/>
      <sz val="11"/>
      <color theme="1"/>
      <name val="Times New Roman"/>
      <family val="1"/>
    </font>
    <font>
      <vertAlign val="subscript"/>
      <sz val="11"/>
      <color theme="1"/>
      <name val="Times New Roman"/>
      <family val="1"/>
    </font>
    <font>
      <sz val="11"/>
      <color indexed="8"/>
      <name val="Calibri"/>
      <family val="2"/>
    </font>
    <font>
      <vertAlign val="superscript"/>
      <sz val="11"/>
      <color indexed="8"/>
      <name val="Times New Roman"/>
      <family val="1"/>
    </font>
    <font>
      <vertAlign val="subscript"/>
      <sz val="11"/>
      <color theme="1"/>
      <name val="Calibri"/>
      <family val="2"/>
      <scheme val="minor"/>
    </font>
    <font>
      <sz val="11"/>
      <color theme="1"/>
      <name val="Calibri"/>
      <family val="2"/>
    </font>
    <font>
      <vertAlign val="subscript"/>
      <sz val="11"/>
      <color theme="1"/>
      <name val="Calibri"/>
      <family val="2"/>
    </font>
    <font>
      <vertAlign val="subscript"/>
      <sz val="11"/>
      <color indexed="8"/>
      <name val="Calibri"/>
      <family val="2"/>
    </font>
    <font>
      <sz val="8.8000000000000007"/>
      <color indexed="8"/>
      <name val="Times New Roman"/>
      <family val="1"/>
    </font>
    <font>
      <sz val="11"/>
      <color indexed="8"/>
      <name val="EMprint Semibold"/>
      <family val="2"/>
    </font>
    <font>
      <sz val="11"/>
      <color theme="1"/>
      <name val="Calibri"/>
      <family val="2"/>
      <scheme val="minor"/>
    </font>
    <font>
      <vertAlign val="superscript"/>
      <sz val="11"/>
      <color theme="1"/>
      <name val="Times New Roman"/>
      <family val="1"/>
    </font>
    <font>
      <sz val="11"/>
      <color theme="4"/>
      <name val="Times New Roman"/>
      <family val="1"/>
    </font>
    <font>
      <sz val="10"/>
      <name val="Arial"/>
      <family val="2"/>
    </font>
    <font>
      <sz val="10"/>
      <name val="Times New Roman"/>
      <family val="1"/>
    </font>
    <font>
      <sz val="11"/>
      <name val="Times New Roman"/>
      <family val="1"/>
    </font>
    <font>
      <b/>
      <sz val="10"/>
      <name val="Times New Roman"/>
      <family val="1"/>
    </font>
  </fonts>
  <fills count="5">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20" fillId="0" borderId="0" applyFont="0" applyFill="0" applyBorder="0" applyAlignment="0" applyProtection="0"/>
    <xf numFmtId="0" fontId="23" fillId="0" borderId="0"/>
  </cellStyleXfs>
  <cellXfs count="160">
    <xf numFmtId="0" fontId="0" fillId="0" borderId="0" xfId="0"/>
    <xf numFmtId="0" fontId="8" fillId="3" borderId="0" xfId="0" applyFont="1" applyFill="1" applyAlignment="1" applyProtection="1">
      <alignment horizontal="center"/>
      <protection locked="0"/>
    </xf>
    <xf numFmtId="0" fontId="8" fillId="0" borderId="0" xfId="0" applyFont="1" applyProtection="1">
      <protection locked="0"/>
    </xf>
    <xf numFmtId="167" fontId="8" fillId="3" borderId="0" xfId="0" applyNumberFormat="1" applyFont="1" applyFill="1" applyAlignment="1" applyProtection="1">
      <alignment horizontal="center"/>
      <protection locked="0"/>
    </xf>
    <xf numFmtId="2" fontId="8" fillId="0" borderId="0" xfId="0" applyNumberFormat="1" applyFont="1" applyFill="1" applyAlignment="1" applyProtection="1">
      <alignment horizontal="center"/>
      <protection locked="0"/>
    </xf>
    <xf numFmtId="0" fontId="8" fillId="0" borderId="0" xfId="0" applyFont="1" applyFill="1" applyProtection="1">
      <protection locked="0"/>
    </xf>
    <xf numFmtId="167" fontId="8" fillId="0" borderId="0" xfId="0" applyNumberFormat="1" applyFont="1" applyFill="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25" fillId="0" borderId="0" xfId="2" applyFont="1" applyProtection="1"/>
    <xf numFmtId="0" fontId="23" fillId="0" borderId="0" xfId="2" applyProtection="1"/>
    <xf numFmtId="0" fontId="0" fillId="0" borderId="0" xfId="0" applyProtection="1"/>
    <xf numFmtId="0" fontId="26" fillId="4" borderId="2" xfId="2" applyFont="1" applyFill="1" applyBorder="1" applyAlignment="1" applyProtection="1">
      <alignment horizontal="center"/>
    </xf>
    <xf numFmtId="0" fontId="26" fillId="4" borderId="2" xfId="2" applyFont="1" applyFill="1" applyBorder="1" applyAlignment="1" applyProtection="1">
      <alignment horizontal="left"/>
    </xf>
    <xf numFmtId="0" fontId="25" fillId="0" borderId="2" xfId="2" applyFont="1" applyBorder="1" applyAlignment="1" applyProtection="1">
      <alignment horizontal="center"/>
    </xf>
    <xf numFmtId="14" fontId="25" fillId="0" borderId="2" xfId="2" applyNumberFormat="1" applyFont="1" applyBorder="1" applyAlignment="1" applyProtection="1">
      <alignment horizontal="center"/>
    </xf>
    <xf numFmtId="0" fontId="25" fillId="0" borderId="2" xfId="2" applyFont="1" applyBorder="1" applyProtection="1"/>
    <xf numFmtId="0" fontId="24" fillId="0" borderId="2" xfId="2" applyFont="1" applyBorder="1" applyProtection="1"/>
    <xf numFmtId="0" fontId="8" fillId="0" borderId="0" xfId="0" applyFont="1" applyProtection="1"/>
    <xf numFmtId="0" fontId="25" fillId="0" borderId="0" xfId="2" applyFont="1" applyProtection="1">
      <protection locked="0"/>
    </xf>
    <xf numFmtId="0" fontId="0" fillId="0" borderId="0" xfId="0" applyProtection="1">
      <protection locked="0"/>
    </xf>
    <xf numFmtId="0" fontId="7" fillId="3" borderId="0" xfId="0" applyFont="1" applyFill="1" applyAlignment="1" applyProtection="1">
      <alignment horizontal="left" vertical="center"/>
      <protection locked="0"/>
    </xf>
    <xf numFmtId="0" fontId="7" fillId="3" borderId="0" xfId="0" applyFont="1" applyFill="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0" xfId="0"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2" fillId="3" borderId="0" xfId="0" applyFont="1" applyFill="1" applyAlignment="1" applyProtection="1">
      <alignment horizontal="left" vertical="center"/>
      <protection locked="0"/>
    </xf>
    <xf numFmtId="0" fontId="12"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169" fontId="0" fillId="0" borderId="0" xfId="0" applyNumberFormat="1" applyProtection="1">
      <protection locked="0"/>
    </xf>
    <xf numFmtId="0" fontId="22" fillId="3" borderId="0" xfId="0" applyFont="1" applyFill="1" applyAlignment="1" applyProtection="1">
      <alignment horizontal="left" vertical="center" wrapText="1"/>
      <protection locked="0"/>
    </xf>
    <xf numFmtId="167" fontId="2" fillId="3" borderId="0" xfId="0" applyNumberFormat="1" applyFont="1" applyFill="1" applyAlignment="1" applyProtection="1">
      <alignment horizontal="center" vertical="center" wrapText="1"/>
      <protection locked="0"/>
    </xf>
    <xf numFmtId="0" fontId="8" fillId="0" borderId="0" xfId="0" applyFont="1" applyAlignment="1" applyProtection="1">
      <alignment vertical="center"/>
      <protection locked="0"/>
    </xf>
    <xf numFmtId="0" fontId="0" fillId="0" borderId="0" xfId="0" applyAlignment="1" applyProtection="1">
      <alignment vertical="center"/>
      <protection locked="0"/>
    </xf>
    <xf numFmtId="1" fontId="2" fillId="3" borderId="0" xfId="0" applyNumberFormat="1" applyFont="1" applyFill="1" applyAlignment="1" applyProtection="1">
      <alignment horizontal="center" vertical="center" wrapText="1"/>
      <protection locked="0"/>
    </xf>
    <xf numFmtId="2" fontId="2" fillId="3" borderId="0" xfId="0" applyNumberFormat="1" applyFont="1" applyFill="1" applyAlignment="1" applyProtection="1">
      <alignment horizontal="center" vertical="center" wrapText="1"/>
      <protection locked="0"/>
    </xf>
    <xf numFmtId="169" fontId="2" fillId="3" borderId="0" xfId="0" applyNumberFormat="1" applyFont="1" applyFill="1" applyAlignment="1" applyProtection="1">
      <alignment horizontal="left" vertical="center" wrapText="1"/>
      <protection locked="0"/>
    </xf>
    <xf numFmtId="168" fontId="2" fillId="3" borderId="0" xfId="0" applyNumberFormat="1" applyFont="1" applyFill="1" applyAlignment="1" applyProtection="1">
      <alignment horizontal="left" vertical="center" wrapText="1"/>
      <protection locked="0"/>
    </xf>
    <xf numFmtId="0" fontId="19" fillId="3" borderId="0" xfId="0" applyFont="1" applyFill="1" applyAlignment="1" applyProtection="1">
      <alignment horizontal="left" vertical="center"/>
      <protection locked="0"/>
    </xf>
    <xf numFmtId="0" fontId="6" fillId="0" borderId="0" xfId="0" applyFont="1" applyProtection="1">
      <protection locked="0"/>
    </xf>
    <xf numFmtId="2" fontId="2" fillId="3" borderId="0" xfId="0" applyNumberFormat="1" applyFont="1" applyFill="1" applyAlignment="1" applyProtection="1">
      <alignment horizontal="left" vertical="center" wrapText="1"/>
      <protection locked="0"/>
    </xf>
    <xf numFmtId="167" fontId="2" fillId="3" borderId="0" xfId="0" applyNumberFormat="1" applyFont="1" applyFill="1" applyAlignment="1" applyProtection="1">
      <alignment horizontal="left" vertical="center" wrapText="1"/>
      <protection locked="0"/>
    </xf>
    <xf numFmtId="170" fontId="2" fillId="3" borderId="0" xfId="1" applyNumberFormat="1" applyFont="1" applyFill="1" applyAlignment="1" applyProtection="1">
      <alignment horizontal="left" vertical="center" wrapText="1"/>
      <protection locked="0"/>
    </xf>
    <xf numFmtId="0" fontId="2" fillId="0" borderId="0" xfId="0" applyFont="1" applyFill="1" applyAlignment="1" applyProtection="1">
      <alignment horizontal="left" vertical="center" wrapText="1"/>
      <protection locked="0"/>
    </xf>
    <xf numFmtId="0" fontId="6" fillId="0" borderId="0" xfId="2" applyFont="1" applyFill="1" applyProtection="1">
      <protection locked="0"/>
    </xf>
    <xf numFmtId="164" fontId="8" fillId="0" borderId="0" xfId="0" applyNumberFormat="1" applyFont="1" applyFill="1" applyProtection="1">
      <protection locked="0"/>
    </xf>
    <xf numFmtId="167" fontId="8" fillId="0" borderId="0" xfId="0" applyNumberFormat="1" applyFont="1" applyFill="1" applyProtection="1">
      <protection locked="0"/>
    </xf>
    <xf numFmtId="0" fontId="6" fillId="0" borderId="0" xfId="2" applyFont="1" applyProtection="1">
      <protection locked="0"/>
    </xf>
    <xf numFmtId="0" fontId="7" fillId="0" borderId="0" xfId="0" applyFont="1" applyFill="1" applyProtection="1">
      <protection locked="0"/>
    </xf>
    <xf numFmtId="0" fontId="7" fillId="2" borderId="0" xfId="0" applyFont="1" applyFill="1" applyProtection="1"/>
    <xf numFmtId="0" fontId="8" fillId="2" borderId="0" xfId="0" applyFont="1" applyFill="1" applyProtection="1"/>
    <xf numFmtId="3" fontId="8" fillId="2" borderId="0" xfId="0" applyNumberFormat="1" applyFont="1" applyFill="1" applyBorder="1" applyProtection="1"/>
    <xf numFmtId="0" fontId="8" fillId="2" borderId="0" xfId="0" applyFont="1" applyFill="1" applyBorder="1" applyProtection="1"/>
    <xf numFmtId="3" fontId="8" fillId="2" borderId="0" xfId="0" applyNumberFormat="1" applyFont="1" applyFill="1" applyProtection="1"/>
    <xf numFmtId="167" fontId="8" fillId="2" borderId="0" xfId="0" applyNumberFormat="1" applyFont="1" applyFill="1" applyProtection="1"/>
    <xf numFmtId="0" fontId="8" fillId="2" borderId="0" xfId="0" applyFont="1" applyFill="1" applyAlignment="1" applyProtection="1">
      <alignment vertical="center"/>
    </xf>
    <xf numFmtId="0" fontId="8" fillId="2" borderId="0" xfId="0" applyFont="1" applyFill="1" applyBorder="1" applyAlignment="1" applyProtection="1">
      <alignment vertical="center"/>
    </xf>
    <xf numFmtId="0" fontId="2" fillId="2" borderId="0" xfId="0" applyFont="1" applyFill="1" applyProtection="1"/>
    <xf numFmtId="2" fontId="8" fillId="2" borderId="0" xfId="0" applyNumberFormat="1" applyFont="1" applyFill="1" applyProtection="1"/>
    <xf numFmtId="0" fontId="2" fillId="2" borderId="0" xfId="0" applyFont="1" applyFill="1" applyAlignment="1" applyProtection="1">
      <alignment vertical="center"/>
    </xf>
    <xf numFmtId="164" fontId="8" fillId="2" borderId="0" xfId="0" applyNumberFormat="1" applyFont="1" applyFill="1" applyProtection="1"/>
    <xf numFmtId="0" fontId="6" fillId="2" borderId="0" xfId="0" applyFont="1" applyFill="1" applyProtection="1"/>
    <xf numFmtId="0" fontId="8" fillId="0" borderId="0" xfId="0" applyFont="1" applyAlignment="1" applyProtection="1">
      <alignment horizontal="center"/>
      <protection locked="0"/>
    </xf>
    <xf numFmtId="0" fontId="7" fillId="3" borderId="0" xfId="0" applyFont="1" applyFill="1" applyProtection="1">
      <protection locked="0"/>
    </xf>
    <xf numFmtId="0" fontId="8" fillId="3" borderId="0" xfId="0" applyFont="1" applyFill="1" applyProtection="1">
      <protection locked="0"/>
    </xf>
    <xf numFmtId="0" fontId="10" fillId="0" borderId="0" xfId="0" applyFont="1" applyProtection="1">
      <protection locked="0"/>
    </xf>
    <xf numFmtId="0" fontId="10" fillId="3" borderId="0" xfId="0" applyFont="1" applyFill="1" applyProtection="1">
      <protection locked="0"/>
    </xf>
    <xf numFmtId="0" fontId="10" fillId="3" borderId="0" xfId="0" applyFont="1" applyFill="1" applyAlignment="1" applyProtection="1">
      <alignment horizontal="center"/>
      <protection locked="0"/>
    </xf>
    <xf numFmtId="0" fontId="5" fillId="0" borderId="0" xfId="0" applyFont="1" applyProtection="1">
      <protection locked="0"/>
    </xf>
    <xf numFmtId="0" fontId="2" fillId="3" borderId="0" xfId="0" applyFont="1" applyFill="1" applyProtection="1">
      <protection locked="0"/>
    </xf>
    <xf numFmtId="0" fontId="8" fillId="3" borderId="0" xfId="0" applyFont="1" applyFill="1" applyAlignment="1" applyProtection="1">
      <alignment vertical="center" wrapText="1"/>
      <protection locked="0"/>
    </xf>
    <xf numFmtId="0" fontId="8" fillId="3" borderId="0" xfId="0" applyFont="1" applyFill="1" applyAlignment="1" applyProtection="1">
      <alignment horizontal="right"/>
      <protection locked="0"/>
    </xf>
    <xf numFmtId="0" fontId="8" fillId="3" borderId="0" xfId="0" applyFont="1" applyFill="1" applyAlignment="1" applyProtection="1">
      <alignment horizontal="center" vertical="center"/>
      <protection locked="0"/>
    </xf>
    <xf numFmtId="0" fontId="8" fillId="3" borderId="0" xfId="0" applyFont="1" applyFill="1" applyAlignment="1" applyProtection="1">
      <alignment vertical="center"/>
      <protection locked="0"/>
    </xf>
    <xf numFmtId="2" fontId="8" fillId="3" borderId="0" xfId="0" applyNumberFormat="1" applyFont="1" applyFill="1" applyAlignment="1" applyProtection="1">
      <alignment horizontal="center" vertical="center"/>
      <protection locked="0"/>
    </xf>
    <xf numFmtId="167" fontId="8" fillId="3" borderId="0" xfId="0" applyNumberFormat="1" applyFont="1" applyFill="1" applyAlignment="1" applyProtection="1">
      <alignment horizontal="center" vertical="center"/>
      <protection locked="0"/>
    </xf>
    <xf numFmtId="1" fontId="8" fillId="3" borderId="0" xfId="0" applyNumberFormat="1" applyFont="1" applyFill="1" applyAlignment="1" applyProtection="1">
      <alignment horizontal="center" vertical="center"/>
      <protection locked="0"/>
    </xf>
    <xf numFmtId="0" fontId="7" fillId="0" borderId="0" xfId="0" applyFont="1" applyProtection="1">
      <protection locked="0"/>
    </xf>
    <xf numFmtId="0" fontId="1" fillId="0" borderId="0" xfId="0" applyFont="1" applyProtection="1">
      <protection locked="0"/>
    </xf>
    <xf numFmtId="0" fontId="8" fillId="0" borderId="0" xfId="0" applyFont="1" applyFill="1" applyAlignment="1" applyProtection="1">
      <alignment vertical="center" wrapText="1"/>
      <protection locked="0"/>
    </xf>
    <xf numFmtId="0" fontId="8" fillId="0" borderId="0" xfId="0" applyFont="1" applyFill="1" applyAlignment="1" applyProtection="1">
      <alignment vertical="center"/>
      <protection locked="0"/>
    </xf>
    <xf numFmtId="0" fontId="8" fillId="0" borderId="0" xfId="0" applyFont="1" applyFill="1" applyAlignment="1" applyProtection="1">
      <alignment horizontal="center"/>
      <protection locked="0"/>
    </xf>
    <xf numFmtId="3" fontId="8" fillId="0" borderId="0" xfId="0" applyNumberFormat="1" applyFont="1" applyFill="1" applyAlignment="1" applyProtection="1">
      <alignment horizontal="center"/>
      <protection locked="0"/>
    </xf>
    <xf numFmtId="3" fontId="7" fillId="0" borderId="0" xfId="0" applyNumberFormat="1" applyFont="1" applyFill="1" applyAlignment="1" applyProtection="1">
      <alignment horizontal="center"/>
      <protection locked="0"/>
    </xf>
    <xf numFmtId="0" fontId="7" fillId="0" borderId="0" xfId="0" applyFont="1" applyFill="1" applyAlignment="1" applyProtection="1">
      <alignment horizontal="center"/>
      <protection locked="0"/>
    </xf>
    <xf numFmtId="0" fontId="8" fillId="2" borderId="0" xfId="0" applyFont="1" applyFill="1" applyAlignment="1" applyProtection="1">
      <alignment horizontal="center"/>
    </xf>
    <xf numFmtId="0" fontId="10" fillId="2" borderId="0" xfId="0" applyFont="1" applyFill="1" applyProtection="1"/>
    <xf numFmtId="0" fontId="10" fillId="2" borderId="0" xfId="0" applyFont="1" applyFill="1" applyAlignment="1" applyProtection="1">
      <alignment horizontal="center"/>
    </xf>
    <xf numFmtId="0" fontId="8" fillId="2" borderId="0" xfId="0" applyFont="1" applyFill="1" applyAlignment="1" applyProtection="1">
      <alignment vertical="center" wrapText="1"/>
    </xf>
    <xf numFmtId="0" fontId="8" fillId="2" borderId="0" xfId="0" applyFont="1" applyFill="1" applyAlignment="1" applyProtection="1">
      <alignment horizontal="center" vertical="center"/>
    </xf>
    <xf numFmtId="2" fontId="8" fillId="2" borderId="0" xfId="0" applyNumberFormat="1" applyFont="1" applyFill="1" applyAlignment="1" applyProtection="1">
      <alignment horizontal="center"/>
    </xf>
    <xf numFmtId="167" fontId="8" fillId="2" borderId="0" xfId="0" applyNumberFormat="1" applyFont="1" applyFill="1" applyAlignment="1" applyProtection="1">
      <alignment horizontal="center" vertical="center"/>
    </xf>
    <xf numFmtId="3" fontId="8" fillId="2" borderId="0" xfId="0" applyNumberFormat="1" applyFont="1" applyFill="1" applyAlignment="1" applyProtection="1">
      <alignment horizontal="center"/>
    </xf>
    <xf numFmtId="3" fontId="7" fillId="2" borderId="0" xfId="0" applyNumberFormat="1" applyFont="1" applyFill="1" applyAlignment="1" applyProtection="1">
      <alignment horizontal="center"/>
    </xf>
    <xf numFmtId="0" fontId="7" fillId="2" borderId="0" xfId="0" applyFont="1" applyFill="1" applyAlignment="1" applyProtection="1">
      <alignment horizontal="center"/>
    </xf>
    <xf numFmtId="0" fontId="3" fillId="0" borderId="0" xfId="0" applyFont="1" applyAlignment="1" applyProtection="1">
      <alignment horizontal="center"/>
    </xf>
    <xf numFmtId="16" fontId="0" fillId="0" borderId="0" xfId="0" applyNumberFormat="1" applyProtection="1"/>
    <xf numFmtId="0" fontId="0" fillId="0" borderId="0" xfId="0" applyAlignment="1" applyProtection="1">
      <alignment horizontal="center"/>
      <protection locked="0"/>
    </xf>
    <xf numFmtId="0" fontId="22" fillId="3" borderId="0" xfId="0" applyFont="1" applyFill="1" applyProtection="1">
      <protection locked="0"/>
    </xf>
    <xf numFmtId="2" fontId="8" fillId="3" borderId="0" xfId="0" applyNumberFormat="1" applyFont="1" applyFill="1" applyAlignment="1" applyProtection="1">
      <alignment horizontal="center"/>
      <protection locked="0"/>
    </xf>
    <xf numFmtId="1" fontId="10" fillId="3" borderId="0" xfId="0" applyNumberFormat="1" applyFont="1" applyFill="1" applyAlignment="1" applyProtection="1">
      <alignment horizontal="center"/>
      <protection locked="0"/>
    </xf>
    <xf numFmtId="0" fontId="8" fillId="0" borderId="0" xfId="0" applyFont="1" applyAlignment="1" applyProtection="1">
      <alignment horizontal="left"/>
      <protection locked="0"/>
    </xf>
    <xf numFmtId="0" fontId="2" fillId="0" borderId="0" xfId="0" applyFont="1" applyFill="1" applyProtection="1">
      <protection locked="0"/>
    </xf>
    <xf numFmtId="0" fontId="8" fillId="0" borderId="0" xfId="0" applyFont="1" applyFill="1" applyAlignment="1" applyProtection="1">
      <alignment horizontal="left" vertical="center"/>
      <protection locked="0"/>
    </xf>
    <xf numFmtId="0" fontId="8" fillId="0" borderId="0" xfId="0" applyFont="1" applyFill="1" applyAlignment="1" applyProtection="1">
      <alignment horizontal="left"/>
      <protection locked="0"/>
    </xf>
    <xf numFmtId="0" fontId="7" fillId="0" borderId="0" xfId="0" applyFont="1" applyFill="1" applyAlignment="1" applyProtection="1">
      <alignment horizontal="left"/>
      <protection locked="0"/>
    </xf>
    <xf numFmtId="0" fontId="8" fillId="2" borderId="0" xfId="0" applyFont="1" applyFill="1" applyAlignment="1" applyProtection="1">
      <alignment horizontal="left" vertical="center"/>
    </xf>
    <xf numFmtId="0" fontId="8" fillId="2" borderId="0" xfId="0" applyFont="1" applyFill="1" applyAlignment="1" applyProtection="1">
      <alignment horizontal="left"/>
    </xf>
    <xf numFmtId="0" fontId="7" fillId="2" borderId="0" xfId="0" applyFont="1" applyFill="1" applyAlignment="1" applyProtection="1">
      <alignment horizontal="center" vertical="center"/>
    </xf>
    <xf numFmtId="0" fontId="7" fillId="2" borderId="0" xfId="0" applyFont="1" applyFill="1" applyAlignment="1" applyProtection="1">
      <alignment horizontal="left"/>
    </xf>
    <xf numFmtId="0" fontId="5" fillId="0" borderId="0" xfId="0" applyFont="1" applyProtection="1"/>
    <xf numFmtId="0" fontId="0" fillId="0" borderId="2" xfId="0" applyBorder="1" applyAlignment="1" applyProtection="1">
      <alignment horizontal="center"/>
    </xf>
    <xf numFmtId="0" fontId="0" fillId="0" borderId="0" xfId="0" applyAlignment="1" applyProtection="1">
      <alignment horizontal="center"/>
    </xf>
    <xf numFmtId="0" fontId="0" fillId="0" borderId="2" xfId="0" applyBorder="1" applyProtection="1"/>
    <xf numFmtId="0" fontId="1" fillId="0" borderId="0" xfId="0" applyFont="1" applyProtection="1"/>
    <xf numFmtId="0" fontId="12" fillId="0" borderId="2" xfId="0" applyFont="1" applyBorder="1" applyAlignment="1" applyProtection="1">
      <alignment horizontal="center"/>
    </xf>
    <xf numFmtId="0" fontId="4" fillId="0" borderId="0" xfId="0" applyFont="1" applyProtection="1">
      <protection locked="0"/>
    </xf>
    <xf numFmtId="1" fontId="8" fillId="3" borderId="0" xfId="0" applyNumberFormat="1" applyFont="1" applyFill="1" applyAlignment="1" applyProtection="1">
      <alignment horizontal="center"/>
      <protection locked="0"/>
    </xf>
    <xf numFmtId="0" fontId="7" fillId="3" borderId="0" xfId="0" applyFont="1" applyFill="1" applyAlignment="1" applyProtection="1">
      <alignment horizontal="center"/>
      <protection locked="0"/>
    </xf>
    <xf numFmtId="165" fontId="8" fillId="2" borderId="0" xfId="0" applyNumberFormat="1" applyFont="1" applyFill="1" applyAlignment="1" applyProtection="1">
      <alignment horizontal="center"/>
    </xf>
    <xf numFmtId="166" fontId="8" fillId="2" borderId="0" xfId="0" applyNumberFormat="1" applyFont="1" applyFill="1" applyAlignment="1" applyProtection="1">
      <alignment horizontal="center"/>
    </xf>
    <xf numFmtId="0" fontId="8" fillId="2" borderId="0" xfId="0" applyFont="1" applyFill="1" applyAlignment="1" applyProtection="1">
      <alignment horizontal="left" wrapText="1"/>
    </xf>
    <xf numFmtId="0" fontId="8" fillId="2" borderId="0" xfId="0" applyFont="1" applyFill="1" applyAlignment="1" applyProtection="1">
      <alignment horizontal="left" vertical="center" wrapText="1"/>
    </xf>
    <xf numFmtId="1" fontId="8" fillId="2" borderId="0" xfId="0" applyNumberFormat="1" applyFont="1" applyFill="1" applyAlignment="1" applyProtection="1">
      <alignment horizontal="center" vertical="center"/>
    </xf>
    <xf numFmtId="167" fontId="10" fillId="2" borderId="0" xfId="0" applyNumberFormat="1" applyFont="1" applyFill="1" applyAlignment="1" applyProtection="1">
      <alignment horizontal="center"/>
    </xf>
    <xf numFmtId="2" fontId="10" fillId="2" borderId="0" xfId="0" applyNumberFormat="1" applyFont="1" applyFill="1" applyAlignment="1" applyProtection="1">
      <alignment horizontal="center"/>
    </xf>
    <xf numFmtId="0" fontId="7" fillId="2" borderId="0" xfId="0" applyFont="1" applyFill="1" applyAlignment="1" applyProtection="1">
      <alignment horizontal="left" vertical="center" wrapText="1"/>
    </xf>
    <xf numFmtId="0" fontId="8" fillId="0" borderId="2" xfId="0" applyFont="1" applyBorder="1" applyAlignment="1" applyProtection="1">
      <alignment horizontal="center"/>
    </xf>
    <xf numFmtId="0" fontId="8" fillId="0" borderId="2" xfId="0" applyFont="1" applyBorder="1" applyAlignment="1" applyProtection="1">
      <alignment horizontal="center" vertical="center"/>
    </xf>
    <xf numFmtId="0" fontId="8" fillId="0" borderId="0" xfId="0" applyFont="1" applyAlignment="1" applyProtection="1">
      <alignment vertical="center"/>
    </xf>
    <xf numFmtId="0" fontId="0" fillId="0" borderId="2" xfId="0" applyBorder="1" applyAlignment="1" applyProtection="1">
      <alignment horizontal="center" vertical="center"/>
    </xf>
    <xf numFmtId="0" fontId="0" fillId="0" borderId="0" xfId="0" applyAlignment="1" applyProtection="1">
      <alignment vertical="center"/>
    </xf>
    <xf numFmtId="167" fontId="8" fillId="0" borderId="2" xfId="0" applyNumberFormat="1" applyFont="1" applyBorder="1" applyAlignment="1" applyProtection="1">
      <alignment horizontal="center"/>
    </xf>
    <xf numFmtId="0" fontId="7" fillId="0" borderId="0" xfId="0" applyFont="1" applyProtection="1"/>
    <xf numFmtId="0" fontId="4" fillId="0" borderId="0" xfId="0" applyFont="1" applyProtection="1"/>
    <xf numFmtId="0" fontId="10" fillId="0" borderId="0" xfId="0" applyFont="1" applyAlignment="1" applyProtection="1">
      <alignment horizontal="center"/>
    </xf>
    <xf numFmtId="0" fontId="10" fillId="0" borderId="1" xfId="0" applyFont="1" applyBorder="1" applyAlignment="1" applyProtection="1">
      <alignment horizontal="center"/>
    </xf>
    <xf numFmtId="0" fontId="15" fillId="0" borderId="0" xfId="0" applyFont="1" applyAlignment="1" applyProtection="1">
      <alignment horizontal="center"/>
      <protection locked="0"/>
    </xf>
    <xf numFmtId="0" fontId="0" fillId="0" borderId="0" xfId="0" applyAlignment="1" applyProtection="1">
      <alignment horizontal="center"/>
      <protection locked="0"/>
    </xf>
    <xf numFmtId="0" fontId="8" fillId="2" borderId="0" xfId="0" applyFont="1" applyFill="1" applyAlignment="1" applyProtection="1">
      <alignment horizontal="left" vertical="center" wrapText="1"/>
    </xf>
    <xf numFmtId="0" fontId="7" fillId="2" borderId="0" xfId="0" applyFont="1" applyFill="1" applyAlignment="1" applyProtection="1">
      <alignment horizontal="left" vertical="center" wrapText="1"/>
    </xf>
    <xf numFmtId="0" fontId="8" fillId="2" borderId="0" xfId="0" applyFont="1" applyFill="1" applyBorder="1" applyAlignment="1" applyProtection="1">
      <alignment horizontal="center"/>
    </xf>
    <xf numFmtId="0" fontId="7" fillId="2" borderId="0" xfId="0" applyFont="1" applyFill="1" applyAlignment="1" applyProtection="1">
      <alignment horizontal="left" wrapText="1"/>
    </xf>
    <xf numFmtId="3" fontId="8" fillId="2" borderId="0" xfId="0" applyNumberFormat="1" applyFont="1" applyFill="1" applyBorder="1" applyAlignment="1" applyProtection="1">
      <alignment horizontal="center"/>
    </xf>
    <xf numFmtId="0" fontId="8" fillId="2" borderId="0" xfId="0" applyFont="1" applyFill="1" applyAlignment="1" applyProtection="1">
      <alignment horizontal="left" wrapText="1"/>
    </xf>
    <xf numFmtId="0" fontId="7" fillId="0" borderId="0" xfId="0" applyFont="1" applyFill="1" applyAlignment="1" applyProtection="1">
      <alignment horizontal="left" wrapText="1"/>
      <protection locked="0"/>
    </xf>
    <xf numFmtId="0" fontId="7" fillId="3"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0" fillId="0" borderId="3" xfId="0" applyBorder="1" applyAlignment="1" applyProtection="1">
      <alignment horizontal="center"/>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2" xfId="0" applyBorder="1" applyAlignment="1" applyProtection="1">
      <alignment horizontal="center"/>
    </xf>
    <xf numFmtId="0" fontId="7" fillId="2" borderId="0" xfId="0" applyFont="1" applyFill="1" applyAlignment="1" applyProtection="1">
      <alignment horizontal="center"/>
    </xf>
    <xf numFmtId="0" fontId="8" fillId="2" borderId="0" xfId="0" applyFont="1" applyFill="1" applyAlignment="1" applyProtection="1">
      <alignment horizontal="left" vertical="center"/>
    </xf>
    <xf numFmtId="0" fontId="7" fillId="0" borderId="0" xfId="0" applyFont="1" applyFill="1" applyAlignment="1" applyProtection="1">
      <alignment horizontal="center"/>
      <protection locked="0"/>
    </xf>
    <xf numFmtId="0" fontId="8" fillId="0" borderId="0" xfId="0" applyFont="1" applyFill="1" applyAlignment="1" applyProtection="1">
      <alignment horizontal="left" wrapText="1"/>
      <protection locked="0"/>
    </xf>
    <xf numFmtId="0" fontId="8" fillId="3" borderId="0" xfId="0" applyFont="1" applyFill="1" applyAlignment="1" applyProtection="1">
      <alignment horizontal="left" vertical="center" wrapText="1"/>
      <protection locked="0"/>
    </xf>
    <xf numFmtId="0" fontId="2" fillId="2" borderId="0" xfId="0" applyFont="1" applyFill="1" applyAlignment="1" applyProtection="1">
      <alignment horizontal="left" vertical="center" wrapText="1"/>
    </xf>
    <xf numFmtId="0" fontId="2" fillId="3" borderId="0" xfId="0" applyFont="1" applyFill="1" applyAlignment="1" applyProtection="1">
      <alignment horizontal="left" vertical="center" wrapText="1"/>
      <protection locked="0"/>
    </xf>
  </cellXfs>
  <cellStyles count="3">
    <cellStyle name="Normal" xfId="0" builtinId="0"/>
    <cellStyle name="Normal 2" xfId="2"/>
    <cellStyle name="Percent" xfId="1"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Tube OD=1;Pitch=1.25</c:v>
          </c:tx>
          <c:spPr>
            <a:ln w="28575">
              <a:noFill/>
            </a:ln>
          </c:spPr>
          <c:trendline>
            <c:trendlineType val="poly"/>
            <c:order val="2"/>
            <c:dispRSqr val="1"/>
            <c:dispEq val="1"/>
            <c:trendlineLbl>
              <c:layout>
                <c:manualLayout>
                  <c:x val="-0.32740027557366447"/>
                  <c:y val="3.9144868436894222E-2"/>
                </c:manualLayout>
              </c:layout>
              <c:tx>
                <c:rich>
                  <a:bodyPr/>
                  <a:lstStyle/>
                  <a:p>
                    <a:pPr>
                      <a:defRPr/>
                    </a:pPr>
                    <a:r>
                      <a:rPr lang="en-US" baseline="0">
                        <a:solidFill>
                          <a:schemeClr val="accent1"/>
                        </a:solidFill>
                      </a:rPr>
                      <a:t>y = -0.00001x</a:t>
                    </a:r>
                    <a:r>
                      <a:rPr lang="en-US" baseline="30000">
                        <a:solidFill>
                          <a:schemeClr val="accent1"/>
                        </a:solidFill>
                      </a:rPr>
                      <a:t>2</a:t>
                    </a:r>
                    <a:r>
                      <a:rPr lang="en-US" baseline="0">
                        <a:solidFill>
                          <a:schemeClr val="accent1"/>
                        </a:solidFill>
                      </a:rPr>
                      <a:t> + 0.03451x + 14.55635
R² = 0.99835</a:t>
                    </a:r>
                    <a:endParaRPr lang="en-US">
                      <a:solidFill>
                        <a:schemeClr val="accent1"/>
                      </a:solidFill>
                    </a:endParaRPr>
                  </a:p>
                </c:rich>
              </c:tx>
              <c:numFmt formatCode="#,##0.00000" sourceLinked="0"/>
            </c:trendlineLbl>
          </c:trendline>
          <c:xVal>
            <c:numRef>
              <c:f>'Example 9-3'!$P$15:$P$33</c:f>
              <c:numCache>
                <c:formatCode>General</c:formatCode>
                <c:ptCount val="19"/>
                <c:pt idx="0">
                  <c:v>200</c:v>
                </c:pt>
                <c:pt idx="1">
                  <c:v>300</c:v>
                </c:pt>
                <c:pt idx="2">
                  <c:v>400</c:v>
                </c:pt>
                <c:pt idx="3">
                  <c:v>500</c:v>
                </c:pt>
                <c:pt idx="4">
                  <c:v>600</c:v>
                </c:pt>
                <c:pt idx="5">
                  <c:v>700</c:v>
                </c:pt>
                <c:pt idx="6">
                  <c:v>800</c:v>
                </c:pt>
                <c:pt idx="7">
                  <c:v>900</c:v>
                </c:pt>
                <c:pt idx="8">
                  <c:v>1000</c:v>
                </c:pt>
                <c:pt idx="9">
                  <c:v>1100</c:v>
                </c:pt>
                <c:pt idx="10">
                  <c:v>1200</c:v>
                </c:pt>
                <c:pt idx="11">
                  <c:v>1300</c:v>
                </c:pt>
                <c:pt idx="12">
                  <c:v>1400</c:v>
                </c:pt>
                <c:pt idx="13">
                  <c:v>1500</c:v>
                </c:pt>
                <c:pt idx="14">
                  <c:v>1600</c:v>
                </c:pt>
                <c:pt idx="15">
                  <c:v>1700</c:v>
                </c:pt>
                <c:pt idx="16">
                  <c:v>1800</c:v>
                </c:pt>
                <c:pt idx="17">
                  <c:v>1900</c:v>
                </c:pt>
                <c:pt idx="18">
                  <c:v>2000</c:v>
                </c:pt>
              </c:numCache>
            </c:numRef>
          </c:xVal>
          <c:yVal>
            <c:numRef>
              <c:f>'Example 9-3'!$Q$15:$Q$33</c:f>
              <c:numCache>
                <c:formatCode>General</c:formatCode>
                <c:ptCount val="19"/>
                <c:pt idx="0">
                  <c:v>20.5</c:v>
                </c:pt>
                <c:pt idx="1">
                  <c:v>24</c:v>
                </c:pt>
                <c:pt idx="2">
                  <c:v>27</c:v>
                </c:pt>
                <c:pt idx="3">
                  <c:v>31</c:v>
                </c:pt>
                <c:pt idx="4">
                  <c:v>34</c:v>
                </c:pt>
                <c:pt idx="5">
                  <c:v>36.5</c:v>
                </c:pt>
                <c:pt idx="6">
                  <c:v>38.5</c:v>
                </c:pt>
                <c:pt idx="7">
                  <c:v>41</c:v>
                </c:pt>
                <c:pt idx="8">
                  <c:v>43</c:v>
                </c:pt>
                <c:pt idx="9">
                  <c:v>45</c:v>
                </c:pt>
                <c:pt idx="10">
                  <c:v>47</c:v>
                </c:pt>
                <c:pt idx="11">
                  <c:v>49</c:v>
                </c:pt>
                <c:pt idx="12">
                  <c:v>50.5</c:v>
                </c:pt>
                <c:pt idx="13">
                  <c:v>52</c:v>
                </c:pt>
                <c:pt idx="14">
                  <c:v>54</c:v>
                </c:pt>
                <c:pt idx="15">
                  <c:v>56</c:v>
                </c:pt>
                <c:pt idx="16">
                  <c:v>57</c:v>
                </c:pt>
                <c:pt idx="17">
                  <c:v>58.5</c:v>
                </c:pt>
                <c:pt idx="18">
                  <c:v>60</c:v>
                </c:pt>
              </c:numCache>
            </c:numRef>
          </c:yVal>
          <c:smooth val="0"/>
        </c:ser>
        <c:ser>
          <c:idx val="1"/>
          <c:order val="1"/>
          <c:tx>
            <c:v>Tube OD=0.75; Pitch=1</c:v>
          </c:tx>
          <c:spPr>
            <a:ln w="28575">
              <a:noFill/>
            </a:ln>
          </c:spPr>
          <c:trendline>
            <c:trendlineType val="poly"/>
            <c:order val="2"/>
            <c:dispRSqr val="1"/>
            <c:dispEq val="1"/>
            <c:trendlineLbl>
              <c:layout>
                <c:manualLayout>
                  <c:x val="-0.34030350356506706"/>
                  <c:y val="9.6953562146076221E-3"/>
                </c:manualLayout>
              </c:layout>
              <c:tx>
                <c:rich>
                  <a:bodyPr/>
                  <a:lstStyle/>
                  <a:p>
                    <a:pPr>
                      <a:defRPr/>
                    </a:pPr>
                    <a:r>
                      <a:rPr lang="en-US" baseline="0">
                        <a:solidFill>
                          <a:schemeClr val="accent2"/>
                        </a:solidFill>
                      </a:rPr>
                      <a:t>y = -0.000004x</a:t>
                    </a:r>
                    <a:r>
                      <a:rPr lang="en-US" baseline="30000">
                        <a:solidFill>
                          <a:schemeClr val="accent2"/>
                        </a:solidFill>
                      </a:rPr>
                      <a:t>2</a:t>
                    </a:r>
                    <a:r>
                      <a:rPr lang="en-US" baseline="0">
                        <a:solidFill>
                          <a:schemeClr val="accent2"/>
                        </a:solidFill>
                      </a:rPr>
                      <a:t> + 0.026486x + 12.177915
R² = 0.997942</a:t>
                    </a:r>
                    <a:endParaRPr lang="en-US">
                      <a:solidFill>
                        <a:schemeClr val="accent2"/>
                      </a:solidFill>
                    </a:endParaRPr>
                  </a:p>
                </c:rich>
              </c:tx>
              <c:numFmt formatCode="#,##0.000000" sourceLinked="0"/>
            </c:trendlineLbl>
          </c:trendline>
          <c:xVal>
            <c:numRef>
              <c:f>'Example 9-3'!$P$15:$P$33</c:f>
              <c:numCache>
                <c:formatCode>General</c:formatCode>
                <c:ptCount val="19"/>
                <c:pt idx="0">
                  <c:v>200</c:v>
                </c:pt>
                <c:pt idx="1">
                  <c:v>300</c:v>
                </c:pt>
                <c:pt idx="2">
                  <c:v>400</c:v>
                </c:pt>
                <c:pt idx="3">
                  <c:v>500</c:v>
                </c:pt>
                <c:pt idx="4">
                  <c:v>600</c:v>
                </c:pt>
                <c:pt idx="5">
                  <c:v>700</c:v>
                </c:pt>
                <c:pt idx="6">
                  <c:v>800</c:v>
                </c:pt>
                <c:pt idx="7">
                  <c:v>900</c:v>
                </c:pt>
                <c:pt idx="8">
                  <c:v>1000</c:v>
                </c:pt>
                <c:pt idx="9">
                  <c:v>1100</c:v>
                </c:pt>
                <c:pt idx="10">
                  <c:v>1200</c:v>
                </c:pt>
                <c:pt idx="11">
                  <c:v>1300</c:v>
                </c:pt>
                <c:pt idx="12">
                  <c:v>1400</c:v>
                </c:pt>
                <c:pt idx="13">
                  <c:v>1500</c:v>
                </c:pt>
                <c:pt idx="14">
                  <c:v>1600</c:v>
                </c:pt>
                <c:pt idx="15">
                  <c:v>1700</c:v>
                </c:pt>
                <c:pt idx="16">
                  <c:v>1800</c:v>
                </c:pt>
                <c:pt idx="17">
                  <c:v>1900</c:v>
                </c:pt>
                <c:pt idx="18">
                  <c:v>2000</c:v>
                </c:pt>
              </c:numCache>
            </c:numRef>
          </c:xVal>
          <c:yVal>
            <c:numRef>
              <c:f>'Example 9-3'!$R$15:$R$33</c:f>
              <c:numCache>
                <c:formatCode>General</c:formatCode>
                <c:ptCount val="19"/>
                <c:pt idx="0">
                  <c:v>16.5</c:v>
                </c:pt>
                <c:pt idx="1">
                  <c:v>19.5</c:v>
                </c:pt>
                <c:pt idx="2">
                  <c:v>22</c:v>
                </c:pt>
                <c:pt idx="3">
                  <c:v>25</c:v>
                </c:pt>
                <c:pt idx="4">
                  <c:v>27</c:v>
                </c:pt>
                <c:pt idx="5">
                  <c:v>29</c:v>
                </c:pt>
                <c:pt idx="6">
                  <c:v>31</c:v>
                </c:pt>
                <c:pt idx="7">
                  <c:v>33</c:v>
                </c:pt>
                <c:pt idx="8">
                  <c:v>34.5</c:v>
                </c:pt>
                <c:pt idx="9">
                  <c:v>36</c:v>
                </c:pt>
                <c:pt idx="10">
                  <c:v>37</c:v>
                </c:pt>
                <c:pt idx="11">
                  <c:v>39</c:v>
                </c:pt>
                <c:pt idx="12">
                  <c:v>40.5</c:v>
                </c:pt>
                <c:pt idx="13">
                  <c:v>42</c:v>
                </c:pt>
                <c:pt idx="14">
                  <c:v>43</c:v>
                </c:pt>
                <c:pt idx="15">
                  <c:v>44.5</c:v>
                </c:pt>
                <c:pt idx="16">
                  <c:v>46</c:v>
                </c:pt>
                <c:pt idx="17">
                  <c:v>47</c:v>
                </c:pt>
                <c:pt idx="18">
                  <c:v>48.5</c:v>
                </c:pt>
              </c:numCache>
            </c:numRef>
          </c:yVal>
          <c:smooth val="0"/>
        </c:ser>
        <c:ser>
          <c:idx val="2"/>
          <c:order val="2"/>
          <c:tx>
            <c:v>Tube OD=0.75; Pitch=0.938</c:v>
          </c:tx>
          <c:spPr>
            <a:ln w="28575">
              <a:noFill/>
            </a:ln>
          </c:spPr>
          <c:trendline>
            <c:trendlineType val="poly"/>
            <c:order val="2"/>
            <c:dispRSqr val="1"/>
            <c:dispEq val="1"/>
            <c:trendlineLbl>
              <c:layout>
                <c:manualLayout>
                  <c:x val="0.21713745104351045"/>
                  <c:y val="0.21988614067330917"/>
                </c:manualLayout>
              </c:layout>
              <c:tx>
                <c:rich>
                  <a:bodyPr/>
                  <a:lstStyle/>
                  <a:p>
                    <a:pPr>
                      <a:defRPr/>
                    </a:pPr>
                    <a:r>
                      <a:rPr lang="en-US" baseline="0">
                        <a:solidFill>
                          <a:schemeClr val="accent3"/>
                        </a:solidFill>
                      </a:rPr>
                      <a:t>y = -0.000004x</a:t>
                    </a:r>
                    <a:r>
                      <a:rPr lang="en-US" baseline="30000">
                        <a:solidFill>
                          <a:schemeClr val="accent3"/>
                        </a:solidFill>
                      </a:rPr>
                      <a:t>2</a:t>
                    </a:r>
                    <a:r>
                      <a:rPr lang="en-US" baseline="0">
                        <a:solidFill>
                          <a:schemeClr val="accent3"/>
                        </a:solidFill>
                      </a:rPr>
                      <a:t> + 0.025570x + 11.600413
R² = 0.997724</a:t>
                    </a:r>
                    <a:endParaRPr lang="en-US">
                      <a:solidFill>
                        <a:schemeClr val="accent3"/>
                      </a:solidFill>
                    </a:endParaRPr>
                  </a:p>
                </c:rich>
              </c:tx>
              <c:numFmt formatCode="#,##0.000000" sourceLinked="0"/>
            </c:trendlineLbl>
          </c:trendline>
          <c:xVal>
            <c:numRef>
              <c:f>'Example 9-3'!$P$15:$P$33</c:f>
              <c:numCache>
                <c:formatCode>General</c:formatCode>
                <c:ptCount val="19"/>
                <c:pt idx="0">
                  <c:v>200</c:v>
                </c:pt>
                <c:pt idx="1">
                  <c:v>300</c:v>
                </c:pt>
                <c:pt idx="2">
                  <c:v>400</c:v>
                </c:pt>
                <c:pt idx="3">
                  <c:v>500</c:v>
                </c:pt>
                <c:pt idx="4">
                  <c:v>600</c:v>
                </c:pt>
                <c:pt idx="5">
                  <c:v>700</c:v>
                </c:pt>
                <c:pt idx="6">
                  <c:v>800</c:v>
                </c:pt>
                <c:pt idx="7">
                  <c:v>900</c:v>
                </c:pt>
                <c:pt idx="8">
                  <c:v>1000</c:v>
                </c:pt>
                <c:pt idx="9">
                  <c:v>1100</c:v>
                </c:pt>
                <c:pt idx="10">
                  <c:v>1200</c:v>
                </c:pt>
                <c:pt idx="11">
                  <c:v>1300</c:v>
                </c:pt>
                <c:pt idx="12">
                  <c:v>1400</c:v>
                </c:pt>
                <c:pt idx="13">
                  <c:v>1500</c:v>
                </c:pt>
                <c:pt idx="14">
                  <c:v>1600</c:v>
                </c:pt>
                <c:pt idx="15">
                  <c:v>1700</c:v>
                </c:pt>
                <c:pt idx="16">
                  <c:v>1800</c:v>
                </c:pt>
                <c:pt idx="17">
                  <c:v>1900</c:v>
                </c:pt>
                <c:pt idx="18">
                  <c:v>2000</c:v>
                </c:pt>
              </c:numCache>
            </c:numRef>
          </c:xVal>
          <c:yVal>
            <c:numRef>
              <c:f>'Example 9-3'!$S$15:$S$33</c:f>
              <c:numCache>
                <c:formatCode>General</c:formatCode>
                <c:ptCount val="19"/>
                <c:pt idx="0">
                  <c:v>16</c:v>
                </c:pt>
                <c:pt idx="1">
                  <c:v>18.5</c:v>
                </c:pt>
                <c:pt idx="2">
                  <c:v>21</c:v>
                </c:pt>
                <c:pt idx="3">
                  <c:v>23.5</c:v>
                </c:pt>
                <c:pt idx="4">
                  <c:v>26</c:v>
                </c:pt>
                <c:pt idx="5">
                  <c:v>28</c:v>
                </c:pt>
                <c:pt idx="6">
                  <c:v>29.5</c:v>
                </c:pt>
                <c:pt idx="7">
                  <c:v>31.5</c:v>
                </c:pt>
                <c:pt idx="8">
                  <c:v>33</c:v>
                </c:pt>
                <c:pt idx="9">
                  <c:v>34</c:v>
                </c:pt>
                <c:pt idx="10">
                  <c:v>35.5</c:v>
                </c:pt>
                <c:pt idx="11">
                  <c:v>37</c:v>
                </c:pt>
                <c:pt idx="12">
                  <c:v>38</c:v>
                </c:pt>
                <c:pt idx="13">
                  <c:v>39.5</c:v>
                </c:pt>
                <c:pt idx="14">
                  <c:v>41</c:v>
                </c:pt>
                <c:pt idx="15">
                  <c:v>42.5</c:v>
                </c:pt>
                <c:pt idx="16">
                  <c:v>43.5</c:v>
                </c:pt>
                <c:pt idx="17">
                  <c:v>44</c:v>
                </c:pt>
                <c:pt idx="18">
                  <c:v>45.5</c:v>
                </c:pt>
              </c:numCache>
            </c:numRef>
          </c:yVal>
          <c:smooth val="0"/>
        </c:ser>
        <c:ser>
          <c:idx val="3"/>
          <c:order val="3"/>
          <c:tx>
            <c:v>Tube OD=0.625;Pitch=0.8125</c:v>
          </c:tx>
          <c:spPr>
            <a:ln w="28575">
              <a:noFill/>
            </a:ln>
          </c:spPr>
          <c:trendline>
            <c:trendlineType val="poly"/>
            <c:order val="2"/>
            <c:dispRSqr val="1"/>
            <c:dispEq val="1"/>
            <c:trendlineLbl>
              <c:layout>
                <c:manualLayout>
                  <c:x val="-0.32309919957653027"/>
                  <c:y val="0.35963236511038799"/>
                </c:manualLayout>
              </c:layout>
              <c:tx>
                <c:rich>
                  <a:bodyPr/>
                  <a:lstStyle/>
                  <a:p>
                    <a:pPr>
                      <a:defRPr/>
                    </a:pPr>
                    <a:r>
                      <a:rPr lang="en-US" baseline="0">
                        <a:solidFill>
                          <a:schemeClr val="accent4"/>
                        </a:solidFill>
                      </a:rPr>
                      <a:t>y = -0.000004x</a:t>
                    </a:r>
                    <a:r>
                      <a:rPr lang="en-US" baseline="30000">
                        <a:solidFill>
                          <a:schemeClr val="accent4"/>
                        </a:solidFill>
                      </a:rPr>
                      <a:t>2</a:t>
                    </a:r>
                    <a:r>
                      <a:rPr lang="en-US" baseline="0">
                        <a:solidFill>
                          <a:schemeClr val="accent4"/>
                        </a:solidFill>
                      </a:rPr>
                      <a:t> + 0.022128x + 9.963777
R² = 0.999017</a:t>
                    </a:r>
                    <a:endParaRPr lang="en-US">
                      <a:solidFill>
                        <a:schemeClr val="accent4"/>
                      </a:solidFill>
                    </a:endParaRPr>
                  </a:p>
                </c:rich>
              </c:tx>
              <c:numFmt formatCode="#,##0.000000" sourceLinked="0"/>
            </c:trendlineLbl>
          </c:trendline>
          <c:xVal>
            <c:numRef>
              <c:f>'Example 9-3'!$P$15:$P$33</c:f>
              <c:numCache>
                <c:formatCode>General</c:formatCode>
                <c:ptCount val="19"/>
                <c:pt idx="0">
                  <c:v>200</c:v>
                </c:pt>
                <c:pt idx="1">
                  <c:v>300</c:v>
                </c:pt>
                <c:pt idx="2">
                  <c:v>400</c:v>
                </c:pt>
                <c:pt idx="3">
                  <c:v>500</c:v>
                </c:pt>
                <c:pt idx="4">
                  <c:v>600</c:v>
                </c:pt>
                <c:pt idx="5">
                  <c:v>700</c:v>
                </c:pt>
                <c:pt idx="6">
                  <c:v>800</c:v>
                </c:pt>
                <c:pt idx="7">
                  <c:v>900</c:v>
                </c:pt>
                <c:pt idx="8">
                  <c:v>1000</c:v>
                </c:pt>
                <c:pt idx="9">
                  <c:v>1100</c:v>
                </c:pt>
                <c:pt idx="10">
                  <c:v>1200</c:v>
                </c:pt>
                <c:pt idx="11">
                  <c:v>1300</c:v>
                </c:pt>
                <c:pt idx="12">
                  <c:v>1400</c:v>
                </c:pt>
                <c:pt idx="13">
                  <c:v>1500</c:v>
                </c:pt>
                <c:pt idx="14">
                  <c:v>1600</c:v>
                </c:pt>
                <c:pt idx="15">
                  <c:v>1700</c:v>
                </c:pt>
                <c:pt idx="16">
                  <c:v>1800</c:v>
                </c:pt>
                <c:pt idx="17">
                  <c:v>1900</c:v>
                </c:pt>
                <c:pt idx="18">
                  <c:v>2000</c:v>
                </c:pt>
              </c:numCache>
            </c:numRef>
          </c:xVal>
          <c:yVal>
            <c:numRef>
              <c:f>'Example 9-3'!$T$15:$T$33</c:f>
              <c:numCache>
                <c:formatCode>General</c:formatCode>
                <c:ptCount val="19"/>
                <c:pt idx="0">
                  <c:v>14</c:v>
                </c:pt>
                <c:pt idx="1">
                  <c:v>16</c:v>
                </c:pt>
                <c:pt idx="2">
                  <c:v>18</c:v>
                </c:pt>
                <c:pt idx="3">
                  <c:v>20.5</c:v>
                </c:pt>
                <c:pt idx="4">
                  <c:v>22</c:v>
                </c:pt>
                <c:pt idx="5">
                  <c:v>24</c:v>
                </c:pt>
                <c:pt idx="6">
                  <c:v>25.5</c:v>
                </c:pt>
                <c:pt idx="7">
                  <c:v>27</c:v>
                </c:pt>
                <c:pt idx="8">
                  <c:v>28.5</c:v>
                </c:pt>
                <c:pt idx="9">
                  <c:v>29.5</c:v>
                </c:pt>
                <c:pt idx="10">
                  <c:v>31</c:v>
                </c:pt>
                <c:pt idx="11">
                  <c:v>32</c:v>
                </c:pt>
                <c:pt idx="12">
                  <c:v>33.5</c:v>
                </c:pt>
                <c:pt idx="13">
                  <c:v>34.5</c:v>
                </c:pt>
                <c:pt idx="14">
                  <c:v>35.5</c:v>
                </c:pt>
                <c:pt idx="15">
                  <c:v>36.5</c:v>
                </c:pt>
                <c:pt idx="16">
                  <c:v>37.5</c:v>
                </c:pt>
                <c:pt idx="17">
                  <c:v>38.5</c:v>
                </c:pt>
                <c:pt idx="18">
                  <c:v>39.5</c:v>
                </c:pt>
              </c:numCache>
            </c:numRef>
          </c:yVal>
          <c:smooth val="0"/>
        </c:ser>
        <c:dLbls>
          <c:showLegendKey val="0"/>
          <c:showVal val="0"/>
          <c:showCatName val="0"/>
          <c:showSerName val="0"/>
          <c:showPercent val="0"/>
          <c:showBubbleSize val="0"/>
        </c:dLbls>
        <c:axId val="69933696"/>
        <c:axId val="69939584"/>
      </c:scatterChart>
      <c:valAx>
        <c:axId val="69933696"/>
        <c:scaling>
          <c:orientation val="minMax"/>
        </c:scaling>
        <c:delete val="0"/>
        <c:axPos val="b"/>
        <c:numFmt formatCode="General" sourceLinked="1"/>
        <c:majorTickMark val="out"/>
        <c:minorTickMark val="none"/>
        <c:tickLblPos val="nextTo"/>
        <c:crossAx val="69939584"/>
        <c:crosses val="autoZero"/>
        <c:crossBetween val="midCat"/>
      </c:valAx>
      <c:valAx>
        <c:axId val="69939584"/>
        <c:scaling>
          <c:orientation val="minMax"/>
        </c:scaling>
        <c:delete val="0"/>
        <c:axPos val="l"/>
        <c:majorGridlines/>
        <c:numFmt formatCode="General" sourceLinked="1"/>
        <c:majorTickMark val="out"/>
        <c:minorTickMark val="none"/>
        <c:tickLblPos val="nextTo"/>
        <c:crossAx val="6993369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strRef>
              <c:f>'Example 9-4'!$X$8</c:f>
              <c:strCache>
                <c:ptCount val="1"/>
                <c:pt idx="0">
                  <c:v>Mass Velocity</c:v>
                </c:pt>
              </c:strCache>
            </c:strRef>
          </c:tx>
          <c:spPr>
            <a:ln w="28575">
              <a:noFill/>
            </a:ln>
          </c:spPr>
          <c:trendline>
            <c:trendlineType val="poly"/>
            <c:order val="3"/>
            <c:dispRSqr val="1"/>
            <c:dispEq val="1"/>
            <c:trendlineLbl>
              <c:layout>
                <c:manualLayout>
                  <c:x val="-9.068897637795276E-3"/>
                  <c:y val="-4.02088801399825E-2"/>
                </c:manualLayout>
              </c:layout>
              <c:numFmt formatCode="#,##0.000000000" sourceLinked="0"/>
            </c:trendlineLbl>
          </c:trendline>
          <c:xVal>
            <c:numRef>
              <c:f>'Example 9-4'!$W$9:$W$33</c:f>
              <c:numCache>
                <c:formatCode>General</c:formatCode>
                <c:ptCount val="25"/>
                <c:pt idx="0">
                  <c:v>25</c:v>
                </c:pt>
                <c:pt idx="1">
                  <c:v>50</c:v>
                </c:pt>
                <c:pt idx="2">
                  <c:v>100</c:v>
                </c:pt>
                <c:pt idx="3">
                  <c:v>150</c:v>
                </c:pt>
                <c:pt idx="4">
                  <c:v>200</c:v>
                </c:pt>
                <c:pt idx="5">
                  <c:v>250</c:v>
                </c:pt>
                <c:pt idx="6">
                  <c:v>300</c:v>
                </c:pt>
                <c:pt idx="7">
                  <c:v>350</c:v>
                </c:pt>
                <c:pt idx="8">
                  <c:v>400</c:v>
                </c:pt>
                <c:pt idx="9">
                  <c:v>450</c:v>
                </c:pt>
                <c:pt idx="10">
                  <c:v>500</c:v>
                </c:pt>
                <c:pt idx="11">
                  <c:v>550</c:v>
                </c:pt>
                <c:pt idx="12">
                  <c:v>600</c:v>
                </c:pt>
                <c:pt idx="13">
                  <c:v>650</c:v>
                </c:pt>
                <c:pt idx="14">
                  <c:v>700</c:v>
                </c:pt>
                <c:pt idx="15">
                  <c:v>750</c:v>
                </c:pt>
                <c:pt idx="16">
                  <c:v>800</c:v>
                </c:pt>
                <c:pt idx="17">
                  <c:v>850</c:v>
                </c:pt>
                <c:pt idx="18">
                  <c:v>900</c:v>
                </c:pt>
                <c:pt idx="19">
                  <c:v>950</c:v>
                </c:pt>
                <c:pt idx="20">
                  <c:v>1000</c:v>
                </c:pt>
                <c:pt idx="21">
                  <c:v>1050</c:v>
                </c:pt>
                <c:pt idx="22">
                  <c:v>1100</c:v>
                </c:pt>
                <c:pt idx="23">
                  <c:v>1150</c:v>
                </c:pt>
                <c:pt idx="24">
                  <c:v>1200</c:v>
                </c:pt>
              </c:numCache>
            </c:numRef>
          </c:xVal>
          <c:yVal>
            <c:numRef>
              <c:f>'Example 9-4'!$X$9:$X$33</c:f>
              <c:numCache>
                <c:formatCode>General</c:formatCode>
                <c:ptCount val="25"/>
                <c:pt idx="0">
                  <c:v>3</c:v>
                </c:pt>
                <c:pt idx="1">
                  <c:v>4.3</c:v>
                </c:pt>
                <c:pt idx="2">
                  <c:v>6.5</c:v>
                </c:pt>
                <c:pt idx="3">
                  <c:v>8.25</c:v>
                </c:pt>
                <c:pt idx="4">
                  <c:v>9.6999999999999993</c:v>
                </c:pt>
                <c:pt idx="5">
                  <c:v>10.8</c:v>
                </c:pt>
                <c:pt idx="6">
                  <c:v>11.8</c:v>
                </c:pt>
                <c:pt idx="7">
                  <c:v>12.75</c:v>
                </c:pt>
                <c:pt idx="8">
                  <c:v>13.6</c:v>
                </c:pt>
                <c:pt idx="9">
                  <c:v>14.5</c:v>
                </c:pt>
                <c:pt idx="10">
                  <c:v>15.2</c:v>
                </c:pt>
                <c:pt idx="11">
                  <c:v>15.75</c:v>
                </c:pt>
                <c:pt idx="12">
                  <c:v>16.5</c:v>
                </c:pt>
                <c:pt idx="13">
                  <c:v>17</c:v>
                </c:pt>
                <c:pt idx="14">
                  <c:v>17.5</c:v>
                </c:pt>
                <c:pt idx="15">
                  <c:v>18</c:v>
                </c:pt>
                <c:pt idx="16">
                  <c:v>18.5</c:v>
                </c:pt>
                <c:pt idx="17">
                  <c:v>19</c:v>
                </c:pt>
                <c:pt idx="18">
                  <c:v>19.5</c:v>
                </c:pt>
                <c:pt idx="19">
                  <c:v>20</c:v>
                </c:pt>
                <c:pt idx="20">
                  <c:v>20.25</c:v>
                </c:pt>
                <c:pt idx="21">
                  <c:v>20.75</c:v>
                </c:pt>
                <c:pt idx="22">
                  <c:v>21</c:v>
                </c:pt>
                <c:pt idx="23">
                  <c:v>21.25</c:v>
                </c:pt>
                <c:pt idx="24">
                  <c:v>21.5</c:v>
                </c:pt>
              </c:numCache>
            </c:numRef>
          </c:yVal>
          <c:smooth val="0"/>
        </c:ser>
        <c:dLbls>
          <c:showLegendKey val="0"/>
          <c:showVal val="0"/>
          <c:showCatName val="0"/>
          <c:showSerName val="0"/>
          <c:showPercent val="0"/>
          <c:showBubbleSize val="0"/>
        </c:dLbls>
        <c:axId val="69953024"/>
        <c:axId val="69954560"/>
      </c:scatterChart>
      <c:valAx>
        <c:axId val="69953024"/>
        <c:scaling>
          <c:orientation val="minMax"/>
        </c:scaling>
        <c:delete val="0"/>
        <c:axPos val="b"/>
        <c:numFmt formatCode="General" sourceLinked="1"/>
        <c:majorTickMark val="out"/>
        <c:minorTickMark val="none"/>
        <c:tickLblPos val="nextTo"/>
        <c:crossAx val="69954560"/>
        <c:crosses val="autoZero"/>
        <c:crossBetween val="midCat"/>
      </c:valAx>
      <c:valAx>
        <c:axId val="69954560"/>
        <c:scaling>
          <c:orientation val="minMax"/>
        </c:scaling>
        <c:delete val="0"/>
        <c:axPos val="l"/>
        <c:majorGridlines/>
        <c:numFmt formatCode="General" sourceLinked="1"/>
        <c:majorTickMark val="out"/>
        <c:minorTickMark val="none"/>
        <c:tickLblPos val="nextTo"/>
        <c:crossAx val="6995302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67235</xdr:rowOff>
    </xdr:from>
    <xdr:to>
      <xdr:col>16</xdr:col>
      <xdr:colOff>127642</xdr:colOff>
      <xdr:row>42</xdr:row>
      <xdr:rowOff>9259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400735"/>
          <a:ext cx="9809524" cy="66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683559</xdr:colOff>
      <xdr:row>19</xdr:row>
      <xdr:rowOff>107576</xdr:rowOff>
    </xdr:from>
    <xdr:to>
      <xdr:col>28</xdr:col>
      <xdr:colOff>963705</xdr:colOff>
      <xdr:row>45</xdr:row>
      <xdr:rowOff>145676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21</xdr:col>
      <xdr:colOff>642938</xdr:colOff>
      <xdr:row>33</xdr:row>
      <xdr:rowOff>116681</xdr:rowOff>
    </xdr:from>
    <xdr:to>
      <xdr:col>29</xdr:col>
      <xdr:colOff>142875</xdr:colOff>
      <xdr:row>49</xdr:row>
      <xdr:rowOff>190499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257175</xdr:rowOff>
    </xdr:from>
    <xdr:to>
      <xdr:col>9</xdr:col>
      <xdr:colOff>342900</xdr:colOff>
      <xdr:row>35</xdr:row>
      <xdr:rowOff>95250</xdr:rowOff>
    </xdr:to>
    <xdr:pic>
      <xdr:nvPicPr>
        <xdr:cNvPr id="8399" name="Picture 7" descr="9-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7175"/>
          <a:ext cx="6429375" cy="581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9</xdr:col>
      <xdr:colOff>342900</xdr:colOff>
      <xdr:row>63</xdr:row>
      <xdr:rowOff>142875</xdr:rowOff>
    </xdr:to>
    <xdr:pic>
      <xdr:nvPicPr>
        <xdr:cNvPr id="8400" name="Picture 8" descr="9-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896100"/>
          <a:ext cx="6429375" cy="471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156</xdr:row>
      <xdr:rowOff>0</xdr:rowOff>
    </xdr:from>
    <xdr:to>
      <xdr:col>19</xdr:col>
      <xdr:colOff>304800</xdr:colOff>
      <xdr:row>241</xdr:row>
      <xdr:rowOff>95250</xdr:rowOff>
    </xdr:to>
    <xdr:pic>
      <xdr:nvPicPr>
        <xdr:cNvPr id="8403" name="Picture 11" descr="9-1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9413200"/>
          <a:ext cx="13106400" cy="1628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316</xdr:row>
      <xdr:rowOff>0</xdr:rowOff>
    </xdr:from>
    <xdr:to>
      <xdr:col>9</xdr:col>
      <xdr:colOff>314325</xdr:colOff>
      <xdr:row>342</xdr:row>
      <xdr:rowOff>38100</xdr:rowOff>
    </xdr:to>
    <xdr:pic>
      <xdr:nvPicPr>
        <xdr:cNvPr id="8405" name="Picture 13" descr="9-1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0045600"/>
          <a:ext cx="6400800" cy="499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495</xdr:row>
      <xdr:rowOff>0</xdr:rowOff>
    </xdr:from>
    <xdr:to>
      <xdr:col>19</xdr:col>
      <xdr:colOff>304800</xdr:colOff>
      <xdr:row>579</xdr:row>
      <xdr:rowOff>180975</xdr:rowOff>
    </xdr:to>
    <xdr:pic>
      <xdr:nvPicPr>
        <xdr:cNvPr id="8407" name="Picture 15" descr="9-38"/>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94754700"/>
          <a:ext cx="13106400" cy="1618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584</xdr:row>
      <xdr:rowOff>142875</xdr:rowOff>
    </xdr:from>
    <xdr:to>
      <xdr:col>19</xdr:col>
      <xdr:colOff>381000</xdr:colOff>
      <xdr:row>669</xdr:row>
      <xdr:rowOff>76200</xdr:rowOff>
    </xdr:to>
    <xdr:pic>
      <xdr:nvPicPr>
        <xdr:cNvPr id="8408" name="Picture 16" descr="9-39"/>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5725" y="111928275"/>
          <a:ext cx="13096875" cy="1612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673</xdr:row>
      <xdr:rowOff>0</xdr:rowOff>
    </xdr:from>
    <xdr:to>
      <xdr:col>9</xdr:col>
      <xdr:colOff>323850</xdr:colOff>
      <xdr:row>714</xdr:row>
      <xdr:rowOff>152400</xdr:rowOff>
    </xdr:to>
    <xdr:pic>
      <xdr:nvPicPr>
        <xdr:cNvPr id="8409" name="Picture 17" descr="9-40"/>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128816100"/>
          <a:ext cx="6410325" cy="796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344</xdr:row>
      <xdr:rowOff>257175</xdr:rowOff>
    </xdr:from>
    <xdr:to>
      <xdr:col>9</xdr:col>
      <xdr:colOff>466725</xdr:colOff>
      <xdr:row>390</xdr:row>
      <xdr:rowOff>38100</xdr:rowOff>
    </xdr:to>
    <xdr:pic>
      <xdr:nvPicPr>
        <xdr:cNvPr id="8410" name="Picture 327" descr="9-17"/>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3996"/>
        <a:stretch>
          <a:fillRect/>
        </a:stretch>
      </xdr:blipFill>
      <xdr:spPr bwMode="auto">
        <a:xfrm>
          <a:off x="0" y="65636775"/>
          <a:ext cx="6553200" cy="869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392</xdr:row>
      <xdr:rowOff>257175</xdr:rowOff>
    </xdr:from>
    <xdr:to>
      <xdr:col>9</xdr:col>
      <xdr:colOff>304800</xdr:colOff>
      <xdr:row>428</xdr:row>
      <xdr:rowOff>28575</xdr:rowOff>
    </xdr:to>
    <xdr:pic>
      <xdr:nvPicPr>
        <xdr:cNvPr id="8411" name="Picture 328" descr="9-26"/>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3957"/>
        <a:stretch>
          <a:fillRect/>
        </a:stretch>
      </xdr:blipFill>
      <xdr:spPr bwMode="auto">
        <a:xfrm>
          <a:off x="0" y="74933175"/>
          <a:ext cx="6391275" cy="670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431</xdr:row>
      <xdr:rowOff>257175</xdr:rowOff>
    </xdr:from>
    <xdr:to>
      <xdr:col>9</xdr:col>
      <xdr:colOff>323850</xdr:colOff>
      <xdr:row>449</xdr:row>
      <xdr:rowOff>47625</xdr:rowOff>
    </xdr:to>
    <xdr:pic>
      <xdr:nvPicPr>
        <xdr:cNvPr id="8412" name="Picture 329" descr="9-27"/>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9186"/>
        <a:stretch>
          <a:fillRect/>
        </a:stretch>
      </xdr:blipFill>
      <xdr:spPr bwMode="auto">
        <a:xfrm>
          <a:off x="0" y="82438875"/>
          <a:ext cx="6410325" cy="329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452</xdr:row>
      <xdr:rowOff>247650</xdr:rowOff>
    </xdr:from>
    <xdr:to>
      <xdr:col>9</xdr:col>
      <xdr:colOff>342900</xdr:colOff>
      <xdr:row>467</xdr:row>
      <xdr:rowOff>161925</xdr:rowOff>
    </xdr:to>
    <xdr:pic>
      <xdr:nvPicPr>
        <xdr:cNvPr id="8413" name="Picture 330" descr="9-28"/>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t="10756"/>
        <a:stretch>
          <a:fillRect/>
        </a:stretch>
      </xdr:blipFill>
      <xdr:spPr bwMode="auto">
        <a:xfrm>
          <a:off x="9525" y="86506050"/>
          <a:ext cx="6419850" cy="292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xdr:row>
      <xdr:rowOff>0</xdr:rowOff>
    </xdr:from>
    <xdr:to>
      <xdr:col>16</xdr:col>
      <xdr:colOff>465296</xdr:colOff>
      <xdr:row>101</xdr:row>
      <xdr:rowOff>170620</xdr:rowOff>
    </xdr:to>
    <xdr:pic>
      <xdr:nvPicPr>
        <xdr:cNvPr id="2" name="Picture 1"/>
        <xdr:cNvPicPr>
          <a:picLocks noChangeAspect="1"/>
        </xdr:cNvPicPr>
      </xdr:nvPicPr>
      <xdr:blipFill>
        <a:blip xmlns:r="http://schemas.openxmlformats.org/officeDocument/2006/relationships" r:embed="rId12"/>
        <a:stretch>
          <a:fillRect/>
        </a:stretch>
      </xdr:blipFill>
      <xdr:spPr>
        <a:xfrm>
          <a:off x="0" y="12306300"/>
          <a:ext cx="11438096" cy="6647620"/>
        </a:xfrm>
        <a:prstGeom prst="rect">
          <a:avLst/>
        </a:prstGeom>
      </xdr:spPr>
    </xdr:pic>
    <xdr:clientData/>
  </xdr:twoCellAnchor>
  <xdr:twoCellAnchor editAs="oneCell">
    <xdr:from>
      <xdr:col>0</xdr:col>
      <xdr:colOff>0</xdr:colOff>
      <xdr:row>111</xdr:row>
      <xdr:rowOff>0</xdr:rowOff>
    </xdr:from>
    <xdr:to>
      <xdr:col>16</xdr:col>
      <xdr:colOff>179582</xdr:colOff>
      <xdr:row>146</xdr:row>
      <xdr:rowOff>113453</xdr:rowOff>
    </xdr:to>
    <xdr:pic>
      <xdr:nvPicPr>
        <xdr:cNvPr id="3" name="Picture 2"/>
        <xdr:cNvPicPr>
          <a:picLocks noChangeAspect="1"/>
        </xdr:cNvPicPr>
      </xdr:nvPicPr>
      <xdr:blipFill>
        <a:blip xmlns:r="http://schemas.openxmlformats.org/officeDocument/2006/relationships" r:embed="rId13"/>
        <a:stretch>
          <a:fillRect/>
        </a:stretch>
      </xdr:blipFill>
      <xdr:spPr>
        <a:xfrm>
          <a:off x="0" y="20764500"/>
          <a:ext cx="11152382" cy="6780953"/>
        </a:xfrm>
        <a:prstGeom prst="rect">
          <a:avLst/>
        </a:prstGeom>
      </xdr:spPr>
    </xdr:pic>
    <xdr:clientData/>
  </xdr:twoCellAnchor>
  <xdr:twoCellAnchor editAs="oneCell">
    <xdr:from>
      <xdr:col>0</xdr:col>
      <xdr:colOff>0</xdr:colOff>
      <xdr:row>244</xdr:row>
      <xdr:rowOff>266699</xdr:rowOff>
    </xdr:from>
    <xdr:to>
      <xdr:col>8</xdr:col>
      <xdr:colOff>208381</xdr:colOff>
      <xdr:row>295</xdr:row>
      <xdr:rowOff>28574</xdr:rowOff>
    </xdr:to>
    <xdr:pic>
      <xdr:nvPicPr>
        <xdr:cNvPr id="4" name="Picture 3"/>
        <xdr:cNvPicPr>
          <a:picLocks noChangeAspect="1"/>
        </xdr:cNvPicPr>
      </xdr:nvPicPr>
      <xdr:blipFill>
        <a:blip xmlns:r="http://schemas.openxmlformats.org/officeDocument/2006/relationships" r:embed="rId14"/>
        <a:stretch>
          <a:fillRect/>
        </a:stretch>
      </xdr:blipFill>
      <xdr:spPr>
        <a:xfrm>
          <a:off x="0" y="46443899"/>
          <a:ext cx="5685256" cy="9553575"/>
        </a:xfrm>
        <a:prstGeom prst="rect">
          <a:avLst/>
        </a:prstGeom>
      </xdr:spPr>
    </xdr:pic>
    <xdr:clientData/>
  </xdr:twoCellAnchor>
  <xdr:twoCellAnchor editAs="oneCell">
    <xdr:from>
      <xdr:col>0</xdr:col>
      <xdr:colOff>1</xdr:colOff>
      <xdr:row>472</xdr:row>
      <xdr:rowOff>1</xdr:rowOff>
    </xdr:from>
    <xdr:to>
      <xdr:col>8</xdr:col>
      <xdr:colOff>409576</xdr:colOff>
      <xdr:row>493</xdr:row>
      <xdr:rowOff>25073</xdr:rowOff>
    </xdr:to>
    <xdr:pic>
      <xdr:nvPicPr>
        <xdr:cNvPr id="5" name="Picture 4"/>
        <xdr:cNvPicPr>
          <a:picLocks noChangeAspect="1"/>
        </xdr:cNvPicPr>
      </xdr:nvPicPr>
      <xdr:blipFill>
        <a:blip xmlns:r="http://schemas.openxmlformats.org/officeDocument/2006/relationships" r:embed="rId15"/>
        <a:stretch>
          <a:fillRect/>
        </a:stretch>
      </xdr:blipFill>
      <xdr:spPr>
        <a:xfrm>
          <a:off x="1" y="90297001"/>
          <a:ext cx="5886450" cy="40255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E21" sqref="E21"/>
    </sheetView>
  </sheetViews>
  <sheetFormatPr defaultRowHeight="15" x14ac:dyDescent="0.25"/>
  <cols>
    <col min="1" max="2" width="9.140625" style="11"/>
    <col min="3" max="3" width="24.85546875" style="11" customWidth="1"/>
    <col min="4" max="16384" width="9.140625" style="11"/>
  </cols>
  <sheetData>
    <row r="1" spans="1:3" x14ac:dyDescent="0.25">
      <c r="A1" s="9" t="s">
        <v>599</v>
      </c>
      <c r="B1" s="10"/>
      <c r="C1" s="10"/>
    </row>
    <row r="4" spans="1:3" x14ac:dyDescent="0.25">
      <c r="A4" s="12" t="s">
        <v>602</v>
      </c>
      <c r="B4" s="12" t="s">
        <v>603</v>
      </c>
      <c r="C4" s="13" t="s">
        <v>604</v>
      </c>
    </row>
    <row r="5" spans="1:3" x14ac:dyDescent="0.25">
      <c r="A5" s="14">
        <v>0</v>
      </c>
      <c r="B5" s="15">
        <v>42826</v>
      </c>
      <c r="C5" s="16" t="s">
        <v>605</v>
      </c>
    </row>
    <row r="6" spans="1:3" x14ac:dyDescent="0.25">
      <c r="A6" s="16"/>
      <c r="B6" s="16"/>
      <c r="C6" s="16"/>
    </row>
    <row r="7" spans="1:3" x14ac:dyDescent="0.25">
      <c r="A7" s="17"/>
      <c r="B7" s="17"/>
      <c r="C7" s="17"/>
    </row>
  </sheetData>
  <sheetProtection password="E15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7"/>
  <sheetViews>
    <sheetView tabSelected="1" zoomScale="85" zoomScaleNormal="85" workbookViewId="0">
      <selection activeCell="U31" sqref="U31"/>
    </sheetView>
  </sheetViews>
  <sheetFormatPr defaultRowHeight="15" x14ac:dyDescent="0.25"/>
  <cols>
    <col min="1" max="16384" width="9.140625" style="18"/>
  </cols>
  <sheetData>
    <row r="1" spans="1:17" x14ac:dyDescent="0.25">
      <c r="A1" s="9" t="s">
        <v>599</v>
      </c>
    </row>
    <row r="6" spans="1:17" x14ac:dyDescent="0.25">
      <c r="A6" s="136" t="s">
        <v>600</v>
      </c>
      <c r="B6" s="136"/>
      <c r="C6" s="136"/>
      <c r="D6" s="136"/>
      <c r="E6" s="136"/>
      <c r="F6" s="136"/>
      <c r="G6" s="136"/>
      <c r="H6" s="136"/>
      <c r="I6" s="136"/>
      <c r="J6" s="136"/>
      <c r="K6" s="136"/>
      <c r="L6" s="136"/>
      <c r="M6" s="136"/>
      <c r="N6" s="136"/>
      <c r="O6" s="136"/>
      <c r="P6" s="136"/>
      <c r="Q6" s="136"/>
    </row>
    <row r="7" spans="1:17" x14ac:dyDescent="0.25">
      <c r="A7" s="137" t="s">
        <v>601</v>
      </c>
      <c r="B7" s="137"/>
      <c r="C7" s="137"/>
      <c r="D7" s="137"/>
      <c r="E7" s="137"/>
      <c r="F7" s="137"/>
      <c r="G7" s="137"/>
      <c r="H7" s="137"/>
      <c r="I7" s="137"/>
      <c r="J7" s="137"/>
      <c r="K7" s="137"/>
      <c r="L7" s="137"/>
      <c r="M7" s="137"/>
      <c r="N7" s="137"/>
      <c r="O7" s="137"/>
      <c r="P7" s="137"/>
      <c r="Q7" s="137"/>
    </row>
  </sheetData>
  <sheetProtection password="E156" sheet="1" objects="1" scenarios="1"/>
  <mergeCells count="2">
    <mergeCell ref="A6:Q6"/>
    <mergeCell ref="A7:Q7"/>
  </mergeCells>
  <printOptions horizontalCentered="1"/>
  <pageMargins left="0.7" right="0.7" top="0.75" bottom="0.75" header="0.3" footer="0.3"/>
  <pageSetup paperSize="199" orientation="portrait" r:id="rId1"/>
  <headerFooter>
    <oddHeader>&amp;CNOMENCLATURE FOR GPSA ENGINEERING DATA BOOK, 12&amp;Xth&amp;X ED.
SECTION 9, HEAT EXCHANGERS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Q140"/>
  <sheetViews>
    <sheetView zoomScale="80" zoomScaleNormal="80" workbookViewId="0">
      <selection activeCell="H28" sqref="H28"/>
    </sheetView>
  </sheetViews>
  <sheetFormatPr defaultRowHeight="15" x14ac:dyDescent="0.25"/>
  <cols>
    <col min="1" max="1" width="32.5703125" style="2" customWidth="1"/>
    <col min="2" max="2" width="12.85546875" style="2" customWidth="1"/>
    <col min="3" max="7" width="9.140625" style="2"/>
    <col min="8" max="8" width="11.28515625" style="2" customWidth="1"/>
    <col min="9" max="9" width="4.7109375" style="2" customWidth="1"/>
    <col min="10" max="10" width="12" style="2" customWidth="1"/>
    <col min="11" max="11" width="9.140625" style="2"/>
    <col min="12" max="12" width="57.7109375" style="2" customWidth="1"/>
    <col min="13" max="14" width="9.140625" style="2"/>
    <col min="15" max="15" width="34.42578125" style="2" customWidth="1"/>
    <col min="16" max="16" width="14.85546875" style="2" customWidth="1"/>
    <col min="17" max="17" width="9.140625" style="2"/>
    <col min="18" max="18" width="15" style="2" customWidth="1"/>
    <col min="19" max="20" width="9.140625" style="2"/>
    <col min="21" max="21" width="19.140625" style="2" customWidth="1"/>
    <col min="22" max="22" width="9.140625" style="2"/>
    <col min="23" max="23" width="12.28515625" style="2" customWidth="1"/>
    <col min="24" max="25" width="9.140625" style="2"/>
    <col min="26" max="26" width="17.7109375" style="2" customWidth="1"/>
    <col min="27" max="27" width="9.140625" style="2"/>
    <col min="28" max="30" width="9.140625" style="20"/>
    <col min="31" max="31" width="24.28515625" style="20" bestFit="1" customWidth="1"/>
    <col min="32" max="32" width="10.7109375" style="20" bestFit="1" customWidth="1"/>
    <col min="33" max="33" width="12" style="20" bestFit="1" customWidth="1"/>
    <col min="34" max="34" width="10.7109375" style="20" bestFit="1" customWidth="1"/>
    <col min="35" max="35" width="12" style="20" bestFit="1" customWidth="1"/>
    <col min="36" max="36" width="10.7109375" style="20" bestFit="1" customWidth="1"/>
    <col min="37" max="37" width="12" style="20" bestFit="1" customWidth="1"/>
    <col min="38" max="38" width="10.7109375" style="20" bestFit="1" customWidth="1"/>
    <col min="39" max="39" width="12" style="20" bestFit="1" customWidth="1"/>
    <col min="40" max="16384" width="9.140625" style="20"/>
  </cols>
  <sheetData>
    <row r="1" spans="1:39" x14ac:dyDescent="0.25">
      <c r="A1" s="19" t="s">
        <v>599</v>
      </c>
    </row>
    <row r="5" spans="1:39" ht="39.75" customHeight="1" x14ac:dyDescent="0.35">
      <c r="A5" s="141" t="s">
        <v>191</v>
      </c>
      <c r="B5" s="141"/>
      <c r="C5" s="141"/>
      <c r="D5" s="141"/>
      <c r="E5" s="141"/>
      <c r="F5" s="141"/>
      <c r="G5" s="141"/>
      <c r="H5" s="141"/>
      <c r="I5" s="141"/>
      <c r="J5" s="141"/>
      <c r="K5" s="141"/>
      <c r="L5" s="141"/>
      <c r="M5" s="141"/>
      <c r="O5" s="147" t="s">
        <v>192</v>
      </c>
      <c r="P5" s="147"/>
      <c r="Q5" s="147"/>
      <c r="R5" s="147"/>
      <c r="S5" s="147"/>
      <c r="T5" s="147"/>
      <c r="U5" s="147"/>
      <c r="V5" s="147"/>
      <c r="W5" s="147"/>
      <c r="X5" s="147"/>
      <c r="Y5" s="147"/>
      <c r="Z5" s="147"/>
      <c r="AF5" s="139" t="s">
        <v>302</v>
      </c>
      <c r="AG5" s="139"/>
      <c r="AH5" s="139"/>
      <c r="AI5" s="139"/>
      <c r="AJ5" s="138" t="s">
        <v>305</v>
      </c>
      <c r="AK5" s="138"/>
      <c r="AL5" s="138"/>
      <c r="AM5" s="138"/>
    </row>
    <row r="6" spans="1:39" x14ac:dyDescent="0.25">
      <c r="A6" s="50" t="s">
        <v>76</v>
      </c>
      <c r="B6" s="51"/>
      <c r="C6" s="51"/>
      <c r="D6" s="51"/>
      <c r="E6" s="51"/>
      <c r="F6" s="51"/>
      <c r="G6" s="51"/>
      <c r="H6" s="51"/>
      <c r="I6" s="51"/>
      <c r="J6" s="51"/>
      <c r="K6" s="51"/>
      <c r="L6" s="51"/>
      <c r="M6" s="51"/>
      <c r="O6" s="21"/>
      <c r="P6" s="22"/>
      <c r="Q6" s="22"/>
      <c r="R6" s="22"/>
      <c r="S6" s="22"/>
      <c r="T6" s="22"/>
      <c r="U6" s="22"/>
      <c r="V6" s="22"/>
      <c r="W6" s="22"/>
      <c r="X6" s="22"/>
      <c r="Y6" s="22"/>
      <c r="Z6" s="22"/>
      <c r="AF6" s="139" t="s">
        <v>314</v>
      </c>
      <c r="AG6" s="139"/>
      <c r="AH6" s="139" t="s">
        <v>315</v>
      </c>
      <c r="AI6" s="139"/>
      <c r="AJ6" s="139" t="s">
        <v>314</v>
      </c>
      <c r="AK6" s="139"/>
      <c r="AL6" s="139" t="s">
        <v>315</v>
      </c>
      <c r="AM6" s="139"/>
    </row>
    <row r="7" spans="1:39" x14ac:dyDescent="0.25">
      <c r="A7" s="51" t="s">
        <v>176</v>
      </c>
      <c r="B7" s="52">
        <v>4525</v>
      </c>
      <c r="C7" s="53"/>
      <c r="D7" s="53"/>
      <c r="E7" s="53"/>
      <c r="F7" s="53"/>
      <c r="G7" s="51"/>
      <c r="H7" s="51"/>
      <c r="I7" s="51"/>
      <c r="J7" s="51"/>
      <c r="K7" s="51"/>
      <c r="L7" s="51"/>
      <c r="M7" s="51"/>
      <c r="O7" s="21" t="s">
        <v>241</v>
      </c>
      <c r="P7" s="22"/>
      <c r="Q7" s="22"/>
      <c r="R7" s="22"/>
      <c r="S7" s="22"/>
      <c r="T7" s="22"/>
      <c r="U7" s="22"/>
      <c r="V7" s="22"/>
      <c r="W7" s="22"/>
      <c r="X7" s="22"/>
      <c r="Y7" s="22"/>
      <c r="Z7" s="22"/>
      <c r="AF7" s="20" t="s">
        <v>303</v>
      </c>
      <c r="AG7" s="20" t="s">
        <v>304</v>
      </c>
      <c r="AH7" s="20" t="s">
        <v>303</v>
      </c>
      <c r="AI7" s="20" t="s">
        <v>304</v>
      </c>
      <c r="AJ7" s="20" t="s">
        <v>303</v>
      </c>
      <c r="AK7" s="20" t="s">
        <v>304</v>
      </c>
      <c r="AL7" s="20" t="s">
        <v>303</v>
      </c>
      <c r="AM7" s="20" t="s">
        <v>304</v>
      </c>
    </row>
    <row r="8" spans="1:39" x14ac:dyDescent="0.25">
      <c r="A8" s="51" t="s">
        <v>0</v>
      </c>
      <c r="B8" s="53"/>
      <c r="C8" s="142" t="s">
        <v>4</v>
      </c>
      <c r="D8" s="142"/>
      <c r="E8" s="142" t="s">
        <v>5</v>
      </c>
      <c r="F8" s="142"/>
      <c r="G8" s="51"/>
      <c r="H8" s="50" t="s">
        <v>155</v>
      </c>
      <c r="I8" s="50"/>
      <c r="J8" s="51"/>
      <c r="K8" s="51"/>
      <c r="L8" s="51"/>
      <c r="M8" s="51"/>
      <c r="O8" s="22"/>
      <c r="P8" s="22"/>
      <c r="Q8" s="22"/>
      <c r="R8" s="22"/>
      <c r="S8" s="22"/>
      <c r="T8" s="22"/>
      <c r="U8" s="22"/>
      <c r="V8" s="22"/>
      <c r="W8" s="22"/>
      <c r="X8" s="22"/>
      <c r="Y8" s="22"/>
      <c r="Z8" s="22"/>
      <c r="AE8" s="20" t="s">
        <v>301</v>
      </c>
      <c r="AF8" s="20">
        <f>(R15/R96)^0.27</f>
        <v>0.87864769608471993</v>
      </c>
      <c r="AH8" s="20">
        <f>(R26/R73)^0.47</f>
        <v>0.55821674086410589</v>
      </c>
      <c r="AJ8" s="20">
        <f>(R15/R96)^0.15</f>
        <v>0.93064915185520447</v>
      </c>
      <c r="AL8" s="20">
        <f>(R26/R73)^0.2</f>
        <v>0.78029088695913262</v>
      </c>
      <c r="AM8" s="20">
        <f>(R26/R73)</f>
        <v>0.28925619834710742</v>
      </c>
    </row>
    <row r="9" spans="1:39" ht="18" x14ac:dyDescent="0.25">
      <c r="A9" s="51" t="s">
        <v>3</v>
      </c>
      <c r="B9" s="53"/>
      <c r="C9" s="142" t="s">
        <v>1</v>
      </c>
      <c r="D9" s="142"/>
      <c r="E9" s="142" t="s">
        <v>2</v>
      </c>
      <c r="F9" s="142"/>
      <c r="G9" s="51"/>
      <c r="H9" s="51"/>
      <c r="I9" s="51"/>
      <c r="J9" s="51"/>
      <c r="K9" s="51"/>
      <c r="L9" s="51"/>
      <c r="M9" s="51"/>
      <c r="O9" s="23" t="s">
        <v>261</v>
      </c>
      <c r="P9" s="24" t="s">
        <v>262</v>
      </c>
      <c r="Q9" s="25" t="s">
        <v>242</v>
      </c>
      <c r="R9" s="24">
        <v>4525</v>
      </c>
      <c r="S9" s="23" t="s">
        <v>263</v>
      </c>
      <c r="T9" s="22"/>
      <c r="U9" s="22"/>
      <c r="V9" s="22"/>
      <c r="W9" s="22"/>
      <c r="X9" s="22"/>
      <c r="Y9" s="22"/>
      <c r="Z9" s="22"/>
      <c r="AE9" s="20" t="s">
        <v>333</v>
      </c>
      <c r="AI9" s="20" t="e">
        <f>((R73/R26)*(R27/R74)^0.14)</f>
        <v>#VALUE!</v>
      </c>
    </row>
    <row r="10" spans="1:39" ht="16.5" x14ac:dyDescent="0.3">
      <c r="A10" s="51" t="s">
        <v>19</v>
      </c>
      <c r="B10" s="53"/>
      <c r="C10" s="144">
        <v>475723</v>
      </c>
      <c r="D10" s="144"/>
      <c r="E10" s="144">
        <v>650860</v>
      </c>
      <c r="F10" s="144"/>
      <c r="G10" s="51"/>
      <c r="H10" s="51" t="s">
        <v>196</v>
      </c>
      <c r="I10" s="51" t="s">
        <v>172</v>
      </c>
      <c r="J10" s="54">
        <f>'Example 9-1'!C10*('Example 9-1'!C16-'Example 9-1'!D16)*'Example 9-1'!C22</f>
        <v>25010661.002</v>
      </c>
      <c r="K10" s="51" t="s">
        <v>25</v>
      </c>
      <c r="L10" s="51"/>
      <c r="M10" s="51"/>
      <c r="O10" s="23" t="s">
        <v>288</v>
      </c>
      <c r="P10" s="24" t="s">
        <v>244</v>
      </c>
      <c r="Q10" s="24" t="s">
        <v>242</v>
      </c>
      <c r="R10" s="24">
        <v>475723</v>
      </c>
      <c r="S10" s="23" t="s">
        <v>120</v>
      </c>
      <c r="T10" s="23"/>
      <c r="U10" s="23"/>
      <c r="V10" s="23"/>
      <c r="W10" s="23"/>
      <c r="X10" s="23"/>
      <c r="Y10" s="23"/>
      <c r="Z10" s="23"/>
      <c r="AE10" s="20" t="s">
        <v>306</v>
      </c>
      <c r="AF10" s="20">
        <f>(R92/R17)^0.67</f>
        <v>0.99302697252926175</v>
      </c>
      <c r="AG10" s="20">
        <f>(R69/R17)^0.67</f>
        <v>1.0156025434803702</v>
      </c>
      <c r="AH10" s="20">
        <f>(R69/R28)^0.67</f>
        <v>1.0068602182447355</v>
      </c>
      <c r="AI10" s="20">
        <f>(R69/R28)^0.67</f>
        <v>1.0068602182447355</v>
      </c>
    </row>
    <row r="11" spans="1:39" ht="16.5" x14ac:dyDescent="0.3">
      <c r="A11" s="51" t="s">
        <v>10</v>
      </c>
      <c r="B11" s="53"/>
      <c r="C11" s="52"/>
      <c r="D11" s="52"/>
      <c r="E11" s="52"/>
      <c r="F11" s="52"/>
      <c r="G11" s="51"/>
      <c r="H11" s="51" t="s">
        <v>197</v>
      </c>
      <c r="I11" s="51" t="s">
        <v>172</v>
      </c>
      <c r="J11" s="54">
        <f>'Example 9-1'!E10*('Example 9-1'!F16-'Example 9-1'!E16)*'Example 9-1'!E22</f>
        <v>24993024</v>
      </c>
      <c r="K11" s="51" t="s">
        <v>25</v>
      </c>
      <c r="L11" s="51"/>
      <c r="M11" s="51"/>
      <c r="O11" s="23" t="s">
        <v>289</v>
      </c>
      <c r="P11" s="24" t="s">
        <v>245</v>
      </c>
      <c r="Q11" s="24" t="s">
        <v>242</v>
      </c>
      <c r="R11" s="24">
        <v>0.54200000000000004</v>
      </c>
      <c r="S11" s="23" t="s">
        <v>243</v>
      </c>
      <c r="T11" s="23"/>
      <c r="U11" s="23"/>
      <c r="V11" s="23"/>
      <c r="W11" s="23"/>
      <c r="X11" s="23"/>
      <c r="Y11" s="23"/>
      <c r="Z11" s="23"/>
      <c r="AE11" s="20" t="s">
        <v>307</v>
      </c>
      <c r="AF11" s="20">
        <f>(R93/R11)^0.33</f>
        <v>1.0090494496071003</v>
      </c>
      <c r="AG11" s="20">
        <f>(R93/R11)^0.33</f>
        <v>1.0090494496071003</v>
      </c>
      <c r="AH11" s="20">
        <f>(R70/R22)^0.33</f>
        <v>0.94160810654618743</v>
      </c>
      <c r="AI11" s="20">
        <f>(R70/R22)^0.33</f>
        <v>0.94160810654618743</v>
      </c>
    </row>
    <row r="12" spans="1:39" ht="16.5" x14ac:dyDescent="0.25">
      <c r="A12" s="51" t="s">
        <v>6</v>
      </c>
      <c r="B12" s="53"/>
      <c r="C12" s="52"/>
      <c r="D12" s="52"/>
      <c r="E12" s="52"/>
      <c r="F12" s="52"/>
      <c r="G12" s="51"/>
      <c r="H12" s="51"/>
      <c r="I12" s="51"/>
      <c r="J12" s="51"/>
      <c r="K12" s="51"/>
      <c r="L12" s="51"/>
      <c r="M12" s="51"/>
      <c r="O12" s="23" t="s">
        <v>290</v>
      </c>
      <c r="P12" s="24" t="s">
        <v>246</v>
      </c>
      <c r="Q12" s="24" t="s">
        <v>242</v>
      </c>
      <c r="R12" s="24">
        <v>197</v>
      </c>
      <c r="S12" s="23" t="s">
        <v>252</v>
      </c>
      <c r="T12" s="23"/>
      <c r="U12" s="23"/>
      <c r="V12" s="23"/>
      <c r="W12" s="23"/>
      <c r="X12" s="23"/>
      <c r="Y12" s="23"/>
      <c r="Z12" s="23"/>
      <c r="AE12" s="20" t="s">
        <v>308</v>
      </c>
      <c r="AF12" s="20">
        <f>(R98/R88)^0.6</f>
        <v>1.0536392533308241</v>
      </c>
      <c r="AH12" s="20">
        <f>(R75/R63)^0.8</f>
        <v>1.5158309933893235</v>
      </c>
      <c r="AI12" s="20">
        <f>(R75/R63)^0.33</f>
        <v>1.1871851288536392</v>
      </c>
      <c r="AJ12" s="20">
        <f>(R88/R98)^1.85</f>
        <v>0.85120306578019245</v>
      </c>
      <c r="AL12" s="20">
        <f>(R63/R75)^1.8</f>
        <v>0.39222542217165307</v>
      </c>
      <c r="AM12" s="20">
        <f>(R63/R75)</f>
        <v>0.59454745132300368</v>
      </c>
    </row>
    <row r="13" spans="1:39" ht="16.5" x14ac:dyDescent="0.3">
      <c r="A13" s="51" t="s">
        <v>7</v>
      </c>
      <c r="B13" s="53"/>
      <c r="C13" s="52"/>
      <c r="D13" s="52"/>
      <c r="E13" s="52"/>
      <c r="F13" s="52"/>
      <c r="G13" s="51"/>
      <c r="H13" s="51" t="s">
        <v>198</v>
      </c>
      <c r="I13" s="51" t="s">
        <v>172</v>
      </c>
      <c r="J13" s="51">
        <f>J10/J11</f>
        <v>1.0007056769921079</v>
      </c>
      <c r="K13" s="51"/>
      <c r="L13" s="51"/>
      <c r="M13" s="51"/>
      <c r="O13" s="23" t="s">
        <v>291</v>
      </c>
      <c r="P13" s="24" t="s">
        <v>247</v>
      </c>
      <c r="Q13" s="24" t="s">
        <v>242</v>
      </c>
      <c r="R13" s="24">
        <v>100</v>
      </c>
      <c r="S13" s="23" t="s">
        <v>252</v>
      </c>
      <c r="T13" s="23"/>
      <c r="U13" s="23"/>
      <c r="V13" s="23"/>
      <c r="W13" s="23"/>
      <c r="X13" s="23"/>
      <c r="Y13" s="23"/>
      <c r="Z13" s="23"/>
      <c r="AE13" s="20" t="s">
        <v>309</v>
      </c>
      <c r="AJ13" s="20">
        <f>R94/R14</f>
        <v>1.1359223300970873</v>
      </c>
      <c r="AK13" s="20">
        <f>R94/R14</f>
        <v>1.1359223300970873</v>
      </c>
      <c r="AL13" s="20">
        <f>R71/R25</f>
        <v>1.2245430809399478</v>
      </c>
      <c r="AM13" s="20">
        <f>R71/R25</f>
        <v>1.2245430809399478</v>
      </c>
    </row>
    <row r="14" spans="1:39" ht="18" x14ac:dyDescent="0.25">
      <c r="A14" s="51" t="s">
        <v>8</v>
      </c>
      <c r="B14" s="53"/>
      <c r="C14" s="52"/>
      <c r="D14" s="52"/>
      <c r="E14" s="52"/>
      <c r="F14" s="52"/>
      <c r="G14" s="51"/>
      <c r="H14" s="51"/>
      <c r="I14" s="51"/>
      <c r="J14" s="51"/>
      <c r="K14" s="51"/>
      <c r="L14" s="51"/>
      <c r="M14" s="51"/>
      <c r="O14" s="23" t="s">
        <v>292</v>
      </c>
      <c r="P14" s="24" t="s">
        <v>283</v>
      </c>
      <c r="Q14" s="24" t="s">
        <v>242</v>
      </c>
      <c r="R14" s="24">
        <v>41.2</v>
      </c>
      <c r="S14" s="23" t="s">
        <v>282</v>
      </c>
      <c r="T14" s="23"/>
      <c r="U14" s="23"/>
      <c r="V14" s="23"/>
      <c r="W14" s="23"/>
      <c r="X14" s="23"/>
      <c r="Y14" s="23"/>
      <c r="Z14" s="23"/>
      <c r="AE14" s="20" t="s">
        <v>310</v>
      </c>
      <c r="AF14" s="20">
        <f>(R33/R99)^0.4</f>
        <v>1.0756537569325701</v>
      </c>
      <c r="AH14" s="20">
        <f>(R35/R76)^0.2</f>
        <v>1.0460616922333281</v>
      </c>
      <c r="AI14" s="20">
        <f>(R35/R76)^0.33</f>
        <v>1.0771335217377185</v>
      </c>
      <c r="AJ14" s="20">
        <f>(R99/R33)^0.15</f>
        <v>0.97302234352509809</v>
      </c>
      <c r="AL14" s="20">
        <f>(R76/R35)^1.2</f>
        <v>0.76323136838100569</v>
      </c>
      <c r="AM14" s="20">
        <f>(R76/R35)^2</f>
        <v>0.63742195629552545</v>
      </c>
    </row>
    <row r="15" spans="1:39" ht="16.5" x14ac:dyDescent="0.25">
      <c r="A15" s="51" t="s">
        <v>9</v>
      </c>
      <c r="B15" s="53"/>
      <c r="C15" s="52"/>
      <c r="D15" s="52"/>
      <c r="E15" s="52"/>
      <c r="F15" s="52"/>
      <c r="G15" s="51"/>
      <c r="H15" s="50" t="s">
        <v>156</v>
      </c>
      <c r="I15" s="50"/>
      <c r="J15" s="51"/>
      <c r="K15" s="51"/>
      <c r="L15" s="51"/>
      <c r="M15" s="51"/>
      <c r="O15" s="23" t="s">
        <v>293</v>
      </c>
      <c r="P15" s="26" t="s">
        <v>285</v>
      </c>
      <c r="Q15" s="24" t="s">
        <v>242</v>
      </c>
      <c r="R15" s="24">
        <v>0.34</v>
      </c>
      <c r="S15" s="23" t="s">
        <v>286</v>
      </c>
      <c r="T15" s="23"/>
      <c r="U15" s="23"/>
      <c r="V15" s="23"/>
      <c r="W15" s="23"/>
      <c r="X15" s="23"/>
      <c r="Y15" s="23"/>
      <c r="Z15" s="23"/>
      <c r="AE15" s="20" t="s">
        <v>311</v>
      </c>
    </row>
    <row r="16" spans="1:39" ht="16.5" x14ac:dyDescent="0.25">
      <c r="A16" s="51" t="s">
        <v>20</v>
      </c>
      <c r="B16" s="53"/>
      <c r="C16" s="53">
        <v>197</v>
      </c>
      <c r="D16" s="53">
        <v>100</v>
      </c>
      <c r="E16" s="53">
        <v>60</v>
      </c>
      <c r="F16" s="53">
        <v>124</v>
      </c>
      <c r="G16" s="51"/>
      <c r="H16" s="51" t="s">
        <v>26</v>
      </c>
      <c r="I16" s="51" t="s">
        <v>172</v>
      </c>
      <c r="J16" s="55">
        <f>(('Example 9-1'!C16-'Example 9-1'!F16)-('Example 9-1'!D16-'Example 9-1'!E16))/LN(('Example 9-1'!C16-'Example 9-1'!F16)/('Example 9-1'!D16-'Example 9-1'!E16))</f>
        <v>54.855548241683714</v>
      </c>
      <c r="K16" s="51" t="s">
        <v>28</v>
      </c>
      <c r="L16" s="51"/>
      <c r="M16" s="51"/>
      <c r="O16" s="23" t="s">
        <v>338</v>
      </c>
      <c r="P16" s="26" t="s">
        <v>341</v>
      </c>
      <c r="Q16" s="24" t="s">
        <v>242</v>
      </c>
      <c r="R16" s="24" t="s">
        <v>330</v>
      </c>
      <c r="S16" s="23" t="s">
        <v>286</v>
      </c>
      <c r="T16" s="23"/>
      <c r="U16" s="23"/>
      <c r="V16" s="23"/>
      <c r="W16" s="23"/>
      <c r="X16" s="23"/>
      <c r="Y16" s="23"/>
      <c r="Z16" s="23"/>
      <c r="AE16" s="20" t="s">
        <v>312</v>
      </c>
      <c r="AL16" s="20">
        <v>1</v>
      </c>
      <c r="AM16" s="20">
        <f>R39/R77</f>
        <v>1</v>
      </c>
    </row>
    <row r="17" spans="1:41" ht="18" x14ac:dyDescent="0.25">
      <c r="A17" s="51" t="s">
        <v>11</v>
      </c>
      <c r="B17" s="53"/>
      <c r="C17" s="53">
        <v>41.2</v>
      </c>
      <c r="D17" s="53"/>
      <c r="E17" s="53">
        <v>38.299999999999997</v>
      </c>
      <c r="F17" s="53"/>
      <c r="G17" s="51"/>
      <c r="H17" s="51"/>
      <c r="I17" s="51"/>
      <c r="J17" s="51"/>
      <c r="K17" s="51"/>
      <c r="L17" s="51"/>
      <c r="M17" s="51"/>
      <c r="O17" s="23" t="s">
        <v>339</v>
      </c>
      <c r="P17" s="26" t="s">
        <v>340</v>
      </c>
      <c r="Q17" s="24" t="s">
        <v>242</v>
      </c>
      <c r="R17" s="24">
        <v>7.6999999999999999E-2</v>
      </c>
      <c r="S17" s="27" t="s">
        <v>337</v>
      </c>
      <c r="T17" s="23"/>
      <c r="U17" s="23"/>
      <c r="V17" s="23"/>
      <c r="W17" s="23"/>
      <c r="X17" s="23"/>
      <c r="Y17" s="23"/>
      <c r="Z17" s="23"/>
      <c r="AE17" s="20" t="s">
        <v>361</v>
      </c>
      <c r="AJ17" s="20">
        <f>R43/R102</f>
        <v>19</v>
      </c>
    </row>
    <row r="18" spans="1:41" ht="18" x14ac:dyDescent="0.25">
      <c r="A18" s="51" t="s">
        <v>12</v>
      </c>
      <c r="B18" s="53"/>
      <c r="C18" s="53">
        <v>0.34</v>
      </c>
      <c r="D18" s="53"/>
      <c r="E18" s="53">
        <v>0.21</v>
      </c>
      <c r="F18" s="53"/>
      <c r="G18" s="51"/>
      <c r="H18" s="50" t="s">
        <v>157</v>
      </c>
      <c r="I18" s="50"/>
      <c r="J18" s="51"/>
      <c r="K18" s="51"/>
      <c r="L18" s="51"/>
      <c r="M18" s="51"/>
      <c r="O18" s="23" t="s">
        <v>370</v>
      </c>
      <c r="P18" s="26" t="s">
        <v>371</v>
      </c>
      <c r="Q18" s="24" t="s">
        <v>242</v>
      </c>
      <c r="R18" s="24">
        <v>2E-3</v>
      </c>
      <c r="S18" s="27" t="s">
        <v>344</v>
      </c>
      <c r="T18" s="23"/>
      <c r="U18" s="23"/>
      <c r="V18" s="23"/>
      <c r="W18" s="23"/>
      <c r="X18" s="23"/>
      <c r="Y18" s="23"/>
      <c r="Z18" s="23"/>
      <c r="AE18" s="20" t="s">
        <v>313</v>
      </c>
      <c r="AJ18" s="20">
        <f>R41/R101</f>
        <v>2.2999999999999998</v>
      </c>
    </row>
    <row r="19" spans="1:41" x14ac:dyDescent="0.25">
      <c r="A19" s="51" t="s">
        <v>37</v>
      </c>
      <c r="B19" s="53"/>
      <c r="C19" s="53">
        <f>C18*0.000672</f>
        <v>2.2848000000000001E-4</v>
      </c>
      <c r="D19" s="53"/>
      <c r="E19" s="53">
        <f>E18*0.000672</f>
        <v>1.4111999999999998E-4</v>
      </c>
      <c r="F19" s="53"/>
      <c r="G19" s="51"/>
      <c r="H19" s="50"/>
      <c r="I19" s="50"/>
      <c r="J19" s="51"/>
      <c r="K19" s="51"/>
      <c r="L19" s="51"/>
      <c r="M19" s="51"/>
      <c r="O19" s="23" t="s">
        <v>316</v>
      </c>
      <c r="P19" s="26" t="s">
        <v>317</v>
      </c>
      <c r="Q19" s="24" t="s">
        <v>242</v>
      </c>
      <c r="R19" s="24" t="s">
        <v>320</v>
      </c>
      <c r="S19" s="23"/>
      <c r="T19" s="23"/>
      <c r="U19" s="23"/>
      <c r="V19" s="23"/>
      <c r="W19" s="23"/>
      <c r="X19" s="23"/>
      <c r="Y19" s="23"/>
      <c r="Z19" s="23"/>
      <c r="AE19" s="20" t="s">
        <v>332</v>
      </c>
      <c r="AF19" s="20">
        <f>PRODUCT(AF8:AF18)</f>
        <v>0.99782116059321946</v>
      </c>
      <c r="AG19" s="20">
        <f t="shared" ref="AG19:AI19" si="0">PRODUCT(AG8:AG18)</f>
        <v>1.0247931875184386</v>
      </c>
      <c r="AH19" s="20">
        <f t="shared" si="0"/>
        <v>0.8391706929714372</v>
      </c>
      <c r="AI19" s="20" t="e">
        <f t="shared" si="0"/>
        <v>#VALUE!</v>
      </c>
      <c r="AJ19" s="20">
        <f t="shared" ref="AJ19" si="1">PRODUCT(AJ8:AJ18)</f>
        <v>38.26238630729592</v>
      </c>
      <c r="AK19" s="20">
        <f t="shared" ref="AK19" si="2">PRODUCT(AK8:AK18)</f>
        <v>1.1359223300970873</v>
      </c>
      <c r="AL19" s="20">
        <f t="shared" ref="AL19" si="3">PRODUCT(AL8:AL18)</f>
        <v>0.28603722364303741</v>
      </c>
      <c r="AM19" s="20">
        <f t="shared" ref="AM19" si="4">PRODUCT(AM8:AM18)</f>
        <v>0.13423639592454883</v>
      </c>
    </row>
    <row r="20" spans="1:41" x14ac:dyDescent="0.25">
      <c r="A20" s="51"/>
      <c r="B20" s="53"/>
      <c r="C20" s="53"/>
      <c r="D20" s="53"/>
      <c r="E20" s="53"/>
      <c r="F20" s="53"/>
      <c r="G20" s="51"/>
      <c r="H20" s="51" t="s">
        <v>27</v>
      </c>
      <c r="I20" s="51" t="s">
        <v>172</v>
      </c>
      <c r="J20" s="55">
        <f>J10/B7/J16</f>
        <v>100.75950524899584</v>
      </c>
      <c r="K20" s="51" t="s">
        <v>29</v>
      </c>
      <c r="L20" s="51"/>
      <c r="M20" s="51"/>
      <c r="O20" s="23"/>
      <c r="P20" s="24"/>
      <c r="Q20" s="24"/>
      <c r="R20" s="24"/>
      <c r="S20" s="23"/>
      <c r="T20" s="23"/>
      <c r="U20" s="23"/>
      <c r="V20" s="23"/>
      <c r="W20" s="23"/>
      <c r="X20" s="23"/>
      <c r="Y20" s="23"/>
      <c r="Z20" s="23"/>
    </row>
    <row r="21" spans="1:41" ht="16.5" x14ac:dyDescent="0.25">
      <c r="A21" s="51"/>
      <c r="B21" s="53"/>
      <c r="C21" s="53"/>
      <c r="D21" s="53"/>
      <c r="E21" s="53"/>
      <c r="F21" s="53"/>
      <c r="G21" s="51"/>
      <c r="H21" s="51"/>
      <c r="I21" s="51"/>
      <c r="J21" s="51"/>
      <c r="K21" s="51"/>
      <c r="L21" s="51"/>
      <c r="M21" s="51"/>
      <c r="O21" s="23" t="s">
        <v>294</v>
      </c>
      <c r="P21" s="24" t="s">
        <v>248</v>
      </c>
      <c r="Q21" s="24" t="s">
        <v>242</v>
      </c>
      <c r="R21" s="24">
        <v>650860</v>
      </c>
      <c r="S21" s="23" t="s">
        <v>120</v>
      </c>
      <c r="T21" s="23"/>
      <c r="U21" s="23"/>
      <c r="V21" s="23"/>
      <c r="W21" s="23"/>
      <c r="X21" s="23"/>
      <c r="Y21" s="23"/>
      <c r="Z21" s="23"/>
      <c r="AC21" s="20" t="s">
        <v>323</v>
      </c>
      <c r="AE21" s="20" t="s">
        <v>318</v>
      </c>
    </row>
    <row r="22" spans="1:41" ht="18" x14ac:dyDescent="0.25">
      <c r="A22" s="51" t="s">
        <v>13</v>
      </c>
      <c r="B22" s="53"/>
      <c r="C22" s="53">
        <v>0.54200000000000004</v>
      </c>
      <c r="D22" s="53"/>
      <c r="E22" s="53">
        <v>0.6</v>
      </c>
      <c r="F22" s="53"/>
      <c r="G22" s="51"/>
      <c r="H22" s="143" t="s">
        <v>158</v>
      </c>
      <c r="I22" s="143"/>
      <c r="J22" s="143"/>
      <c r="K22" s="143"/>
      <c r="L22" s="143"/>
      <c r="M22" s="51"/>
      <c r="O22" s="23" t="s">
        <v>295</v>
      </c>
      <c r="P22" s="24" t="s">
        <v>249</v>
      </c>
      <c r="Q22" s="24" t="s">
        <v>242</v>
      </c>
      <c r="R22" s="24">
        <v>0.6</v>
      </c>
      <c r="S22" s="23" t="s">
        <v>243</v>
      </c>
      <c r="T22" s="23"/>
      <c r="U22" s="23"/>
      <c r="V22" s="23"/>
      <c r="W22" s="23"/>
      <c r="X22" s="23"/>
      <c r="Y22" s="23"/>
      <c r="Z22" s="23"/>
      <c r="AC22" s="20" t="s">
        <v>8</v>
      </c>
      <c r="AE22" s="20" t="s">
        <v>319</v>
      </c>
      <c r="AF22" s="20" t="s">
        <v>300</v>
      </c>
      <c r="AG22" s="20" t="s">
        <v>63</v>
      </c>
      <c r="AH22" s="20" t="s">
        <v>64</v>
      </c>
      <c r="AI22" s="20" t="s">
        <v>65</v>
      </c>
      <c r="AJ22" s="28" t="s">
        <v>66</v>
      </c>
      <c r="AK22" s="29" t="s">
        <v>324</v>
      </c>
      <c r="AL22" s="28" t="s">
        <v>67</v>
      </c>
      <c r="AM22" s="28" t="s">
        <v>326</v>
      </c>
      <c r="AN22" s="29" t="s">
        <v>204</v>
      </c>
      <c r="AO22" s="29" t="s">
        <v>205</v>
      </c>
    </row>
    <row r="23" spans="1:41" ht="16.5" x14ac:dyDescent="0.25">
      <c r="A23" s="51" t="s">
        <v>14</v>
      </c>
      <c r="B23" s="53"/>
      <c r="C23" s="53">
        <v>7.6999999999999999E-2</v>
      </c>
      <c r="D23" s="53"/>
      <c r="E23" s="53">
        <v>7.8E-2</v>
      </c>
      <c r="F23" s="53"/>
      <c r="G23" s="51"/>
      <c r="H23" s="51"/>
      <c r="I23" s="51"/>
      <c r="J23" s="51"/>
      <c r="K23" s="51"/>
      <c r="L23" s="51"/>
      <c r="M23" s="51"/>
      <c r="O23" s="23" t="s">
        <v>296</v>
      </c>
      <c r="P23" s="24" t="s">
        <v>250</v>
      </c>
      <c r="Q23" s="24" t="s">
        <v>242</v>
      </c>
      <c r="R23" s="24">
        <v>60</v>
      </c>
      <c r="S23" s="23" t="s">
        <v>252</v>
      </c>
      <c r="T23" s="23"/>
      <c r="U23" s="23"/>
      <c r="V23" s="23"/>
      <c r="W23" s="23"/>
      <c r="X23" s="23"/>
      <c r="Y23" s="23"/>
      <c r="Z23" s="23"/>
      <c r="AC23" s="20" t="s">
        <v>320</v>
      </c>
      <c r="AE23" s="20" t="s">
        <v>8</v>
      </c>
      <c r="AF23" s="20" t="s">
        <v>303</v>
      </c>
      <c r="AG23" s="20">
        <v>8.9999999999999998E-4</v>
      </c>
      <c r="AH23" s="20">
        <v>0.35799999999999998</v>
      </c>
      <c r="AI23" s="20">
        <v>1</v>
      </c>
      <c r="AJ23" s="20">
        <v>62.1</v>
      </c>
      <c r="AK23" s="20">
        <v>6.8000000000000005E-2</v>
      </c>
      <c r="AL23" s="20">
        <v>0.76400000000000001</v>
      </c>
      <c r="AM23" s="20" t="s">
        <v>330</v>
      </c>
      <c r="AN23" s="20">
        <v>265</v>
      </c>
      <c r="AO23" s="20">
        <v>0.62</v>
      </c>
    </row>
    <row r="24" spans="1:41" ht="16.5" x14ac:dyDescent="0.25">
      <c r="A24" s="51"/>
      <c r="B24" s="53"/>
      <c r="C24" s="53"/>
      <c r="D24" s="53"/>
      <c r="E24" s="53"/>
      <c r="F24" s="53"/>
      <c r="G24" s="51"/>
      <c r="H24" s="51" t="s">
        <v>34</v>
      </c>
      <c r="I24" s="51"/>
      <c r="J24" s="51"/>
      <c r="K24" s="51"/>
      <c r="L24" s="51"/>
      <c r="M24" s="51"/>
      <c r="O24" s="23" t="s">
        <v>297</v>
      </c>
      <c r="P24" s="24" t="s">
        <v>251</v>
      </c>
      <c r="Q24" s="24" t="s">
        <v>242</v>
      </c>
      <c r="R24" s="24">
        <v>124</v>
      </c>
      <c r="S24" s="23" t="s">
        <v>252</v>
      </c>
      <c r="T24" s="23"/>
      <c r="U24" s="23"/>
      <c r="V24" s="23"/>
      <c r="W24" s="23"/>
      <c r="X24" s="23"/>
      <c r="Y24" s="23"/>
      <c r="Z24" s="23"/>
      <c r="AC24" s="20" t="s">
        <v>321</v>
      </c>
      <c r="AE24" s="20" t="s">
        <v>320</v>
      </c>
      <c r="AF24" s="20" t="s">
        <v>303</v>
      </c>
      <c r="AG24" s="20">
        <v>3.8E-3</v>
      </c>
      <c r="AH24" s="20">
        <v>7.8799999999999995E-2</v>
      </c>
      <c r="AI24" s="20">
        <v>0.5</v>
      </c>
      <c r="AJ24" s="20">
        <v>46.9</v>
      </c>
      <c r="AK24" s="20">
        <v>6.0999999999999999E-2</v>
      </c>
      <c r="AL24" s="20">
        <v>0.72599999999999998</v>
      </c>
      <c r="AM24" s="20" t="s">
        <v>330</v>
      </c>
      <c r="AN24" s="20">
        <v>185</v>
      </c>
      <c r="AO24" s="20">
        <v>0.495</v>
      </c>
    </row>
    <row r="25" spans="1:41" ht="18" x14ac:dyDescent="0.25">
      <c r="A25" s="51" t="s">
        <v>15</v>
      </c>
      <c r="B25" s="53"/>
      <c r="C25" s="53">
        <v>124.7</v>
      </c>
      <c r="D25" s="53"/>
      <c r="E25" s="53">
        <v>449.7</v>
      </c>
      <c r="F25" s="53"/>
      <c r="G25" s="51"/>
      <c r="H25" s="51">
        <f>B33*3.14159*(B34-2*B35)^2/4</f>
        <v>236.69493041600001</v>
      </c>
      <c r="I25" s="51"/>
      <c r="J25" s="51" t="s">
        <v>35</v>
      </c>
      <c r="K25" s="51"/>
      <c r="L25" s="51"/>
      <c r="M25" s="51"/>
      <c r="O25" s="23" t="s">
        <v>298</v>
      </c>
      <c r="P25" s="24" t="s">
        <v>284</v>
      </c>
      <c r="Q25" s="24" t="s">
        <v>242</v>
      </c>
      <c r="R25" s="24">
        <v>38.299999999999997</v>
      </c>
      <c r="S25" s="23" t="s">
        <v>282</v>
      </c>
      <c r="T25" s="23"/>
      <c r="U25" s="23"/>
      <c r="V25" s="23"/>
      <c r="W25" s="23"/>
      <c r="X25" s="23"/>
      <c r="Y25" s="23"/>
      <c r="Z25" s="23"/>
      <c r="AE25" s="20" t="s">
        <v>321</v>
      </c>
      <c r="AF25" s="20" t="s">
        <v>303</v>
      </c>
      <c r="AG25" s="20">
        <v>5.7999999999999996E-3</v>
      </c>
      <c r="AH25" s="20">
        <v>0.02</v>
      </c>
      <c r="AI25" s="20">
        <v>0.54</v>
      </c>
      <c r="AJ25" s="20">
        <v>0.27</v>
      </c>
      <c r="AK25" s="20">
        <v>0.13700000000000001</v>
      </c>
      <c r="AL25" s="20">
        <v>1.1299999999999999E-2</v>
      </c>
      <c r="AM25" s="20" t="s">
        <v>330</v>
      </c>
      <c r="AN25" s="20">
        <v>31.2</v>
      </c>
      <c r="AO25" s="20">
        <v>0.62</v>
      </c>
    </row>
    <row r="26" spans="1:41" ht="16.5" x14ac:dyDescent="0.25">
      <c r="A26" s="51"/>
      <c r="B26" s="53"/>
      <c r="C26" s="53"/>
      <c r="D26" s="53"/>
      <c r="E26" s="53"/>
      <c r="F26" s="53"/>
      <c r="G26" s="51"/>
      <c r="H26" s="51">
        <f>H25/144</f>
        <v>1.6437147945555557</v>
      </c>
      <c r="I26" s="51"/>
      <c r="J26" s="51" t="s">
        <v>38</v>
      </c>
      <c r="K26" s="51"/>
      <c r="L26" s="51"/>
      <c r="M26" s="51"/>
      <c r="O26" s="23" t="s">
        <v>299</v>
      </c>
      <c r="P26" s="26" t="s">
        <v>287</v>
      </c>
      <c r="Q26" s="24" t="s">
        <v>242</v>
      </c>
      <c r="R26" s="24">
        <v>0.21</v>
      </c>
      <c r="S26" s="23" t="s">
        <v>286</v>
      </c>
      <c r="T26" s="23"/>
      <c r="U26" s="23"/>
      <c r="V26" s="23"/>
      <c r="W26" s="23"/>
      <c r="X26" s="23"/>
      <c r="Y26" s="23"/>
      <c r="Z26" s="23"/>
      <c r="AE26" s="20" t="s">
        <v>320</v>
      </c>
      <c r="AF26" s="20" t="s">
        <v>304</v>
      </c>
      <c r="AG26" s="20">
        <v>4.9000000000000002E-2</v>
      </c>
      <c r="AH26" s="20">
        <v>7.1599999999999997E-2</v>
      </c>
      <c r="AI26" s="20">
        <v>0.52600000000000002</v>
      </c>
      <c r="AJ26" s="20">
        <v>51.3</v>
      </c>
      <c r="AK26" s="30">
        <f>0.14/17</f>
        <v>8.2352941176470594E-3</v>
      </c>
      <c r="AL26" s="20">
        <v>6.62</v>
      </c>
      <c r="AM26" s="20">
        <v>27.75</v>
      </c>
      <c r="AN26" s="20">
        <v>42.3</v>
      </c>
      <c r="AO26" s="20">
        <v>0.83399999999999996</v>
      </c>
    </row>
    <row r="27" spans="1:41" ht="16.5" x14ac:dyDescent="0.3">
      <c r="A27" s="51" t="s">
        <v>16</v>
      </c>
      <c r="B27" s="53"/>
      <c r="C27" s="53" t="s">
        <v>21</v>
      </c>
      <c r="D27" s="53"/>
      <c r="E27" s="53" t="s">
        <v>22</v>
      </c>
      <c r="F27" s="53"/>
      <c r="G27" s="51"/>
      <c r="H27" s="51" t="s">
        <v>199</v>
      </c>
      <c r="I27" s="51"/>
      <c r="J27" s="51"/>
      <c r="K27" s="51"/>
      <c r="L27" s="51"/>
      <c r="M27" s="51"/>
      <c r="O27" s="23" t="s">
        <v>334</v>
      </c>
      <c r="P27" s="26" t="s">
        <v>335</v>
      </c>
      <c r="Q27" s="24" t="s">
        <v>242</v>
      </c>
      <c r="R27" s="24" t="s">
        <v>330</v>
      </c>
      <c r="S27" s="23" t="s">
        <v>286</v>
      </c>
      <c r="T27" s="23"/>
      <c r="U27" s="23"/>
      <c r="V27" s="23"/>
      <c r="W27" s="23"/>
      <c r="X27" s="23"/>
      <c r="Y27" s="23"/>
      <c r="Z27" s="23"/>
    </row>
    <row r="28" spans="1:41" ht="18" x14ac:dyDescent="0.25">
      <c r="A28" s="51"/>
      <c r="B28" s="53"/>
      <c r="C28" s="53"/>
      <c r="D28" s="53"/>
      <c r="E28" s="53"/>
      <c r="F28" s="53"/>
      <c r="G28" s="51"/>
      <c r="H28" s="51">
        <f>E10/3600/(H25/144)</f>
        <v>109.99137140049255</v>
      </c>
      <c r="I28" s="51"/>
      <c r="J28" s="51" t="s">
        <v>36</v>
      </c>
      <c r="K28" s="51"/>
      <c r="L28" s="51"/>
      <c r="M28" s="51"/>
      <c r="O28" s="23" t="s">
        <v>336</v>
      </c>
      <c r="P28" s="26" t="s">
        <v>342</v>
      </c>
      <c r="Q28" s="24" t="s">
        <v>242</v>
      </c>
      <c r="R28" s="24">
        <v>7.8E-2</v>
      </c>
      <c r="S28" s="27" t="s">
        <v>337</v>
      </c>
      <c r="T28" s="23"/>
      <c r="U28" s="23"/>
      <c r="V28" s="23"/>
      <c r="W28" s="23"/>
      <c r="X28" s="23"/>
      <c r="Y28" s="23"/>
      <c r="Z28" s="23"/>
      <c r="AE28" s="20" t="s">
        <v>322</v>
      </c>
      <c r="AF28" s="20" t="s">
        <v>300</v>
      </c>
      <c r="AG28" s="20" t="s">
        <v>63</v>
      </c>
      <c r="AH28" s="20" t="s">
        <v>64</v>
      </c>
      <c r="AI28" s="20" t="s">
        <v>65</v>
      </c>
      <c r="AJ28" s="28" t="s">
        <v>66</v>
      </c>
      <c r="AK28" s="29" t="s">
        <v>327</v>
      </c>
      <c r="AL28" s="28" t="s">
        <v>67</v>
      </c>
      <c r="AM28" s="28" t="s">
        <v>326</v>
      </c>
      <c r="AN28" s="29" t="s">
        <v>328</v>
      </c>
      <c r="AO28" s="29" t="s">
        <v>329</v>
      </c>
    </row>
    <row r="29" spans="1:41" ht="18" x14ac:dyDescent="0.25">
      <c r="A29" s="51" t="s">
        <v>17</v>
      </c>
      <c r="B29" s="52">
        <v>25000000</v>
      </c>
      <c r="C29" s="53"/>
      <c r="D29" s="53"/>
      <c r="E29" s="53"/>
      <c r="F29" s="53"/>
      <c r="G29" s="51"/>
      <c r="H29" s="51"/>
      <c r="I29" s="51"/>
      <c r="J29" s="51"/>
      <c r="K29" s="51"/>
      <c r="L29" s="51"/>
      <c r="M29" s="51"/>
      <c r="O29" s="23" t="s">
        <v>373</v>
      </c>
      <c r="P29" s="26" t="s">
        <v>374</v>
      </c>
      <c r="Q29" s="24" t="s">
        <v>242</v>
      </c>
      <c r="R29" s="24">
        <v>1E-3</v>
      </c>
      <c r="S29" s="27" t="s">
        <v>344</v>
      </c>
      <c r="T29" s="23"/>
      <c r="U29" s="23"/>
      <c r="V29" s="23"/>
      <c r="W29" s="23"/>
      <c r="X29" s="23"/>
      <c r="Y29" s="23"/>
      <c r="Z29" s="23"/>
      <c r="AE29" s="20" t="s">
        <v>8</v>
      </c>
      <c r="AF29" s="20" t="s">
        <v>303</v>
      </c>
      <c r="AG29" s="20">
        <v>5.0000000000000001E-3</v>
      </c>
      <c r="AH29" s="20">
        <v>0.39500000000000002</v>
      </c>
      <c r="AI29" s="20">
        <v>1.0069999999999999</v>
      </c>
      <c r="AJ29" s="20">
        <v>59.8</v>
      </c>
      <c r="AK29" s="20">
        <v>0.23</v>
      </c>
      <c r="AL29" s="20">
        <v>0.28199999999999997</v>
      </c>
      <c r="AM29" s="20" t="s">
        <v>330</v>
      </c>
      <c r="AN29" s="20">
        <v>156.69999999999999</v>
      </c>
      <c r="AO29" s="20">
        <v>0.625</v>
      </c>
    </row>
    <row r="30" spans="1:41" x14ac:dyDescent="0.25">
      <c r="A30" s="51" t="s">
        <v>18</v>
      </c>
      <c r="B30" s="53">
        <v>54.9</v>
      </c>
      <c r="C30" s="53"/>
      <c r="D30" s="53"/>
      <c r="E30" s="53"/>
      <c r="F30" s="53"/>
      <c r="G30" s="51"/>
      <c r="H30" s="51" t="s">
        <v>42</v>
      </c>
      <c r="I30" s="51"/>
      <c r="J30" s="51"/>
      <c r="K30" s="51"/>
      <c r="L30" s="51"/>
      <c r="M30" s="51"/>
      <c r="O30" s="23" t="s">
        <v>372</v>
      </c>
      <c r="P30" s="26" t="s">
        <v>317</v>
      </c>
      <c r="Q30" s="24" t="s">
        <v>242</v>
      </c>
      <c r="R30" s="24" t="s">
        <v>320</v>
      </c>
      <c r="S30" s="23"/>
      <c r="T30" s="23"/>
      <c r="U30" s="23"/>
      <c r="V30" s="23"/>
      <c r="W30" s="23"/>
      <c r="X30" s="23"/>
      <c r="Y30" s="23"/>
      <c r="Z30" s="23"/>
      <c r="AE30" s="20" t="s">
        <v>320</v>
      </c>
      <c r="AF30" s="20" t="s">
        <v>303</v>
      </c>
      <c r="AG30" s="20">
        <v>2.8E-3</v>
      </c>
      <c r="AH30" s="20">
        <v>7.6200000000000004E-2</v>
      </c>
      <c r="AI30" s="20">
        <v>0.55700000000000005</v>
      </c>
      <c r="AJ30" s="20">
        <v>46.8</v>
      </c>
      <c r="AK30" s="20">
        <v>0.25</v>
      </c>
      <c r="AL30" s="20">
        <v>0.54900000000000004</v>
      </c>
      <c r="AM30" s="20" t="s">
        <v>330</v>
      </c>
      <c r="AN30" s="20">
        <v>132.4</v>
      </c>
      <c r="AO30" s="20">
        <v>0.625</v>
      </c>
    </row>
    <row r="31" spans="1:41" x14ac:dyDescent="0.25">
      <c r="A31" s="51" t="s">
        <v>23</v>
      </c>
      <c r="B31" s="53" t="s">
        <v>24</v>
      </c>
      <c r="C31" s="53"/>
      <c r="D31" s="53"/>
      <c r="E31" s="53"/>
      <c r="F31" s="53"/>
      <c r="G31" s="51"/>
      <c r="H31" s="51">
        <f>E10/E17/3600/B33/B38</f>
        <v>2.8718373733810072</v>
      </c>
      <c r="I31" s="51"/>
      <c r="J31" s="51" t="s">
        <v>44</v>
      </c>
      <c r="K31" s="51"/>
      <c r="L31" s="51"/>
      <c r="M31" s="51"/>
      <c r="O31" s="23"/>
      <c r="P31" s="24"/>
      <c r="Q31" s="24"/>
      <c r="R31" s="23"/>
      <c r="S31" s="23"/>
      <c r="T31" s="23"/>
      <c r="U31" s="23"/>
      <c r="V31" s="23"/>
      <c r="W31" s="23"/>
      <c r="X31" s="23"/>
      <c r="Y31" s="23"/>
      <c r="Z31" s="23"/>
      <c r="AE31" s="20" t="s">
        <v>321</v>
      </c>
      <c r="AF31" s="20" t="s">
        <v>303</v>
      </c>
      <c r="AG31" s="20">
        <v>3.8E-3</v>
      </c>
      <c r="AH31" s="20">
        <v>3.6999999999999998E-2</v>
      </c>
      <c r="AI31" s="20">
        <v>0.65500000000000003</v>
      </c>
      <c r="AJ31" s="20">
        <v>0.23</v>
      </c>
      <c r="AK31" s="20">
        <v>0.09</v>
      </c>
      <c r="AL31" s="20">
        <v>1.8200000000000001E-2</v>
      </c>
      <c r="AM31" s="20" t="s">
        <v>330</v>
      </c>
      <c r="AN31" s="20">
        <v>6.19</v>
      </c>
      <c r="AO31" s="20">
        <v>0.625</v>
      </c>
    </row>
    <row r="32" spans="1:41" x14ac:dyDescent="0.25">
      <c r="A32" s="51"/>
      <c r="B32" s="53"/>
      <c r="C32" s="53"/>
      <c r="D32" s="53"/>
      <c r="E32" s="53"/>
      <c r="F32" s="53"/>
      <c r="G32" s="51"/>
      <c r="H32" s="54">
        <f>B37*H31*E17/E19</f>
        <v>40269.894574537866</v>
      </c>
      <c r="I32" s="54"/>
      <c r="J32" s="51" t="s">
        <v>43</v>
      </c>
      <c r="K32" s="51"/>
      <c r="L32" s="51"/>
      <c r="M32" s="51"/>
      <c r="O32" s="23" t="s">
        <v>266</v>
      </c>
      <c r="P32" s="24" t="s">
        <v>267</v>
      </c>
      <c r="Q32" s="24" t="s">
        <v>242</v>
      </c>
      <c r="R32" s="24">
        <v>784</v>
      </c>
      <c r="S32" s="23"/>
      <c r="T32" s="23"/>
      <c r="U32" s="23"/>
      <c r="V32" s="23"/>
      <c r="W32" s="23"/>
      <c r="X32" s="23"/>
      <c r="Y32" s="23"/>
      <c r="Z32" s="23"/>
    </row>
    <row r="33" spans="1:26" x14ac:dyDescent="0.25">
      <c r="A33" s="51" t="s">
        <v>30</v>
      </c>
      <c r="B33" s="53">
        <v>784</v>
      </c>
      <c r="C33" s="53"/>
      <c r="D33" s="53"/>
      <c r="E33" s="53"/>
      <c r="F33" s="53"/>
      <c r="G33" s="51"/>
      <c r="H33" s="51"/>
      <c r="I33" s="51"/>
      <c r="J33" s="51"/>
      <c r="K33" s="51"/>
      <c r="L33" s="51"/>
      <c r="M33" s="51"/>
      <c r="O33" s="23" t="s">
        <v>103</v>
      </c>
      <c r="P33" s="24" t="s">
        <v>270</v>
      </c>
      <c r="Q33" s="24" t="s">
        <v>242</v>
      </c>
      <c r="R33" s="24">
        <v>0.75</v>
      </c>
      <c r="S33" s="23" t="s">
        <v>269</v>
      </c>
      <c r="T33" s="23"/>
      <c r="U33" s="23"/>
      <c r="V33" s="23"/>
      <c r="W33" s="23"/>
      <c r="X33" s="23"/>
      <c r="Y33" s="23"/>
      <c r="Z33" s="23"/>
    </row>
    <row r="34" spans="1:26" x14ac:dyDescent="0.25">
      <c r="A34" s="51" t="s">
        <v>31</v>
      </c>
      <c r="B34" s="53">
        <v>0.75</v>
      </c>
      <c r="C34" s="53"/>
      <c r="D34" s="53"/>
      <c r="E34" s="53"/>
      <c r="F34" s="53"/>
      <c r="G34" s="51"/>
      <c r="H34" s="51"/>
      <c r="I34" s="51"/>
      <c r="J34" s="51"/>
      <c r="K34" s="51"/>
      <c r="L34" s="51"/>
      <c r="M34" s="51"/>
      <c r="O34" s="23" t="s">
        <v>275</v>
      </c>
      <c r="P34" s="24" t="s">
        <v>272</v>
      </c>
      <c r="Q34" s="24" t="s">
        <v>242</v>
      </c>
      <c r="R34" s="24">
        <v>6.5000000000000002E-2</v>
      </c>
      <c r="S34" s="23" t="s">
        <v>269</v>
      </c>
      <c r="T34" s="23"/>
      <c r="U34" s="23"/>
      <c r="V34" s="23"/>
      <c r="W34" s="23"/>
      <c r="X34" s="23"/>
      <c r="Y34" s="23"/>
      <c r="Z34" s="23"/>
    </row>
    <row r="35" spans="1:26" ht="15.75" x14ac:dyDescent="0.3">
      <c r="A35" s="56" t="s">
        <v>32</v>
      </c>
      <c r="B35" s="57">
        <v>6.5000000000000002E-2</v>
      </c>
      <c r="C35" s="53"/>
      <c r="D35" s="53"/>
      <c r="E35" s="53"/>
      <c r="F35" s="53"/>
      <c r="G35" s="51"/>
      <c r="H35" s="145" t="s">
        <v>200</v>
      </c>
      <c r="I35" s="145"/>
      <c r="J35" s="145"/>
      <c r="K35" s="145"/>
      <c r="L35" s="145"/>
      <c r="M35" s="51"/>
      <c r="O35" s="23" t="s">
        <v>276</v>
      </c>
      <c r="P35" s="24" t="s">
        <v>271</v>
      </c>
      <c r="Q35" s="24" t="s">
        <v>242</v>
      </c>
      <c r="R35" s="24">
        <f>R33-2*R34</f>
        <v>0.62</v>
      </c>
      <c r="S35" s="23" t="s">
        <v>269</v>
      </c>
      <c r="T35" s="23"/>
      <c r="U35" s="23"/>
      <c r="V35" s="23"/>
      <c r="W35" s="23"/>
      <c r="X35" s="23"/>
      <c r="Y35" s="23"/>
      <c r="Z35" s="23"/>
    </row>
    <row r="36" spans="1:26" x14ac:dyDescent="0.25">
      <c r="A36" s="51" t="s">
        <v>39</v>
      </c>
      <c r="B36" s="53">
        <f>B34-2*B35</f>
        <v>0.62</v>
      </c>
      <c r="C36" s="53"/>
      <c r="D36" s="53"/>
      <c r="E36" s="53"/>
      <c r="F36" s="53"/>
      <c r="G36" s="51"/>
      <c r="H36" s="51">
        <f>(E18/E50)^0.47*(E46/E23)^0.67*(E47/E22)^0.33*(E51/H28)^0.8*(B36/E52)^0.2</f>
        <v>0.83917012591766071</v>
      </c>
      <c r="I36" s="51"/>
      <c r="J36" s="51"/>
      <c r="K36" s="51"/>
      <c r="L36" s="51"/>
      <c r="M36" s="51"/>
      <c r="O36" s="23"/>
      <c r="P36" s="24"/>
      <c r="Q36" s="24"/>
      <c r="R36" s="24"/>
      <c r="S36" s="23"/>
      <c r="T36" s="23"/>
      <c r="U36" s="23"/>
      <c r="V36" s="23"/>
      <c r="W36" s="23"/>
      <c r="X36" s="23"/>
      <c r="Y36" s="23"/>
      <c r="Z36" s="23"/>
    </row>
    <row r="37" spans="1:26" x14ac:dyDescent="0.25">
      <c r="A37" s="51" t="s">
        <v>40</v>
      </c>
      <c r="B37" s="53">
        <f>B36/12</f>
        <v>5.1666666666666666E-2</v>
      </c>
      <c r="C37" s="53"/>
      <c r="D37" s="53"/>
      <c r="E37" s="53"/>
      <c r="F37" s="53"/>
      <c r="G37" s="51"/>
      <c r="H37" s="51"/>
      <c r="I37" s="51"/>
      <c r="J37" s="51"/>
      <c r="K37" s="51"/>
      <c r="L37" s="51"/>
      <c r="M37" s="51"/>
      <c r="O37" s="23"/>
      <c r="P37" s="24"/>
      <c r="Q37" s="24"/>
      <c r="R37" s="24"/>
      <c r="S37" s="23"/>
      <c r="T37" s="23"/>
      <c r="U37" s="23"/>
      <c r="V37" s="23"/>
      <c r="W37" s="23"/>
      <c r="X37" s="23"/>
      <c r="Y37" s="23"/>
      <c r="Z37" s="23"/>
    </row>
    <row r="38" spans="1:26" x14ac:dyDescent="0.25">
      <c r="A38" s="51" t="s">
        <v>41</v>
      </c>
      <c r="B38" s="53">
        <f>B37^2*3.14159/4</f>
        <v>2.0965749930555552E-3</v>
      </c>
      <c r="C38" s="53"/>
      <c r="D38" s="53"/>
      <c r="E38" s="53"/>
      <c r="F38" s="53"/>
      <c r="G38" s="51"/>
      <c r="H38" s="51"/>
      <c r="I38" s="51"/>
      <c r="J38" s="51"/>
      <c r="K38" s="51"/>
      <c r="L38" s="51"/>
      <c r="M38" s="51"/>
      <c r="O38" s="23" t="s">
        <v>311</v>
      </c>
      <c r="P38" s="24" t="s">
        <v>348</v>
      </c>
      <c r="Q38" s="24" t="s">
        <v>242</v>
      </c>
      <c r="R38" s="24">
        <v>30</v>
      </c>
      <c r="S38" s="23" t="s">
        <v>349</v>
      </c>
      <c r="T38" s="23"/>
      <c r="U38" s="23"/>
      <c r="V38" s="23"/>
      <c r="W38" s="23"/>
      <c r="X38" s="23"/>
      <c r="Y38" s="23"/>
      <c r="Z38" s="23"/>
    </row>
    <row r="39" spans="1:26" ht="16.5" x14ac:dyDescent="0.3">
      <c r="A39" s="51" t="s">
        <v>33</v>
      </c>
      <c r="B39" s="53">
        <v>30</v>
      </c>
      <c r="C39" s="53"/>
      <c r="D39" s="53"/>
      <c r="E39" s="53"/>
      <c r="F39" s="53"/>
      <c r="G39" s="51"/>
      <c r="H39" s="51" t="s">
        <v>201</v>
      </c>
      <c r="I39" s="51"/>
      <c r="J39" s="51"/>
      <c r="K39" s="51"/>
      <c r="L39" s="51"/>
      <c r="M39" s="51"/>
      <c r="O39" s="23" t="s">
        <v>345</v>
      </c>
      <c r="P39" s="24" t="s">
        <v>346</v>
      </c>
      <c r="Q39" s="24" t="s">
        <v>242</v>
      </c>
      <c r="R39" s="24">
        <v>1</v>
      </c>
      <c r="S39" s="23"/>
      <c r="T39" s="23"/>
      <c r="U39" s="23"/>
      <c r="V39" s="23"/>
      <c r="W39" s="23"/>
      <c r="X39" s="23"/>
      <c r="Y39" s="23"/>
      <c r="Z39" s="23"/>
    </row>
    <row r="40" spans="1:26" ht="18" x14ac:dyDescent="0.25">
      <c r="A40" s="51" t="s">
        <v>55</v>
      </c>
      <c r="B40" s="53"/>
      <c r="C40" s="53">
        <v>2E-3</v>
      </c>
      <c r="D40" s="53"/>
      <c r="E40" s="53">
        <v>1E-3</v>
      </c>
      <c r="F40" s="53"/>
      <c r="G40" s="51"/>
      <c r="H40" s="51">
        <f>E45*H36</f>
        <v>3.1888464784871106E-3</v>
      </c>
      <c r="I40" s="51"/>
      <c r="J40" s="51" t="s">
        <v>45</v>
      </c>
      <c r="K40" s="51"/>
      <c r="L40" s="51"/>
      <c r="M40" s="51"/>
      <c r="O40" s="23" t="s">
        <v>352</v>
      </c>
      <c r="P40" s="24"/>
      <c r="Q40" s="24" t="s">
        <v>242</v>
      </c>
      <c r="R40" s="24">
        <v>156.80000000000001</v>
      </c>
      <c r="S40" s="23" t="s">
        <v>273</v>
      </c>
      <c r="T40" s="23"/>
      <c r="U40" s="23"/>
      <c r="V40" s="23"/>
      <c r="W40" s="23"/>
      <c r="X40" s="23"/>
      <c r="Y40" s="23"/>
      <c r="Z40" s="23"/>
    </row>
    <row r="41" spans="1:26" x14ac:dyDescent="0.25">
      <c r="A41" s="51" t="s">
        <v>74</v>
      </c>
      <c r="B41" s="53">
        <v>18.625</v>
      </c>
      <c r="C41" s="53"/>
      <c r="D41" s="53"/>
      <c r="E41" s="53"/>
      <c r="F41" s="53"/>
      <c r="G41" s="51"/>
      <c r="H41" s="51"/>
      <c r="I41" s="51"/>
      <c r="J41" s="51"/>
      <c r="K41" s="51"/>
      <c r="L41" s="51"/>
      <c r="M41" s="51"/>
      <c r="O41" s="23" t="s">
        <v>356</v>
      </c>
      <c r="P41" s="24" t="s">
        <v>357</v>
      </c>
      <c r="Q41" s="24" t="s">
        <v>242</v>
      </c>
      <c r="R41" s="24">
        <v>23</v>
      </c>
      <c r="S41" s="23"/>
      <c r="T41" s="23"/>
      <c r="U41" s="23"/>
      <c r="V41" s="23"/>
      <c r="W41" s="23"/>
      <c r="X41" s="23"/>
      <c r="Y41" s="23"/>
      <c r="Z41" s="23"/>
    </row>
    <row r="42" spans="1:26" x14ac:dyDescent="0.25">
      <c r="A42" s="51"/>
      <c r="B42" s="53"/>
      <c r="C42" s="53"/>
      <c r="D42" s="53"/>
      <c r="E42" s="53"/>
      <c r="F42" s="53"/>
      <c r="G42" s="51"/>
      <c r="H42" s="51" t="s">
        <v>46</v>
      </c>
      <c r="I42" s="51"/>
      <c r="J42" s="51"/>
      <c r="K42" s="51"/>
      <c r="L42" s="51"/>
      <c r="M42" s="51"/>
      <c r="O42" s="23" t="s">
        <v>358</v>
      </c>
      <c r="P42" s="24"/>
      <c r="Q42" s="24" t="s">
        <v>242</v>
      </c>
      <c r="R42" s="24">
        <v>18</v>
      </c>
      <c r="S42" s="23"/>
      <c r="T42" s="23"/>
      <c r="U42" s="23"/>
      <c r="V42" s="23"/>
      <c r="W42" s="23"/>
      <c r="X42" s="23"/>
      <c r="Y42" s="23"/>
      <c r="Z42" s="23"/>
    </row>
    <row r="43" spans="1:26" ht="16.5" x14ac:dyDescent="0.3">
      <c r="A43" s="50" t="s">
        <v>61</v>
      </c>
      <c r="B43" s="53"/>
      <c r="C43" s="53"/>
      <c r="D43" s="53"/>
      <c r="E43" s="53"/>
      <c r="F43" s="53"/>
      <c r="G43" s="51"/>
      <c r="H43" s="51" t="s">
        <v>202</v>
      </c>
      <c r="I43" s="51"/>
      <c r="J43" s="51"/>
      <c r="K43" s="51"/>
      <c r="L43" s="51"/>
      <c r="M43" s="51"/>
      <c r="O43" s="23" t="s">
        <v>359</v>
      </c>
      <c r="P43" s="24" t="s">
        <v>360</v>
      </c>
      <c r="Q43" s="24" t="s">
        <v>242</v>
      </c>
      <c r="R43" s="24">
        <f>R42+1</f>
        <v>19</v>
      </c>
      <c r="S43" s="23"/>
      <c r="T43" s="23"/>
      <c r="U43" s="23"/>
      <c r="V43" s="23"/>
      <c r="W43" s="23"/>
      <c r="X43" s="23"/>
      <c r="Y43" s="23"/>
      <c r="Z43" s="23"/>
    </row>
    <row r="44" spans="1:26" x14ac:dyDescent="0.25">
      <c r="A44" s="51" t="s">
        <v>62</v>
      </c>
      <c r="B44" s="53"/>
      <c r="C44" s="53"/>
      <c r="D44" s="53"/>
      <c r="E44" s="53"/>
      <c r="F44" s="53"/>
      <c r="G44" s="51"/>
      <c r="H44" s="51">
        <f>E49</f>
        <v>6.0999999999999999E-2</v>
      </c>
      <c r="I44" s="51"/>
      <c r="J44" s="51" t="s">
        <v>49</v>
      </c>
      <c r="K44" s="51"/>
      <c r="L44" s="51"/>
      <c r="M44" s="51"/>
      <c r="O44" s="23"/>
      <c r="P44" s="23"/>
      <c r="Q44" s="23"/>
      <c r="R44" s="23"/>
      <c r="S44" s="23"/>
      <c r="T44" s="23"/>
      <c r="U44" s="23"/>
      <c r="V44" s="23"/>
      <c r="W44" s="23"/>
      <c r="X44" s="23"/>
      <c r="Y44" s="23"/>
      <c r="Z44" s="23"/>
    </row>
    <row r="45" spans="1:26" x14ac:dyDescent="0.25">
      <c r="A45" s="51" t="s">
        <v>63</v>
      </c>
      <c r="B45" s="53"/>
      <c r="C45" s="53">
        <v>2.8E-3</v>
      </c>
      <c r="D45" s="53"/>
      <c r="E45" s="53">
        <v>3.8E-3</v>
      </c>
      <c r="F45" s="53"/>
      <c r="G45" s="51"/>
      <c r="H45" s="51" t="s">
        <v>47</v>
      </c>
      <c r="I45" s="51"/>
      <c r="J45" s="51"/>
      <c r="K45" s="51"/>
      <c r="L45" s="51"/>
      <c r="M45" s="51"/>
      <c r="O45" s="22" t="s">
        <v>253</v>
      </c>
      <c r="P45" s="23"/>
      <c r="Q45" s="23"/>
      <c r="R45" s="23"/>
      <c r="S45" s="23"/>
      <c r="T45" s="23"/>
      <c r="U45" s="23"/>
      <c r="V45" s="23"/>
      <c r="W45" s="23"/>
      <c r="X45" s="23"/>
      <c r="Y45" s="23"/>
      <c r="Z45" s="23"/>
    </row>
    <row r="46" spans="1:26" x14ac:dyDescent="0.25">
      <c r="A46" s="51" t="s">
        <v>64</v>
      </c>
      <c r="B46" s="53"/>
      <c r="C46" s="53">
        <v>7.6200000000000004E-2</v>
      </c>
      <c r="D46" s="53"/>
      <c r="E46" s="53">
        <v>7.8799999999999995E-2</v>
      </c>
      <c r="F46" s="53"/>
      <c r="G46" s="51"/>
      <c r="H46" s="51">
        <f>(E18/E50)^0.2*(H28/E51)^1.8*(E48/E17)*(E52/B36)^1.2*(1/1)</f>
        <v>0.28603765853310398</v>
      </c>
      <c r="I46" s="51"/>
      <c r="J46" s="51"/>
      <c r="K46" s="51"/>
      <c r="L46" s="51"/>
      <c r="M46" s="51"/>
      <c r="O46" s="22"/>
      <c r="P46" s="23"/>
      <c r="Q46" s="23"/>
      <c r="R46" s="23"/>
      <c r="S46" s="23"/>
      <c r="T46" s="23"/>
      <c r="U46" s="23"/>
      <c r="V46" s="23"/>
      <c r="W46" s="23"/>
      <c r="X46" s="23"/>
      <c r="Y46" s="23"/>
      <c r="Z46" s="23"/>
    </row>
    <row r="47" spans="1:26" ht="16.5" x14ac:dyDescent="0.3">
      <c r="A47" s="51" t="s">
        <v>65</v>
      </c>
      <c r="B47" s="53"/>
      <c r="C47" s="53">
        <v>0.55700000000000005</v>
      </c>
      <c r="D47" s="53"/>
      <c r="E47" s="53">
        <v>0.5</v>
      </c>
      <c r="F47" s="53"/>
      <c r="G47" s="51"/>
      <c r="H47" s="51" t="s">
        <v>203</v>
      </c>
      <c r="I47" s="51"/>
      <c r="J47" s="51"/>
      <c r="K47" s="51"/>
      <c r="L47" s="51"/>
      <c r="M47" s="51"/>
      <c r="O47" s="23" t="s">
        <v>254</v>
      </c>
      <c r="P47" s="24" t="s">
        <v>196</v>
      </c>
      <c r="Q47" s="24" t="s">
        <v>242</v>
      </c>
      <c r="R47" s="24">
        <f>R10*R11*(R12-R13)</f>
        <v>25010661.002</v>
      </c>
      <c r="S47" s="23" t="s">
        <v>256</v>
      </c>
      <c r="T47" s="23"/>
      <c r="U47" s="31" t="s">
        <v>594</v>
      </c>
      <c r="V47" s="23"/>
      <c r="W47" s="23"/>
      <c r="X47" s="23"/>
      <c r="Y47" s="23"/>
      <c r="Z47" s="23"/>
    </row>
    <row r="48" spans="1:26" ht="16.5" x14ac:dyDescent="0.25">
      <c r="A48" s="58" t="s">
        <v>66</v>
      </c>
      <c r="B48" s="53"/>
      <c r="C48" s="53">
        <v>46.8</v>
      </c>
      <c r="D48" s="53"/>
      <c r="E48" s="53">
        <v>46.9</v>
      </c>
      <c r="F48" s="53"/>
      <c r="G48" s="51"/>
      <c r="H48" s="51">
        <f>H46*H44</f>
        <v>1.7448297170519343E-2</v>
      </c>
      <c r="I48" s="51"/>
      <c r="J48" s="51" t="s">
        <v>49</v>
      </c>
      <c r="K48" s="51"/>
      <c r="L48" s="51"/>
      <c r="M48" s="51"/>
      <c r="O48" s="23" t="s">
        <v>255</v>
      </c>
      <c r="P48" s="24" t="s">
        <v>197</v>
      </c>
      <c r="Q48" s="24" t="s">
        <v>242</v>
      </c>
      <c r="R48" s="24">
        <f>R21*R22*(R24-R23)</f>
        <v>24993024</v>
      </c>
      <c r="S48" s="23" t="s">
        <v>256</v>
      </c>
      <c r="T48" s="23"/>
      <c r="U48" s="31" t="s">
        <v>594</v>
      </c>
      <c r="V48" s="23"/>
      <c r="W48" s="23"/>
      <c r="X48" s="23"/>
      <c r="Y48" s="23"/>
      <c r="Z48" s="23"/>
    </row>
    <row r="49" spans="1:43" ht="16.5" x14ac:dyDescent="0.25">
      <c r="A49" s="58" t="s">
        <v>68</v>
      </c>
      <c r="B49" s="53"/>
      <c r="C49" s="53">
        <v>0.25</v>
      </c>
      <c r="D49" s="53"/>
      <c r="E49" s="53">
        <v>6.0999999999999999E-2</v>
      </c>
      <c r="F49" s="53"/>
      <c r="G49" s="51"/>
      <c r="H49" s="51" t="s">
        <v>48</v>
      </c>
      <c r="I49" s="51"/>
      <c r="J49" s="51"/>
      <c r="K49" s="51"/>
      <c r="L49" s="51"/>
      <c r="M49" s="51"/>
      <c r="O49" s="23" t="s">
        <v>253</v>
      </c>
      <c r="P49" s="24" t="s">
        <v>257</v>
      </c>
      <c r="Q49" s="24" t="s">
        <v>242</v>
      </c>
      <c r="R49" s="32">
        <f>R47/R48</f>
        <v>1.0007056769921079</v>
      </c>
      <c r="S49" s="23"/>
      <c r="T49" s="23"/>
      <c r="U49" s="23"/>
      <c r="V49" s="23"/>
      <c r="W49" s="23"/>
      <c r="X49" s="23"/>
      <c r="Y49" s="23"/>
      <c r="Z49" s="23"/>
    </row>
    <row r="50" spans="1:43" x14ac:dyDescent="0.25">
      <c r="A50" s="58" t="s">
        <v>67</v>
      </c>
      <c r="B50" s="53"/>
      <c r="C50" s="53">
        <v>0.54900000000000004</v>
      </c>
      <c r="D50" s="53"/>
      <c r="E50" s="53">
        <v>0.72599999999999998</v>
      </c>
      <c r="F50" s="53"/>
      <c r="G50" s="51"/>
      <c r="H50" s="59">
        <f>B39*H48</f>
        <v>0.52344891511558034</v>
      </c>
      <c r="I50" s="51"/>
      <c r="J50" s="51" t="s">
        <v>71</v>
      </c>
      <c r="K50" s="51" t="s">
        <v>173</v>
      </c>
      <c r="L50" s="51"/>
      <c r="M50" s="51"/>
      <c r="O50" s="23"/>
      <c r="P50" s="23"/>
      <c r="Q50" s="23"/>
      <c r="R50" s="23"/>
      <c r="S50" s="23"/>
      <c r="T50" s="23"/>
      <c r="U50" s="23"/>
      <c r="V50" s="23"/>
      <c r="W50" s="23"/>
      <c r="X50" s="23"/>
      <c r="Y50" s="23"/>
      <c r="Z50" s="23"/>
    </row>
    <row r="51" spans="1:43" ht="16.5" x14ac:dyDescent="0.3">
      <c r="A51" s="58" t="s">
        <v>204</v>
      </c>
      <c r="B51" s="53"/>
      <c r="C51" s="53">
        <v>132.4</v>
      </c>
      <c r="D51" s="53"/>
      <c r="E51" s="53">
        <v>185</v>
      </c>
      <c r="F51" s="53"/>
      <c r="G51" s="51"/>
      <c r="H51" s="51"/>
      <c r="I51" s="51"/>
      <c r="J51" s="51"/>
      <c r="K51" s="51"/>
      <c r="L51" s="51"/>
      <c r="M51" s="51"/>
      <c r="O51" s="22" t="s">
        <v>26</v>
      </c>
      <c r="P51" s="23"/>
      <c r="Q51" s="23"/>
      <c r="R51" s="23"/>
      <c r="S51" s="23"/>
      <c r="T51" s="23"/>
      <c r="U51" s="23"/>
      <c r="V51" s="23"/>
      <c r="W51" s="23"/>
      <c r="X51" s="23"/>
      <c r="Y51" s="23"/>
      <c r="Z51" s="23"/>
    </row>
    <row r="52" spans="1:43" ht="17.25" x14ac:dyDescent="0.25">
      <c r="A52" s="60" t="s">
        <v>205</v>
      </c>
      <c r="B52" s="57"/>
      <c r="C52" s="57">
        <v>0.625</v>
      </c>
      <c r="D52" s="57"/>
      <c r="E52" s="57">
        <v>0.495</v>
      </c>
      <c r="F52" s="53"/>
      <c r="G52" s="51"/>
      <c r="H52" s="143" t="s">
        <v>159</v>
      </c>
      <c r="I52" s="143"/>
      <c r="J52" s="143"/>
      <c r="K52" s="143"/>
      <c r="L52" s="143"/>
      <c r="M52" s="51"/>
      <c r="O52" s="22"/>
      <c r="P52" s="23"/>
      <c r="Q52" s="23"/>
      <c r="R52" s="23"/>
      <c r="S52" s="23"/>
      <c r="T52" s="23"/>
      <c r="U52" s="23"/>
      <c r="V52" s="23"/>
      <c r="W52" s="23"/>
      <c r="X52" s="23"/>
      <c r="Y52" s="23"/>
      <c r="Z52" s="23"/>
    </row>
    <row r="53" spans="1:43" x14ac:dyDescent="0.25">
      <c r="A53" s="51"/>
      <c r="B53" s="53"/>
      <c r="C53" s="53"/>
      <c r="D53" s="53"/>
      <c r="E53" s="53"/>
      <c r="F53" s="53"/>
      <c r="G53" s="51"/>
      <c r="H53" s="51" t="s">
        <v>72</v>
      </c>
      <c r="I53" s="51"/>
      <c r="J53" s="51"/>
      <c r="K53" s="51"/>
      <c r="L53" s="51"/>
      <c r="M53" s="51"/>
      <c r="O53" s="23" t="s">
        <v>258</v>
      </c>
      <c r="P53" s="24" t="s">
        <v>26</v>
      </c>
      <c r="Q53" s="24" t="s">
        <v>242</v>
      </c>
      <c r="R53" s="32">
        <f>((R12-R24)-(R13-R23))/LN((R12-R24)/(R13-R23))</f>
        <v>54.855548241683714</v>
      </c>
      <c r="S53" s="23" t="s">
        <v>252</v>
      </c>
      <c r="T53" s="23"/>
      <c r="U53" s="23"/>
      <c r="V53" s="23"/>
      <c r="W53" s="23"/>
      <c r="X53" s="23"/>
      <c r="Y53" s="23"/>
      <c r="Z53" s="23"/>
    </row>
    <row r="54" spans="1:43" x14ac:dyDescent="0.25">
      <c r="A54" s="50" t="s">
        <v>69</v>
      </c>
      <c r="B54" s="53"/>
      <c r="C54" s="53"/>
      <c r="D54" s="53"/>
      <c r="E54" s="53"/>
      <c r="F54" s="53"/>
      <c r="G54" s="51"/>
      <c r="H54" s="51">
        <f>C10/3600/(C55/144)</f>
        <v>121.35790816326529</v>
      </c>
      <c r="I54" s="51"/>
      <c r="J54" s="51" t="s">
        <v>50</v>
      </c>
      <c r="K54" s="51"/>
      <c r="L54" s="51"/>
      <c r="M54" s="51"/>
      <c r="O54" s="23"/>
      <c r="P54" s="23"/>
      <c r="Q54" s="23"/>
      <c r="R54" s="23"/>
      <c r="S54" s="23"/>
      <c r="T54" s="23"/>
      <c r="U54" s="23"/>
      <c r="V54" s="23"/>
      <c r="W54" s="23"/>
      <c r="X54" s="23"/>
      <c r="Y54" s="23"/>
      <c r="Z54" s="23"/>
    </row>
    <row r="55" spans="1:43" x14ac:dyDescent="0.25">
      <c r="A55" s="51" t="s">
        <v>70</v>
      </c>
      <c r="B55" s="53"/>
      <c r="C55" s="53">
        <v>156.80000000000001</v>
      </c>
      <c r="D55" s="53"/>
      <c r="E55" s="53"/>
      <c r="F55" s="53"/>
      <c r="G55" s="51"/>
      <c r="H55" s="51"/>
      <c r="I55" s="51"/>
      <c r="J55" s="51"/>
      <c r="K55" s="51"/>
      <c r="L55" s="51"/>
      <c r="M55" s="51"/>
      <c r="O55" s="22" t="s">
        <v>259</v>
      </c>
      <c r="P55" s="23"/>
      <c r="Q55" s="23"/>
      <c r="R55" s="23"/>
      <c r="S55" s="23"/>
      <c r="T55" s="23"/>
      <c r="U55" s="23"/>
      <c r="V55" s="23"/>
      <c r="W55" s="23"/>
      <c r="X55" s="23"/>
      <c r="Y55" s="23"/>
      <c r="Z55" s="23"/>
    </row>
    <row r="56" spans="1:43" s="34" customFormat="1" x14ac:dyDescent="0.25">
      <c r="A56" s="140" t="s">
        <v>175</v>
      </c>
      <c r="B56" s="57"/>
      <c r="C56" s="57"/>
      <c r="D56" s="57"/>
      <c r="E56" s="57"/>
      <c r="F56" s="57"/>
      <c r="G56" s="56"/>
      <c r="H56" s="140" t="s">
        <v>51</v>
      </c>
      <c r="I56" s="140"/>
      <c r="J56" s="140"/>
      <c r="K56" s="140"/>
      <c r="L56" s="140"/>
      <c r="M56" s="140"/>
      <c r="N56" s="33"/>
      <c r="O56" s="22"/>
      <c r="P56" s="23"/>
      <c r="Q56" s="23"/>
      <c r="R56" s="23"/>
      <c r="S56" s="23"/>
      <c r="T56" s="23"/>
      <c r="U56" s="23"/>
      <c r="V56" s="23"/>
      <c r="W56" s="23"/>
      <c r="X56" s="23"/>
      <c r="Y56" s="23"/>
      <c r="Z56" s="23"/>
      <c r="AA56" s="33"/>
      <c r="AB56" s="20"/>
      <c r="AC56" s="20"/>
      <c r="AD56" s="20"/>
      <c r="AE56" s="20"/>
      <c r="AF56" s="20"/>
      <c r="AG56" s="20"/>
      <c r="AH56" s="20"/>
      <c r="AI56" s="20"/>
      <c r="AJ56" s="20"/>
      <c r="AK56" s="20"/>
      <c r="AL56" s="20"/>
      <c r="AM56" s="20"/>
      <c r="AN56" s="20"/>
      <c r="AO56" s="20"/>
      <c r="AP56" s="20"/>
      <c r="AQ56" s="20"/>
    </row>
    <row r="57" spans="1:43" x14ac:dyDescent="0.25">
      <c r="A57" s="140"/>
      <c r="B57" s="53"/>
      <c r="C57" s="53"/>
      <c r="D57" s="53"/>
      <c r="E57" s="53"/>
      <c r="F57" s="53"/>
      <c r="G57" s="51"/>
      <c r="H57" s="51">
        <f>(C18/C50)^0.27*(C46/C23)^0.67*(C47/C22)^0.33*(C51/H54)^0.6*(B34/C52)^0.4</f>
        <v>0.99782116059321946</v>
      </c>
      <c r="I57" s="51"/>
      <c r="J57" s="51"/>
      <c r="K57" s="51"/>
      <c r="L57" s="51"/>
      <c r="M57" s="51"/>
      <c r="O57" s="23"/>
      <c r="P57" s="24" t="s">
        <v>27</v>
      </c>
      <c r="Q57" s="24" t="s">
        <v>242</v>
      </c>
      <c r="R57" s="32">
        <f>R48/(R9*R53)</f>
        <v>100.68845172524239</v>
      </c>
      <c r="S57" s="27" t="s">
        <v>260</v>
      </c>
      <c r="T57" s="23"/>
      <c r="U57" s="31" t="s">
        <v>593</v>
      </c>
      <c r="V57" s="23"/>
      <c r="W57" s="23"/>
      <c r="X57" s="23"/>
      <c r="Y57" s="23"/>
      <c r="Z57" s="23"/>
      <c r="AB57" s="34"/>
      <c r="AC57" s="34"/>
      <c r="AP57" s="34"/>
      <c r="AQ57" s="34"/>
    </row>
    <row r="58" spans="1:43" x14ac:dyDescent="0.25">
      <c r="A58" s="140"/>
      <c r="B58" s="53"/>
      <c r="C58" s="53"/>
      <c r="D58" s="53"/>
      <c r="E58" s="53"/>
      <c r="F58" s="53"/>
      <c r="G58" s="51"/>
      <c r="H58" s="51"/>
      <c r="I58" s="51"/>
      <c r="J58" s="51"/>
      <c r="K58" s="51"/>
      <c r="L58" s="51"/>
      <c r="M58" s="51"/>
      <c r="O58" s="23"/>
      <c r="P58" s="23"/>
      <c r="Q58" s="23"/>
      <c r="R58" s="23"/>
      <c r="S58" s="23"/>
      <c r="T58" s="23"/>
      <c r="U58" s="23"/>
      <c r="V58" s="23"/>
      <c r="W58" s="23"/>
      <c r="X58" s="23"/>
      <c r="Y58" s="23"/>
      <c r="Z58" s="23"/>
      <c r="AD58" s="34"/>
      <c r="AE58" s="34"/>
      <c r="AF58" s="34"/>
      <c r="AG58" s="34"/>
      <c r="AH58" s="34"/>
      <c r="AI58" s="34"/>
      <c r="AJ58" s="34"/>
      <c r="AK58" s="34"/>
      <c r="AL58" s="34"/>
      <c r="AM58" s="34"/>
      <c r="AN58" s="34"/>
      <c r="AO58" s="34"/>
    </row>
    <row r="59" spans="1:43" ht="16.5" x14ac:dyDescent="0.3">
      <c r="A59" s="140"/>
      <c r="B59" s="53"/>
      <c r="C59" s="53"/>
      <c r="D59" s="53"/>
      <c r="E59" s="53"/>
      <c r="F59" s="53"/>
      <c r="G59" s="51"/>
      <c r="H59" s="51" t="s">
        <v>206</v>
      </c>
      <c r="I59" s="51"/>
      <c r="J59" s="51"/>
      <c r="K59" s="51"/>
      <c r="L59" s="51"/>
      <c r="M59" s="51"/>
      <c r="O59" s="21" t="s">
        <v>264</v>
      </c>
      <c r="P59" s="23"/>
      <c r="Q59" s="23"/>
      <c r="R59" s="23"/>
      <c r="S59" s="23"/>
      <c r="T59" s="23"/>
      <c r="U59" s="23"/>
      <c r="V59" s="23"/>
      <c r="W59" s="23"/>
      <c r="X59" s="23"/>
      <c r="Y59" s="23"/>
      <c r="Z59" s="23"/>
    </row>
    <row r="60" spans="1:43" x14ac:dyDescent="0.25">
      <c r="A60" s="140"/>
      <c r="B60" s="53"/>
      <c r="C60" s="53"/>
      <c r="D60" s="53"/>
      <c r="E60" s="53"/>
      <c r="F60" s="53"/>
      <c r="G60" s="51"/>
      <c r="H60" s="51">
        <f>C45*H57</f>
        <v>2.7938992496610144E-3</v>
      </c>
      <c r="I60" s="51"/>
      <c r="J60" s="51" t="s">
        <v>45</v>
      </c>
      <c r="K60" s="51"/>
      <c r="L60" s="51"/>
      <c r="M60" s="51"/>
      <c r="O60" s="21"/>
      <c r="P60" s="23"/>
      <c r="Q60" s="23"/>
      <c r="R60" s="23"/>
      <c r="S60" s="23"/>
      <c r="T60" s="23"/>
      <c r="U60" s="23"/>
      <c r="V60" s="23"/>
      <c r="W60" s="23"/>
      <c r="X60" s="23"/>
      <c r="Y60" s="23"/>
      <c r="Z60" s="23"/>
    </row>
    <row r="61" spans="1:43" ht="18" x14ac:dyDescent="0.25">
      <c r="A61" s="140"/>
      <c r="B61" s="53"/>
      <c r="C61" s="53"/>
      <c r="D61" s="53"/>
      <c r="E61" s="53"/>
      <c r="F61" s="53"/>
      <c r="G61" s="51"/>
      <c r="H61" s="51"/>
      <c r="I61" s="51"/>
      <c r="J61" s="51"/>
      <c r="K61" s="51"/>
      <c r="L61" s="51"/>
      <c r="M61" s="51"/>
      <c r="O61" s="23" t="s">
        <v>265</v>
      </c>
      <c r="P61" s="24" t="s">
        <v>268</v>
      </c>
      <c r="Q61" s="24" t="s">
        <v>242</v>
      </c>
      <c r="R61" s="35">
        <f>R32*PI()*(R35/2)^2</f>
        <v>236.69513034382362</v>
      </c>
      <c r="S61" s="23" t="s">
        <v>273</v>
      </c>
      <c r="T61" s="23"/>
      <c r="U61" s="23"/>
      <c r="V61" s="23"/>
      <c r="W61" s="23"/>
      <c r="X61" s="23"/>
      <c r="Y61" s="23"/>
      <c r="Z61" s="23"/>
    </row>
    <row r="62" spans="1:43" ht="18" x14ac:dyDescent="0.25">
      <c r="A62" s="51"/>
      <c r="B62" s="53"/>
      <c r="C62" s="53"/>
      <c r="D62" s="53"/>
      <c r="E62" s="53"/>
      <c r="F62" s="53"/>
      <c r="G62" s="51"/>
      <c r="H62" s="51" t="s">
        <v>52</v>
      </c>
      <c r="I62" s="51"/>
      <c r="J62" s="51"/>
      <c r="K62" s="51"/>
      <c r="L62" s="51"/>
      <c r="M62" s="51"/>
      <c r="O62" s="23" t="s">
        <v>265</v>
      </c>
      <c r="P62" s="24" t="s">
        <v>268</v>
      </c>
      <c r="Q62" s="24" t="s">
        <v>242</v>
      </c>
      <c r="R62" s="36">
        <f>R61/144</f>
        <v>1.6437161829432196</v>
      </c>
      <c r="S62" s="23" t="s">
        <v>274</v>
      </c>
      <c r="T62" s="23"/>
      <c r="U62" s="23"/>
      <c r="V62" s="23"/>
      <c r="W62" s="23"/>
      <c r="X62" s="23"/>
      <c r="Y62" s="23"/>
      <c r="Z62" s="23"/>
    </row>
    <row r="63" spans="1:43" ht="18" x14ac:dyDescent="0.25">
      <c r="A63" s="51"/>
      <c r="B63" s="53"/>
      <c r="C63" s="53"/>
      <c r="D63" s="53"/>
      <c r="E63" s="53"/>
      <c r="F63" s="53"/>
      <c r="G63" s="51"/>
      <c r="H63" s="51">
        <f>(C18/C50)^0.15*(H54/C51)^1.85*(C48/C17)*(C52/B34)^0.15*(19/1)*(23/10)</f>
        <v>38.26238630729592</v>
      </c>
      <c r="I63" s="51"/>
      <c r="J63" s="51"/>
      <c r="K63" s="51"/>
      <c r="L63" s="51"/>
      <c r="M63" s="51"/>
      <c r="O63" s="23" t="s">
        <v>278</v>
      </c>
      <c r="P63" s="24" t="s">
        <v>277</v>
      </c>
      <c r="Q63" s="24" t="s">
        <v>242</v>
      </c>
      <c r="R63" s="36">
        <f>R21/(3600*R62)</f>
        <v>109.99127849475568</v>
      </c>
      <c r="S63" s="23" t="s">
        <v>279</v>
      </c>
      <c r="T63" s="23"/>
      <c r="U63" s="23"/>
      <c r="V63" s="23"/>
      <c r="W63" s="23"/>
      <c r="X63" s="23"/>
      <c r="Y63" s="23"/>
      <c r="Z63" s="23"/>
    </row>
    <row r="64" spans="1:43" x14ac:dyDescent="0.25">
      <c r="A64" s="51"/>
      <c r="B64" s="53"/>
      <c r="C64" s="53"/>
      <c r="D64" s="53"/>
      <c r="E64" s="53"/>
      <c r="F64" s="53"/>
      <c r="G64" s="51"/>
      <c r="H64" s="51"/>
      <c r="I64" s="51"/>
      <c r="J64" s="51"/>
      <c r="K64" s="51"/>
      <c r="L64" s="51"/>
      <c r="M64" s="51"/>
      <c r="O64" s="23" t="s">
        <v>281</v>
      </c>
      <c r="P64" s="24" t="s">
        <v>280</v>
      </c>
      <c r="Q64" s="24" t="s">
        <v>242</v>
      </c>
      <c r="R64" s="35">
        <f>123.9*R35*R63/R26</f>
        <v>40234.809673381627</v>
      </c>
      <c r="S64" s="23"/>
      <c r="T64" s="23"/>
      <c r="U64" s="23"/>
      <c r="V64" s="23"/>
      <c r="W64" s="23"/>
      <c r="X64" s="23"/>
      <c r="Y64" s="23"/>
      <c r="Z64" s="23"/>
    </row>
    <row r="65" spans="1:26" ht="16.5" x14ac:dyDescent="0.3">
      <c r="A65" s="51"/>
      <c r="B65" s="53"/>
      <c r="C65" s="53"/>
      <c r="D65" s="53"/>
      <c r="E65" s="53"/>
      <c r="F65" s="53"/>
      <c r="G65" s="51"/>
      <c r="H65" s="51" t="s">
        <v>207</v>
      </c>
      <c r="I65" s="51"/>
      <c r="J65" s="51"/>
      <c r="K65" s="51"/>
      <c r="L65" s="51"/>
      <c r="M65" s="51"/>
      <c r="O65" s="23"/>
      <c r="P65" s="24" t="s">
        <v>300</v>
      </c>
      <c r="Q65" s="24" t="s">
        <v>242</v>
      </c>
      <c r="R65" s="23" t="str">
        <f>IF(R64&gt;2000, "TURBULENT", "Streamline")</f>
        <v>TURBULENT</v>
      </c>
      <c r="S65" s="23"/>
      <c r="T65" s="23"/>
      <c r="U65" s="23"/>
      <c r="V65" s="23"/>
      <c r="W65" s="23"/>
      <c r="X65" s="23"/>
      <c r="Y65" s="23"/>
      <c r="Z65" s="23"/>
    </row>
    <row r="66" spans="1:26" x14ac:dyDescent="0.25">
      <c r="A66" s="51"/>
      <c r="B66" s="53"/>
      <c r="C66" s="53"/>
      <c r="D66" s="53"/>
      <c r="E66" s="53"/>
      <c r="F66" s="53"/>
      <c r="G66" s="51"/>
      <c r="H66" s="59">
        <f>0.25*H63</f>
        <v>9.5655965768239799</v>
      </c>
      <c r="I66" s="51"/>
      <c r="J66" s="51" t="s">
        <v>53</v>
      </c>
      <c r="K66" s="51" t="s">
        <v>73</v>
      </c>
      <c r="L66" s="51"/>
      <c r="M66" s="51"/>
      <c r="O66" s="23"/>
      <c r="P66" s="24"/>
      <c r="Q66" s="24"/>
      <c r="R66" s="23"/>
      <c r="S66" s="23"/>
      <c r="T66" s="23"/>
      <c r="U66" s="23"/>
      <c r="V66" s="23"/>
      <c r="W66" s="23"/>
      <c r="X66" s="23"/>
      <c r="Y66" s="23"/>
      <c r="Z66" s="23"/>
    </row>
    <row r="67" spans="1:26" x14ac:dyDescent="0.25">
      <c r="A67" s="51"/>
      <c r="B67" s="53"/>
      <c r="C67" s="53"/>
      <c r="D67" s="53"/>
      <c r="E67" s="53"/>
      <c r="F67" s="53"/>
      <c r="G67" s="51"/>
      <c r="H67" s="51"/>
      <c r="I67" s="51"/>
      <c r="J67" s="51"/>
      <c r="K67" s="51"/>
      <c r="L67" s="51"/>
      <c r="M67" s="51"/>
      <c r="O67" s="23" t="s">
        <v>325</v>
      </c>
      <c r="P67" s="24"/>
      <c r="Q67" s="24"/>
      <c r="R67" s="23"/>
      <c r="S67" s="23"/>
      <c r="T67" s="23"/>
      <c r="U67" s="23"/>
      <c r="V67" s="23"/>
      <c r="W67" s="23"/>
      <c r="X67" s="23"/>
      <c r="Y67" s="23"/>
      <c r="Z67" s="23"/>
    </row>
    <row r="68" spans="1:26" x14ac:dyDescent="0.25">
      <c r="A68" s="51"/>
      <c r="B68" s="53"/>
      <c r="C68" s="53"/>
      <c r="D68" s="53"/>
      <c r="E68" s="53"/>
      <c r="F68" s="53"/>
      <c r="G68" s="51"/>
      <c r="H68" s="50" t="s">
        <v>160</v>
      </c>
      <c r="I68" s="50"/>
      <c r="J68" s="51"/>
      <c r="K68" s="51"/>
      <c r="L68" s="51"/>
      <c r="M68" s="51"/>
      <c r="O68" s="23"/>
      <c r="P68" s="24" t="s">
        <v>63</v>
      </c>
      <c r="Q68" s="24" t="s">
        <v>242</v>
      </c>
      <c r="R68" s="23">
        <f>IF(R65="TURBULENT",VLOOKUP(R30,AE23:AO25,3,FALSE),VLOOKUP(R30,AE26:AO26,3,FALSE))</f>
        <v>3.8E-3</v>
      </c>
      <c r="S68" s="23"/>
      <c r="T68" s="23"/>
      <c r="U68" s="31" t="s">
        <v>592</v>
      </c>
      <c r="V68" s="23"/>
      <c r="W68" s="23"/>
      <c r="X68" s="23"/>
      <c r="Y68" s="23"/>
      <c r="Z68" s="23"/>
    </row>
    <row r="69" spans="1:26" ht="16.5" x14ac:dyDescent="0.3">
      <c r="A69" s="51"/>
      <c r="B69" s="53"/>
      <c r="C69" s="53"/>
      <c r="D69" s="53"/>
      <c r="E69" s="53"/>
      <c r="F69" s="53"/>
      <c r="G69" s="51"/>
      <c r="H69" s="51" t="s">
        <v>208</v>
      </c>
      <c r="I69" s="51"/>
      <c r="J69" s="51"/>
      <c r="K69" s="51"/>
      <c r="L69" s="51"/>
      <c r="M69" s="51"/>
      <c r="O69" s="23"/>
      <c r="P69" s="24" t="s">
        <v>64</v>
      </c>
      <c r="Q69" s="24" t="s">
        <v>242</v>
      </c>
      <c r="R69" s="23">
        <f>IF(R65="TURBULENT",VLOOKUP(R30,AE23:AO25,4,FALSE),VLOOKUP(R30,AE26:AO26,4,FALSE))</f>
        <v>7.8799999999999995E-2</v>
      </c>
      <c r="S69" s="23"/>
      <c r="T69" s="23"/>
      <c r="U69" s="31" t="s">
        <v>592</v>
      </c>
      <c r="V69" s="23"/>
      <c r="W69" s="23"/>
      <c r="X69" s="23"/>
      <c r="Y69" s="23"/>
      <c r="Z69" s="23"/>
    </row>
    <row r="70" spans="1:26" x14ac:dyDescent="0.25">
      <c r="A70" s="51"/>
      <c r="B70" s="53"/>
      <c r="C70" s="53"/>
      <c r="D70" s="53"/>
      <c r="E70" s="53"/>
      <c r="F70" s="53"/>
      <c r="G70" s="51"/>
      <c r="H70" s="61">
        <f>B34/24/30*LN(B34/B36)</f>
        <v>1.9828513384501971E-4</v>
      </c>
      <c r="I70" s="61"/>
      <c r="J70" s="51" t="s">
        <v>45</v>
      </c>
      <c r="K70" s="51"/>
      <c r="L70" s="51"/>
      <c r="M70" s="51"/>
      <c r="O70" s="23"/>
      <c r="P70" s="24" t="s">
        <v>65</v>
      </c>
      <c r="Q70" s="24" t="s">
        <v>242</v>
      </c>
      <c r="R70" s="23">
        <f>IF(R65="TURBULENT",VLOOKUP(R30,AE23:AO25,5,FALSE),VLOOKUP(R30,AE26:AO26,5,FALSE))</f>
        <v>0.5</v>
      </c>
      <c r="S70" s="23"/>
      <c r="T70" s="23"/>
      <c r="U70" s="31" t="s">
        <v>592</v>
      </c>
      <c r="V70" s="23"/>
      <c r="W70" s="23"/>
      <c r="X70" s="23"/>
      <c r="Y70" s="23"/>
      <c r="Z70" s="23"/>
    </row>
    <row r="71" spans="1:26" x14ac:dyDescent="0.25">
      <c r="A71" s="51"/>
      <c r="B71" s="53"/>
      <c r="C71" s="53"/>
      <c r="D71" s="53"/>
      <c r="E71" s="53"/>
      <c r="F71" s="53"/>
      <c r="G71" s="51"/>
      <c r="H71" s="51"/>
      <c r="I71" s="51"/>
      <c r="J71" s="51"/>
      <c r="K71" s="51"/>
      <c r="L71" s="51"/>
      <c r="M71" s="51"/>
      <c r="O71" s="23"/>
      <c r="P71" s="26" t="s">
        <v>66</v>
      </c>
      <c r="Q71" s="24" t="s">
        <v>242</v>
      </c>
      <c r="R71" s="23">
        <f>IF(R65="TURBULENT",VLOOKUP(R30,AE23:AO25,6,FALSE),VLOOKUP(R30,AE26:AO26,6,FALSE))</f>
        <v>46.9</v>
      </c>
      <c r="S71" s="23"/>
      <c r="T71" s="23"/>
      <c r="U71" s="31" t="s">
        <v>592</v>
      </c>
      <c r="V71" s="23"/>
      <c r="W71" s="23"/>
      <c r="X71" s="23"/>
      <c r="Y71" s="23"/>
      <c r="Z71" s="23"/>
    </row>
    <row r="72" spans="1:26" x14ac:dyDescent="0.25">
      <c r="A72" s="51"/>
      <c r="B72" s="53"/>
      <c r="C72" s="53"/>
      <c r="D72" s="53"/>
      <c r="E72" s="53"/>
      <c r="F72" s="53"/>
      <c r="G72" s="51"/>
      <c r="H72" s="143" t="s">
        <v>161</v>
      </c>
      <c r="I72" s="143"/>
      <c r="J72" s="143"/>
      <c r="K72" s="143"/>
      <c r="L72" s="143"/>
      <c r="M72" s="143"/>
      <c r="O72" s="23"/>
      <c r="P72" s="24" t="s">
        <v>324</v>
      </c>
      <c r="Q72" s="24" t="s">
        <v>242</v>
      </c>
      <c r="R72" s="23">
        <f>IF(R65="TURBULENT",VLOOKUP(R30,AE23:AO25,7,FALSE),VLOOKUP(R30,AE26:AO26,7,FALSE))</f>
        <v>6.0999999999999999E-2</v>
      </c>
      <c r="S72" s="23"/>
      <c r="T72" s="23"/>
      <c r="U72" s="31" t="s">
        <v>592</v>
      </c>
      <c r="V72" s="23"/>
      <c r="W72" s="23"/>
      <c r="X72" s="23"/>
      <c r="Y72" s="23"/>
      <c r="Z72" s="23"/>
    </row>
    <row r="73" spans="1:26" x14ac:dyDescent="0.25">
      <c r="A73" s="51"/>
      <c r="B73" s="53"/>
      <c r="C73" s="53"/>
      <c r="D73" s="53"/>
      <c r="E73" s="53"/>
      <c r="F73" s="53"/>
      <c r="G73" s="51"/>
      <c r="H73" s="51" t="s">
        <v>54</v>
      </c>
      <c r="I73" s="51"/>
      <c r="J73" s="51"/>
      <c r="K73" s="51"/>
      <c r="L73" s="51"/>
      <c r="M73" s="51"/>
      <c r="O73" s="23"/>
      <c r="P73" s="26" t="s">
        <v>67</v>
      </c>
      <c r="Q73" s="24" t="s">
        <v>242</v>
      </c>
      <c r="R73" s="23">
        <f>IF(R65="TURBULENT",VLOOKUP(R30,AE23:AO25,8,FALSE),VLOOKUP(R30,AE26:AO26,8,FALSE))</f>
        <v>0.72599999999999998</v>
      </c>
      <c r="S73" s="23"/>
      <c r="T73" s="23"/>
      <c r="U73" s="31" t="s">
        <v>592</v>
      </c>
      <c r="V73" s="23"/>
      <c r="W73" s="23"/>
      <c r="X73" s="23"/>
      <c r="Y73" s="23"/>
      <c r="Z73" s="23"/>
    </row>
    <row r="74" spans="1:26" ht="18" x14ac:dyDescent="0.25">
      <c r="A74" s="51"/>
      <c r="B74" s="51"/>
      <c r="C74" s="51"/>
      <c r="D74" s="51"/>
      <c r="E74" s="51"/>
      <c r="F74" s="51"/>
      <c r="G74" s="51"/>
      <c r="H74" s="51">
        <f>H40*((B34*3.14159*12/144)/(B36*3.14159*12/144))+H60+H70+C40+E40*((B34*3.14159*12/144)/(B36*3.14159*12/144))</f>
        <v>1.0059337381675925E-2</v>
      </c>
      <c r="I74" s="51"/>
      <c r="J74" s="51" t="s">
        <v>45</v>
      </c>
      <c r="K74" s="51"/>
      <c r="L74" s="51"/>
      <c r="M74" s="51"/>
      <c r="O74" s="23"/>
      <c r="P74" s="26" t="s">
        <v>326</v>
      </c>
      <c r="Q74" s="24" t="s">
        <v>242</v>
      </c>
      <c r="R74" s="23" t="str">
        <f>IF(R65="TURBULENT",VLOOKUP(R30,AE23:AO25,9,FALSE),VLOOKUP(R30,AE26:AO26,9,FALSE))</f>
        <v>N/A</v>
      </c>
      <c r="S74" s="23"/>
      <c r="T74" s="23"/>
      <c r="U74" s="31" t="s">
        <v>592</v>
      </c>
      <c r="V74" s="23"/>
      <c r="W74" s="23"/>
      <c r="X74" s="23"/>
      <c r="Y74" s="23"/>
      <c r="Z74" s="23"/>
    </row>
    <row r="75" spans="1:26" ht="16.5" x14ac:dyDescent="0.25">
      <c r="A75" s="51"/>
      <c r="B75" s="51"/>
      <c r="C75" s="51"/>
      <c r="D75" s="51"/>
      <c r="E75" s="51"/>
      <c r="F75" s="51"/>
      <c r="G75" s="51"/>
      <c r="H75" s="51" t="s">
        <v>56</v>
      </c>
      <c r="I75" s="51"/>
      <c r="J75" s="51"/>
      <c r="K75" s="61"/>
      <c r="L75" s="51"/>
      <c r="M75" s="51"/>
      <c r="O75" s="23"/>
      <c r="P75" s="24" t="s">
        <v>204</v>
      </c>
      <c r="Q75" s="24" t="s">
        <v>242</v>
      </c>
      <c r="R75" s="23">
        <f>IF(R65="TURBULENT",VLOOKUP(R30,AE23:AO25,10,FALSE),VLOOKUP(R30,AE26:AO26,10,FALSE))</f>
        <v>185</v>
      </c>
      <c r="S75" s="23"/>
      <c r="T75" s="23"/>
      <c r="U75" s="31" t="s">
        <v>592</v>
      </c>
      <c r="V75" s="23"/>
      <c r="W75" s="23"/>
      <c r="X75" s="23"/>
      <c r="Y75" s="23"/>
      <c r="Z75" s="23"/>
    </row>
    <row r="76" spans="1:26" ht="16.5" x14ac:dyDescent="0.25">
      <c r="A76" s="51"/>
      <c r="B76" s="51"/>
      <c r="C76" s="51"/>
      <c r="D76" s="51"/>
      <c r="E76" s="51"/>
      <c r="F76" s="51"/>
      <c r="G76" s="51"/>
      <c r="H76" s="55">
        <f>1/H74</f>
        <v>99.410126339096507</v>
      </c>
      <c r="I76" s="51"/>
      <c r="J76" s="51" t="s">
        <v>57</v>
      </c>
      <c r="K76" s="51"/>
      <c r="L76" s="51"/>
      <c r="M76" s="51"/>
      <c r="O76" s="23"/>
      <c r="P76" s="24" t="s">
        <v>205</v>
      </c>
      <c r="Q76" s="24" t="s">
        <v>242</v>
      </c>
      <c r="R76" s="23">
        <f>IF(R65="TURBULENT",VLOOKUP(R30,AE23:AO25,11,FALSE),VLOOKUP(R30,AE26:AO26,11,FALSE))</f>
        <v>0.495</v>
      </c>
      <c r="S76" s="23"/>
      <c r="T76" s="23"/>
      <c r="U76" s="31" t="s">
        <v>592</v>
      </c>
      <c r="V76" s="23"/>
      <c r="W76" s="23"/>
      <c r="X76" s="23"/>
      <c r="Y76" s="23"/>
      <c r="Z76" s="23"/>
    </row>
    <row r="77" spans="1:26" x14ac:dyDescent="0.25">
      <c r="A77" s="51"/>
      <c r="B77" s="51"/>
      <c r="C77" s="51"/>
      <c r="D77" s="51"/>
      <c r="E77" s="51"/>
      <c r="F77" s="51"/>
      <c r="G77" s="51"/>
      <c r="H77" s="51"/>
      <c r="I77" s="51"/>
      <c r="J77" s="51"/>
      <c r="K77" s="51"/>
      <c r="L77" s="51"/>
      <c r="M77" s="51"/>
      <c r="O77" s="23"/>
      <c r="P77" s="24" t="s">
        <v>346</v>
      </c>
      <c r="Q77" s="24" t="s">
        <v>242</v>
      </c>
      <c r="R77" s="23">
        <v>1</v>
      </c>
      <c r="S77" s="23"/>
      <c r="T77" s="23"/>
      <c r="U77" s="31" t="s">
        <v>592</v>
      </c>
      <c r="V77" s="23"/>
      <c r="W77" s="23"/>
      <c r="X77" s="23"/>
      <c r="Y77" s="23"/>
      <c r="Z77" s="23"/>
    </row>
    <row r="78" spans="1:26" x14ac:dyDescent="0.25">
      <c r="A78" s="51"/>
      <c r="B78" s="51"/>
      <c r="C78" s="51"/>
      <c r="D78" s="51"/>
      <c r="E78" s="51"/>
      <c r="F78" s="51"/>
      <c r="G78" s="51"/>
      <c r="H78" s="143" t="s">
        <v>162</v>
      </c>
      <c r="I78" s="143"/>
      <c r="J78" s="143"/>
      <c r="K78" s="143"/>
      <c r="L78" s="143"/>
      <c r="M78" s="143"/>
      <c r="O78" s="23"/>
      <c r="P78" s="24"/>
      <c r="Q78" s="24"/>
      <c r="R78" s="23"/>
      <c r="S78" s="23"/>
      <c r="T78" s="23"/>
      <c r="U78" s="31"/>
      <c r="V78" s="23"/>
      <c r="W78" s="23"/>
      <c r="X78" s="23"/>
      <c r="Y78" s="23"/>
      <c r="Z78" s="23"/>
    </row>
    <row r="79" spans="1:26" x14ac:dyDescent="0.25">
      <c r="A79" s="51"/>
      <c r="B79" s="51"/>
      <c r="C79" s="51"/>
      <c r="D79" s="51"/>
      <c r="E79" s="51"/>
      <c r="F79" s="51"/>
      <c r="G79" s="51"/>
      <c r="H79" s="143" t="s">
        <v>58</v>
      </c>
      <c r="I79" s="143"/>
      <c r="J79" s="143"/>
      <c r="K79" s="143"/>
      <c r="L79" s="143"/>
      <c r="M79" s="143"/>
      <c r="O79" s="23"/>
      <c r="P79" s="24" t="s">
        <v>332</v>
      </c>
      <c r="Q79" s="24" t="s">
        <v>242</v>
      </c>
      <c r="R79" s="37">
        <f>IF(R65="TURBULENT",AH19,AI19)</f>
        <v>0.8391706929714372</v>
      </c>
      <c r="S79" s="23"/>
      <c r="T79" s="23"/>
      <c r="U79" s="31" t="s">
        <v>591</v>
      </c>
      <c r="V79" s="23"/>
      <c r="W79" s="23"/>
      <c r="X79" s="23"/>
      <c r="Y79" s="23"/>
      <c r="Z79" s="23"/>
    </row>
    <row r="80" spans="1:26" ht="16.5" x14ac:dyDescent="0.25">
      <c r="A80" s="51"/>
      <c r="B80" s="51"/>
      <c r="C80" s="51"/>
      <c r="D80" s="51"/>
      <c r="E80" s="51"/>
      <c r="F80" s="51"/>
      <c r="G80" s="51"/>
      <c r="H80" s="143" t="s">
        <v>59</v>
      </c>
      <c r="I80" s="143"/>
      <c r="J80" s="143"/>
      <c r="K80" s="143"/>
      <c r="L80" s="143"/>
      <c r="M80" s="143"/>
      <c r="O80" s="23"/>
      <c r="P80" s="24" t="s">
        <v>343</v>
      </c>
      <c r="Q80" s="24" t="s">
        <v>242</v>
      </c>
      <c r="R80" s="38">
        <f>R79*R68</f>
        <v>3.1888486332914616E-3</v>
      </c>
      <c r="S80" s="27" t="s">
        <v>344</v>
      </c>
      <c r="T80" s="23"/>
      <c r="U80" s="31" t="s">
        <v>591</v>
      </c>
      <c r="V80" s="23"/>
      <c r="W80" s="23"/>
      <c r="X80" s="23"/>
      <c r="Y80" s="23"/>
      <c r="Z80" s="23"/>
    </row>
    <row r="81" spans="1:26" ht="15.75" x14ac:dyDescent="0.25">
      <c r="A81" s="51"/>
      <c r="B81" s="51"/>
      <c r="C81" s="51"/>
      <c r="D81" s="51"/>
      <c r="E81" s="51"/>
      <c r="F81" s="51"/>
      <c r="G81" s="51"/>
      <c r="H81" s="50" t="s">
        <v>60</v>
      </c>
      <c r="I81" s="50"/>
      <c r="J81" s="51"/>
      <c r="K81" s="51"/>
      <c r="L81" s="51"/>
      <c r="M81" s="51"/>
      <c r="O81" s="23"/>
      <c r="P81" s="24"/>
      <c r="Q81" s="24"/>
      <c r="R81" s="23"/>
      <c r="S81" s="39"/>
      <c r="T81" s="23"/>
      <c r="U81" s="23"/>
      <c r="V81" s="23"/>
      <c r="W81" s="23"/>
      <c r="X81" s="23"/>
      <c r="Y81" s="23"/>
      <c r="Z81" s="23"/>
    </row>
    <row r="82" spans="1:26" x14ac:dyDescent="0.25">
      <c r="A82" s="51"/>
      <c r="B82" s="51"/>
      <c r="C82" s="51"/>
      <c r="D82" s="51"/>
      <c r="E82" s="51"/>
      <c r="F82" s="51"/>
      <c r="G82" s="51"/>
      <c r="H82" s="51"/>
      <c r="I82" s="51"/>
      <c r="J82" s="51"/>
      <c r="K82" s="51"/>
      <c r="L82" s="51"/>
      <c r="M82" s="51"/>
      <c r="O82" s="23"/>
      <c r="P82" s="24" t="s">
        <v>332</v>
      </c>
      <c r="Q82" s="24" t="s">
        <v>242</v>
      </c>
      <c r="R82" s="37">
        <f>IF(R65="TURBULENT",AL19,AM19)</f>
        <v>0.28603722364303741</v>
      </c>
      <c r="S82" s="23"/>
      <c r="T82" s="23"/>
      <c r="U82" s="31" t="s">
        <v>591</v>
      </c>
      <c r="V82" s="23"/>
      <c r="W82" s="23"/>
      <c r="X82" s="23"/>
      <c r="Y82" s="23"/>
      <c r="Z82" s="23"/>
    </row>
    <row r="83" spans="1:26" ht="16.5" x14ac:dyDescent="0.25">
      <c r="A83" s="51"/>
      <c r="B83" s="62"/>
      <c r="C83" s="62"/>
      <c r="D83" s="62"/>
      <c r="E83" s="62"/>
      <c r="F83" s="62"/>
      <c r="G83" s="62"/>
      <c r="H83" s="62"/>
      <c r="I83" s="62"/>
      <c r="J83" s="62"/>
      <c r="K83" s="62"/>
      <c r="L83" s="62"/>
      <c r="M83" s="62"/>
      <c r="N83" s="40"/>
      <c r="O83" s="23"/>
      <c r="P83" s="24" t="s">
        <v>347</v>
      </c>
      <c r="Q83" s="24" t="s">
        <v>242</v>
      </c>
      <c r="R83" s="37">
        <f>R82*R72</f>
        <v>1.7448270642225282E-2</v>
      </c>
      <c r="S83" s="23" t="s">
        <v>49</v>
      </c>
      <c r="T83" s="23"/>
      <c r="U83" s="31" t="s">
        <v>591</v>
      </c>
      <c r="V83" s="23"/>
      <c r="W83" s="23"/>
      <c r="X83" s="23"/>
      <c r="Y83" s="23"/>
      <c r="Z83" s="23"/>
    </row>
    <row r="84" spans="1:26" x14ac:dyDescent="0.25">
      <c r="A84" s="51"/>
      <c r="B84" s="62"/>
      <c r="C84" s="62"/>
      <c r="D84" s="62"/>
      <c r="E84" s="62"/>
      <c r="F84" s="62"/>
      <c r="G84" s="62"/>
      <c r="H84" s="62"/>
      <c r="I84" s="62"/>
      <c r="J84" s="62"/>
      <c r="K84" s="62"/>
      <c r="L84" s="62"/>
      <c r="M84" s="62"/>
      <c r="N84" s="40"/>
      <c r="O84" s="23"/>
      <c r="P84" s="24" t="s">
        <v>327</v>
      </c>
      <c r="Q84" s="24" t="s">
        <v>242</v>
      </c>
      <c r="R84" s="41">
        <f>R83*R38</f>
        <v>0.52344811926675849</v>
      </c>
      <c r="S84" s="23" t="s">
        <v>53</v>
      </c>
      <c r="T84" s="23"/>
      <c r="U84" s="23"/>
      <c r="V84" s="23"/>
      <c r="W84" s="23"/>
      <c r="X84" s="23"/>
      <c r="Y84" s="23"/>
      <c r="Z84" s="23"/>
    </row>
    <row r="85" spans="1:26" x14ac:dyDescent="0.25">
      <c r="A85" s="51"/>
      <c r="B85" s="62"/>
      <c r="C85" s="62"/>
      <c r="D85" s="62"/>
      <c r="E85" s="62"/>
      <c r="F85" s="62"/>
      <c r="G85" s="62"/>
      <c r="H85" s="62"/>
      <c r="I85" s="62"/>
      <c r="J85" s="62"/>
      <c r="K85" s="62"/>
      <c r="L85" s="62"/>
      <c r="M85" s="62"/>
      <c r="N85" s="40"/>
      <c r="O85" s="23"/>
      <c r="P85" s="24"/>
      <c r="Q85" s="24"/>
      <c r="R85" s="23"/>
      <c r="S85" s="23"/>
      <c r="T85" s="23"/>
      <c r="U85" s="23"/>
      <c r="V85" s="23"/>
      <c r="W85" s="23"/>
      <c r="X85" s="23"/>
      <c r="Y85" s="23"/>
      <c r="Z85" s="23"/>
    </row>
    <row r="86" spans="1:26" x14ac:dyDescent="0.25">
      <c r="A86" s="51"/>
      <c r="B86" s="62"/>
      <c r="C86" s="62"/>
      <c r="D86" s="62"/>
      <c r="E86" s="62"/>
      <c r="F86" s="62"/>
      <c r="G86" s="62"/>
      <c r="H86" s="62"/>
      <c r="I86" s="62"/>
      <c r="J86" s="62"/>
      <c r="K86" s="62"/>
      <c r="L86" s="62"/>
      <c r="M86" s="62"/>
      <c r="N86" s="40"/>
      <c r="O86" s="21" t="s">
        <v>350</v>
      </c>
      <c r="P86" s="24"/>
      <c r="Q86" s="24"/>
      <c r="R86" s="23"/>
      <c r="S86" s="23"/>
      <c r="T86" s="23"/>
      <c r="U86" s="23"/>
      <c r="V86" s="23"/>
      <c r="W86" s="23"/>
      <c r="X86" s="23"/>
      <c r="Y86" s="23"/>
      <c r="Z86" s="23"/>
    </row>
    <row r="87" spans="1:26" x14ac:dyDescent="0.25">
      <c r="A87" s="51"/>
      <c r="B87" s="62"/>
      <c r="C87" s="62"/>
      <c r="D87" s="62"/>
      <c r="E87" s="62"/>
      <c r="F87" s="62"/>
      <c r="G87" s="62"/>
      <c r="H87" s="62"/>
      <c r="I87" s="62"/>
      <c r="J87" s="62"/>
      <c r="K87" s="62"/>
      <c r="L87" s="62"/>
      <c r="M87" s="62"/>
      <c r="N87" s="40"/>
      <c r="O87" s="21"/>
      <c r="P87" s="24"/>
      <c r="Q87" s="24"/>
      <c r="R87" s="23"/>
      <c r="S87" s="23"/>
      <c r="T87" s="23"/>
      <c r="U87" s="23"/>
      <c r="V87" s="23"/>
      <c r="W87" s="23"/>
      <c r="X87" s="23"/>
      <c r="Y87" s="23"/>
      <c r="Z87" s="23"/>
    </row>
    <row r="88" spans="1:26" ht="18" x14ac:dyDescent="0.25">
      <c r="A88" s="51"/>
      <c r="B88" s="51"/>
      <c r="C88" s="51"/>
      <c r="D88" s="51"/>
      <c r="E88" s="51"/>
      <c r="F88" s="51"/>
      <c r="G88" s="51"/>
      <c r="H88" s="51"/>
      <c r="I88" s="51"/>
      <c r="J88" s="51"/>
      <c r="K88" s="51"/>
      <c r="L88" s="51"/>
      <c r="M88" s="51"/>
      <c r="O88" s="23" t="s">
        <v>308</v>
      </c>
      <c r="P88" s="24" t="s">
        <v>351</v>
      </c>
      <c r="Q88" s="24" t="s">
        <v>242</v>
      </c>
      <c r="R88" s="42">
        <f>R10/(3600*(R40/144))</f>
        <v>121.35790816326529</v>
      </c>
      <c r="S88" s="27" t="s">
        <v>353</v>
      </c>
      <c r="T88" s="23"/>
      <c r="U88" s="23"/>
      <c r="V88" s="23"/>
      <c r="W88" s="23"/>
      <c r="X88" s="23"/>
      <c r="Y88" s="23"/>
      <c r="Z88" s="23"/>
    </row>
    <row r="89" spans="1:26" x14ac:dyDescent="0.25">
      <c r="A89" s="51"/>
      <c r="B89" s="51"/>
      <c r="C89" s="51"/>
      <c r="D89" s="51"/>
      <c r="E89" s="51"/>
      <c r="F89" s="51"/>
      <c r="G89" s="51"/>
      <c r="H89" s="51"/>
      <c r="I89" s="51"/>
      <c r="J89" s="51"/>
      <c r="K89" s="51"/>
      <c r="L89" s="51"/>
      <c r="M89" s="51"/>
      <c r="O89" s="23"/>
      <c r="P89" s="24"/>
      <c r="Q89" s="24"/>
      <c r="R89" s="23"/>
      <c r="S89" s="23"/>
      <c r="T89" s="23"/>
      <c r="U89" s="23"/>
      <c r="V89" s="23"/>
      <c r="W89" s="23"/>
      <c r="X89" s="23"/>
      <c r="Y89" s="23"/>
      <c r="Z89" s="23"/>
    </row>
    <row r="90" spans="1:26" x14ac:dyDescent="0.25">
      <c r="A90" s="51"/>
      <c r="B90" s="51"/>
      <c r="C90" s="51"/>
      <c r="D90" s="51"/>
      <c r="E90" s="51"/>
      <c r="F90" s="51"/>
      <c r="G90" s="51"/>
      <c r="H90" s="51"/>
      <c r="I90" s="51"/>
      <c r="J90" s="51"/>
      <c r="K90" s="51"/>
      <c r="L90" s="51"/>
      <c r="M90" s="51"/>
      <c r="O90" s="23" t="s">
        <v>331</v>
      </c>
      <c r="P90" s="24"/>
      <c r="Q90" s="24"/>
      <c r="R90" s="23"/>
      <c r="S90" s="23"/>
      <c r="T90" s="23"/>
      <c r="U90" s="23"/>
      <c r="V90" s="23"/>
      <c r="W90" s="23"/>
      <c r="X90" s="23"/>
      <c r="Y90" s="23"/>
      <c r="Z90" s="23"/>
    </row>
    <row r="91" spans="1:26" x14ac:dyDescent="0.25">
      <c r="A91" s="51"/>
      <c r="B91" s="51"/>
      <c r="C91" s="51"/>
      <c r="D91" s="51"/>
      <c r="E91" s="51"/>
      <c r="F91" s="51"/>
      <c r="G91" s="51"/>
      <c r="H91" s="51"/>
      <c r="I91" s="51"/>
      <c r="J91" s="51"/>
      <c r="K91" s="51"/>
      <c r="L91" s="51"/>
      <c r="M91" s="51"/>
      <c r="O91" s="23"/>
      <c r="P91" s="24" t="s">
        <v>63</v>
      </c>
      <c r="Q91" s="24" t="s">
        <v>242</v>
      </c>
      <c r="R91" s="23">
        <f>IF(R65="TURBULENT",VLOOKUP(R19,AE29:AO31,3,FALSE),"ERROR")</f>
        <v>2.8E-3</v>
      </c>
      <c r="S91" s="23"/>
      <c r="T91" s="23"/>
      <c r="U91" s="31" t="s">
        <v>592</v>
      </c>
      <c r="V91" s="23"/>
      <c r="W91" s="23"/>
      <c r="X91" s="23"/>
      <c r="Y91" s="23"/>
      <c r="Z91" s="23"/>
    </row>
    <row r="92" spans="1:26" x14ac:dyDescent="0.25">
      <c r="A92" s="51"/>
      <c r="B92" s="51"/>
      <c r="C92" s="51"/>
      <c r="D92" s="51"/>
      <c r="E92" s="51"/>
      <c r="F92" s="51"/>
      <c r="G92" s="51"/>
      <c r="H92" s="51"/>
      <c r="I92" s="51"/>
      <c r="J92" s="51"/>
      <c r="K92" s="51"/>
      <c r="L92" s="51"/>
      <c r="M92" s="51"/>
      <c r="O92" s="23"/>
      <c r="P92" s="24" t="s">
        <v>64</v>
      </c>
      <c r="Q92" s="24" t="s">
        <v>242</v>
      </c>
      <c r="R92" s="23">
        <f>IF(R65="TURBULENT",VLOOKUP(R19,AE29:AO31,4,FALSE),"ERROR")</f>
        <v>7.6200000000000004E-2</v>
      </c>
      <c r="S92" s="23"/>
      <c r="T92" s="23"/>
      <c r="U92" s="31" t="s">
        <v>592</v>
      </c>
      <c r="V92" s="23"/>
      <c r="W92" s="23"/>
      <c r="X92" s="23"/>
      <c r="Y92" s="23"/>
      <c r="Z92" s="23"/>
    </row>
    <row r="93" spans="1:26" x14ac:dyDescent="0.25">
      <c r="A93" s="51"/>
      <c r="B93" s="51"/>
      <c r="C93" s="51"/>
      <c r="D93" s="51"/>
      <c r="E93" s="51"/>
      <c r="F93" s="51"/>
      <c r="G93" s="51"/>
      <c r="H93" s="51"/>
      <c r="I93" s="51"/>
      <c r="J93" s="51"/>
      <c r="K93" s="51"/>
      <c r="L93" s="51"/>
      <c r="M93" s="51"/>
      <c r="O93" s="23"/>
      <c r="P93" s="24" t="s">
        <v>65</v>
      </c>
      <c r="Q93" s="24" t="s">
        <v>242</v>
      </c>
      <c r="R93" s="23">
        <f>IF(R65="TURBULENT",VLOOKUP(R19,AE29:AO31,5,FALSE),"ERROR")</f>
        <v>0.55700000000000005</v>
      </c>
      <c r="S93" s="23"/>
      <c r="T93" s="23"/>
      <c r="U93" s="31" t="s">
        <v>592</v>
      </c>
      <c r="V93" s="23"/>
      <c r="W93" s="23"/>
      <c r="X93" s="23"/>
      <c r="Y93" s="23"/>
      <c r="Z93" s="23"/>
    </row>
    <row r="94" spans="1:26" x14ac:dyDescent="0.25">
      <c r="A94" s="51"/>
      <c r="B94" s="51"/>
      <c r="C94" s="51"/>
      <c r="D94" s="51"/>
      <c r="E94" s="51"/>
      <c r="F94" s="51"/>
      <c r="G94" s="51"/>
      <c r="H94" s="51"/>
      <c r="I94" s="51"/>
      <c r="J94" s="51"/>
      <c r="K94" s="51"/>
      <c r="L94" s="51"/>
      <c r="M94" s="51"/>
      <c r="O94" s="23"/>
      <c r="P94" s="26" t="s">
        <v>66</v>
      </c>
      <c r="Q94" s="24" t="s">
        <v>242</v>
      </c>
      <c r="R94" s="23">
        <f>IF(R65="TURBULENT",VLOOKUP(R19,AE29:AO31,6,FALSE),"ERROR")</f>
        <v>46.8</v>
      </c>
      <c r="S94" s="23"/>
      <c r="T94" s="23"/>
      <c r="U94" s="31" t="s">
        <v>592</v>
      </c>
      <c r="V94" s="23"/>
      <c r="W94" s="23"/>
      <c r="X94" s="23"/>
      <c r="Y94" s="23"/>
      <c r="Z94" s="23"/>
    </row>
    <row r="95" spans="1:26" x14ac:dyDescent="0.25">
      <c r="A95" s="51"/>
      <c r="B95" s="51"/>
      <c r="C95" s="51"/>
      <c r="D95" s="51"/>
      <c r="E95" s="51"/>
      <c r="F95" s="51"/>
      <c r="G95" s="51"/>
      <c r="H95" s="51"/>
      <c r="I95" s="51"/>
      <c r="J95" s="51"/>
      <c r="K95" s="51"/>
      <c r="L95" s="51"/>
      <c r="M95" s="51"/>
      <c r="O95" s="23"/>
      <c r="P95" s="24" t="s">
        <v>327</v>
      </c>
      <c r="Q95" s="24" t="s">
        <v>242</v>
      </c>
      <c r="R95" s="23">
        <f>IF(R65="TURBULENT",VLOOKUP(R19,AE29:AO31,7,FALSE),"ERROR")</f>
        <v>0.25</v>
      </c>
      <c r="S95" s="23"/>
      <c r="T95" s="23"/>
      <c r="U95" s="31" t="s">
        <v>592</v>
      </c>
      <c r="V95" s="23"/>
      <c r="W95" s="23"/>
      <c r="X95" s="23"/>
      <c r="Y95" s="23"/>
      <c r="Z95" s="23"/>
    </row>
    <row r="96" spans="1:26" x14ac:dyDescent="0.25">
      <c r="A96" s="51"/>
      <c r="B96" s="51"/>
      <c r="C96" s="51"/>
      <c r="D96" s="51"/>
      <c r="E96" s="51"/>
      <c r="F96" s="51"/>
      <c r="G96" s="51"/>
      <c r="H96" s="51"/>
      <c r="I96" s="51"/>
      <c r="J96" s="51"/>
      <c r="K96" s="51"/>
      <c r="L96" s="51"/>
      <c r="M96" s="51"/>
      <c r="O96" s="23"/>
      <c r="P96" s="26" t="s">
        <v>67</v>
      </c>
      <c r="Q96" s="24" t="s">
        <v>242</v>
      </c>
      <c r="R96" s="23">
        <f>IF(R65="TURBULENT",VLOOKUP(R19,AE29:AO31,8,FALSE),"ERROR")</f>
        <v>0.54900000000000004</v>
      </c>
      <c r="S96" s="23"/>
      <c r="T96" s="23"/>
      <c r="U96" s="31" t="s">
        <v>592</v>
      </c>
      <c r="V96" s="23"/>
      <c r="W96" s="23"/>
      <c r="X96" s="23"/>
      <c r="Y96" s="23"/>
      <c r="Z96" s="23"/>
    </row>
    <row r="97" spans="1:26" ht="18" x14ac:dyDescent="0.25">
      <c r="A97" s="51"/>
      <c r="B97" s="51"/>
      <c r="C97" s="51"/>
      <c r="D97" s="51"/>
      <c r="E97" s="51"/>
      <c r="F97" s="51"/>
      <c r="G97" s="51"/>
      <c r="H97" s="51"/>
      <c r="I97" s="51"/>
      <c r="J97" s="51"/>
      <c r="K97" s="51"/>
      <c r="L97" s="51"/>
      <c r="M97" s="51"/>
      <c r="O97" s="23"/>
      <c r="P97" s="26" t="s">
        <v>326</v>
      </c>
      <c r="Q97" s="24" t="s">
        <v>242</v>
      </c>
      <c r="R97" s="23" t="str">
        <f>IF(R65="TURBULENT",VLOOKUP(R19,AE29:AO31,9,FALSE),"ERROR")</f>
        <v>N/A</v>
      </c>
      <c r="S97" s="23"/>
      <c r="T97" s="23"/>
      <c r="U97" s="31" t="s">
        <v>592</v>
      </c>
      <c r="V97" s="23"/>
      <c r="W97" s="23"/>
      <c r="X97" s="23"/>
      <c r="Y97" s="23"/>
      <c r="Z97" s="23"/>
    </row>
    <row r="98" spans="1:26" ht="16.5" x14ac:dyDescent="0.25">
      <c r="A98" s="51"/>
      <c r="B98" s="51"/>
      <c r="C98" s="51"/>
      <c r="D98" s="51"/>
      <c r="E98" s="51"/>
      <c r="F98" s="51"/>
      <c r="G98" s="51"/>
      <c r="H98" s="51"/>
      <c r="I98" s="51"/>
      <c r="J98" s="51"/>
      <c r="K98" s="51"/>
      <c r="L98" s="51"/>
      <c r="M98" s="51"/>
      <c r="O98" s="23"/>
      <c r="P98" s="24" t="s">
        <v>328</v>
      </c>
      <c r="Q98" s="24" t="s">
        <v>242</v>
      </c>
      <c r="R98" s="23">
        <f>IF(R65="TURBULENT",VLOOKUP(R19,AE29:AO31,10,FALSE),"ERROR")</f>
        <v>132.4</v>
      </c>
      <c r="S98" s="23"/>
      <c r="T98" s="23"/>
      <c r="U98" s="31" t="s">
        <v>592</v>
      </c>
      <c r="V98" s="23"/>
      <c r="W98" s="23"/>
      <c r="X98" s="23"/>
      <c r="Y98" s="23"/>
      <c r="Z98" s="23"/>
    </row>
    <row r="99" spans="1:26" ht="16.5" x14ac:dyDescent="0.25">
      <c r="A99" s="51"/>
      <c r="B99" s="51"/>
      <c r="C99" s="51"/>
      <c r="D99" s="51"/>
      <c r="E99" s="51"/>
      <c r="F99" s="51"/>
      <c r="G99" s="51"/>
      <c r="H99" s="51"/>
      <c r="I99" s="51"/>
      <c r="J99" s="51"/>
      <c r="K99" s="51"/>
      <c r="L99" s="51"/>
      <c r="M99" s="51"/>
      <c r="O99" s="23"/>
      <c r="P99" s="24" t="s">
        <v>329</v>
      </c>
      <c r="Q99" s="24" t="s">
        <v>242</v>
      </c>
      <c r="R99" s="23">
        <f>IF(R65="TURBULENT",VLOOKUP(R19,AE29:AO31,11,FALSE),"ERROR")</f>
        <v>0.625</v>
      </c>
      <c r="S99" s="23"/>
      <c r="T99" s="23"/>
      <c r="U99" s="31" t="s">
        <v>592</v>
      </c>
      <c r="V99" s="23"/>
      <c r="W99" s="23"/>
      <c r="X99" s="23"/>
      <c r="Y99" s="23"/>
      <c r="Z99" s="23"/>
    </row>
    <row r="100" spans="1:26" x14ac:dyDescent="0.25">
      <c r="A100" s="51"/>
      <c r="B100" s="51"/>
      <c r="C100" s="51"/>
      <c r="D100" s="51"/>
      <c r="E100" s="51"/>
      <c r="F100" s="51"/>
      <c r="G100" s="51"/>
      <c r="H100" s="51"/>
      <c r="I100" s="51"/>
      <c r="J100" s="51"/>
      <c r="K100" s="51"/>
      <c r="L100" s="51"/>
      <c r="M100" s="51"/>
      <c r="O100" s="23"/>
      <c r="P100" s="24" t="s">
        <v>346</v>
      </c>
      <c r="Q100" s="24" t="s">
        <v>242</v>
      </c>
      <c r="R100" s="23">
        <v>1</v>
      </c>
      <c r="S100" s="23"/>
      <c r="T100" s="23"/>
      <c r="U100" s="31" t="s">
        <v>592</v>
      </c>
      <c r="V100" s="23"/>
      <c r="W100" s="23"/>
      <c r="X100" s="23"/>
      <c r="Y100" s="23"/>
      <c r="Z100" s="23"/>
    </row>
    <row r="101" spans="1:26" x14ac:dyDescent="0.25">
      <c r="A101" s="51"/>
      <c r="B101" s="51"/>
      <c r="C101" s="51"/>
      <c r="D101" s="51"/>
      <c r="E101" s="51"/>
      <c r="F101" s="51"/>
      <c r="G101" s="51"/>
      <c r="H101" s="51"/>
      <c r="I101" s="51"/>
      <c r="J101" s="51"/>
      <c r="K101" s="51"/>
      <c r="L101" s="51"/>
      <c r="M101" s="51"/>
      <c r="O101" s="23"/>
      <c r="P101" s="24" t="s">
        <v>357</v>
      </c>
      <c r="Q101" s="24" t="s">
        <v>242</v>
      </c>
      <c r="R101" s="23">
        <v>10</v>
      </c>
      <c r="S101" s="23"/>
      <c r="T101" s="23"/>
      <c r="U101" s="31" t="s">
        <v>592</v>
      </c>
      <c r="V101" s="23"/>
      <c r="W101" s="23"/>
      <c r="X101" s="23"/>
      <c r="Y101" s="23"/>
      <c r="Z101" s="23"/>
    </row>
    <row r="102" spans="1:26" x14ac:dyDescent="0.25">
      <c r="A102" s="51"/>
      <c r="B102" s="51"/>
      <c r="C102" s="51"/>
      <c r="D102" s="51"/>
      <c r="E102" s="51"/>
      <c r="F102" s="51"/>
      <c r="G102" s="51"/>
      <c r="H102" s="51"/>
      <c r="I102" s="51"/>
      <c r="J102" s="51"/>
      <c r="K102" s="51"/>
      <c r="L102" s="51"/>
      <c r="M102" s="51"/>
      <c r="O102" s="23"/>
      <c r="P102" s="24" t="s">
        <v>360</v>
      </c>
      <c r="Q102" s="24" t="s">
        <v>242</v>
      </c>
      <c r="R102" s="23">
        <v>1</v>
      </c>
      <c r="S102" s="23"/>
      <c r="T102" s="23"/>
      <c r="U102" s="31" t="s">
        <v>592</v>
      </c>
      <c r="V102" s="23"/>
      <c r="W102" s="23"/>
      <c r="X102" s="23"/>
      <c r="Y102" s="23"/>
      <c r="Z102" s="23"/>
    </row>
    <row r="103" spans="1:26" x14ac:dyDescent="0.25">
      <c r="A103" s="51"/>
      <c r="B103" s="51"/>
      <c r="C103" s="51"/>
      <c r="D103" s="51"/>
      <c r="E103" s="51"/>
      <c r="F103" s="51"/>
      <c r="G103" s="51"/>
      <c r="H103" s="51"/>
      <c r="I103" s="51"/>
      <c r="J103" s="51"/>
      <c r="K103" s="51"/>
      <c r="L103" s="51"/>
      <c r="M103" s="51"/>
      <c r="O103" s="23"/>
      <c r="P103" s="24"/>
      <c r="Q103" s="24"/>
      <c r="R103" s="23"/>
      <c r="S103" s="23"/>
      <c r="T103" s="23"/>
      <c r="U103" s="23"/>
      <c r="V103" s="23"/>
      <c r="W103" s="23"/>
      <c r="X103" s="23"/>
      <c r="Y103" s="23"/>
      <c r="Z103" s="23"/>
    </row>
    <row r="104" spans="1:26" x14ac:dyDescent="0.25">
      <c r="A104" s="51"/>
      <c r="B104" s="51"/>
      <c r="C104" s="51"/>
      <c r="D104" s="51"/>
      <c r="E104" s="51"/>
      <c r="F104" s="51"/>
      <c r="G104" s="51"/>
      <c r="H104" s="51"/>
      <c r="I104" s="51"/>
      <c r="J104" s="51"/>
      <c r="K104" s="51"/>
      <c r="L104" s="51"/>
      <c r="M104" s="51"/>
      <c r="O104" s="23"/>
      <c r="P104" s="24"/>
      <c r="Q104" s="24"/>
      <c r="R104" s="23"/>
      <c r="S104" s="23"/>
      <c r="T104" s="23"/>
      <c r="U104" s="23"/>
      <c r="V104" s="23"/>
      <c r="W104" s="23"/>
      <c r="X104" s="23"/>
      <c r="Y104" s="23"/>
      <c r="Z104" s="23"/>
    </row>
    <row r="105" spans="1:26" x14ac:dyDescent="0.25">
      <c r="A105" s="51"/>
      <c r="B105" s="51"/>
      <c r="C105" s="51"/>
      <c r="D105" s="51"/>
      <c r="E105" s="51"/>
      <c r="F105" s="51"/>
      <c r="G105" s="51"/>
      <c r="H105" s="51"/>
      <c r="I105" s="51"/>
      <c r="J105" s="51"/>
      <c r="K105" s="51"/>
      <c r="L105" s="51"/>
      <c r="M105" s="51"/>
      <c r="O105" s="23"/>
      <c r="P105" s="24" t="s">
        <v>332</v>
      </c>
      <c r="Q105" s="24" t="s">
        <v>242</v>
      </c>
      <c r="R105" s="37">
        <f>IF(R65="TURBULENT",AF19,AG19)</f>
        <v>0.99782116059321946</v>
      </c>
      <c r="S105" s="23"/>
      <c r="T105" s="23"/>
      <c r="U105" s="31" t="s">
        <v>591</v>
      </c>
      <c r="V105" s="23"/>
      <c r="W105" s="23"/>
      <c r="X105" s="23"/>
      <c r="Y105" s="23"/>
      <c r="Z105" s="23"/>
    </row>
    <row r="106" spans="1:26" ht="18" x14ac:dyDescent="0.25">
      <c r="A106" s="51"/>
      <c r="B106" s="51"/>
      <c r="C106" s="51"/>
      <c r="D106" s="51"/>
      <c r="E106" s="51"/>
      <c r="F106" s="51"/>
      <c r="G106" s="51"/>
      <c r="H106" s="51"/>
      <c r="I106" s="51"/>
      <c r="J106" s="51"/>
      <c r="K106" s="51"/>
      <c r="L106" s="51"/>
      <c r="M106" s="51"/>
      <c r="O106" s="23"/>
      <c r="P106" s="24" t="s">
        <v>354</v>
      </c>
      <c r="Q106" s="24" t="s">
        <v>242</v>
      </c>
      <c r="R106" s="38">
        <f>R91*R105</f>
        <v>2.7938992496610144E-3</v>
      </c>
      <c r="S106" s="27" t="s">
        <v>376</v>
      </c>
      <c r="T106" s="23"/>
      <c r="U106" s="31" t="s">
        <v>591</v>
      </c>
      <c r="V106" s="23"/>
      <c r="W106" s="23"/>
      <c r="X106" s="23"/>
      <c r="Y106" s="23"/>
      <c r="Z106" s="23"/>
    </row>
    <row r="107" spans="1:26" x14ac:dyDescent="0.25">
      <c r="A107" s="51"/>
      <c r="B107" s="51"/>
      <c r="C107" s="51"/>
      <c r="D107" s="51"/>
      <c r="E107" s="51"/>
      <c r="F107" s="51"/>
      <c r="G107" s="51"/>
      <c r="H107" s="51"/>
      <c r="I107" s="51"/>
      <c r="J107" s="51"/>
      <c r="K107" s="51"/>
      <c r="L107" s="51"/>
      <c r="M107" s="51"/>
      <c r="O107" s="23"/>
      <c r="P107" s="24"/>
      <c r="Q107" s="24"/>
      <c r="R107" s="23"/>
      <c r="S107" s="23"/>
      <c r="T107" s="23"/>
      <c r="U107" s="23"/>
      <c r="V107" s="23"/>
      <c r="W107" s="23"/>
      <c r="X107" s="23"/>
      <c r="Y107" s="23"/>
      <c r="Z107" s="23"/>
    </row>
    <row r="108" spans="1:26" x14ac:dyDescent="0.25">
      <c r="A108" s="51"/>
      <c r="B108" s="51"/>
      <c r="C108" s="51"/>
      <c r="D108" s="51"/>
      <c r="E108" s="51"/>
      <c r="F108" s="51"/>
      <c r="G108" s="51"/>
      <c r="H108" s="51"/>
      <c r="I108" s="51"/>
      <c r="J108" s="51"/>
      <c r="K108" s="51"/>
      <c r="L108" s="51"/>
      <c r="M108" s="51"/>
      <c r="O108" s="23"/>
      <c r="P108" s="24" t="s">
        <v>332</v>
      </c>
      <c r="Q108" s="24" t="s">
        <v>242</v>
      </c>
      <c r="R108" s="42">
        <f>IF(R65="TURBULENT",AJ19,AK19)</f>
        <v>38.26238630729592</v>
      </c>
      <c r="S108" s="23"/>
      <c r="T108" s="23"/>
      <c r="U108" s="31" t="s">
        <v>591</v>
      </c>
      <c r="V108" s="23"/>
      <c r="W108" s="23"/>
      <c r="X108" s="23"/>
      <c r="Y108" s="23"/>
      <c r="Z108" s="23"/>
    </row>
    <row r="109" spans="1:26" ht="16.5" x14ac:dyDescent="0.25">
      <c r="A109" s="51"/>
      <c r="B109" s="51"/>
      <c r="C109" s="51"/>
      <c r="D109" s="51"/>
      <c r="E109" s="51"/>
      <c r="F109" s="51"/>
      <c r="G109" s="51"/>
      <c r="H109" s="51"/>
      <c r="I109" s="51"/>
      <c r="J109" s="51"/>
      <c r="K109" s="51"/>
      <c r="L109" s="51"/>
      <c r="M109" s="51"/>
      <c r="O109" s="23"/>
      <c r="P109" s="24" t="s">
        <v>355</v>
      </c>
      <c r="Q109" s="24" t="s">
        <v>242</v>
      </c>
      <c r="R109" s="41">
        <f>R95*R108</f>
        <v>9.5655965768239799</v>
      </c>
      <c r="S109" s="23" t="s">
        <v>53</v>
      </c>
      <c r="T109" s="23"/>
      <c r="U109" s="31" t="s">
        <v>591</v>
      </c>
      <c r="V109" s="23"/>
      <c r="W109" s="23"/>
      <c r="X109" s="23"/>
      <c r="Y109" s="23"/>
      <c r="Z109" s="23"/>
    </row>
    <row r="110" spans="1:26" x14ac:dyDescent="0.25">
      <c r="A110" s="51"/>
      <c r="B110" s="51"/>
      <c r="C110" s="51"/>
      <c r="D110" s="51"/>
      <c r="E110" s="51"/>
      <c r="F110" s="51"/>
      <c r="G110" s="51"/>
      <c r="H110" s="51"/>
      <c r="I110" s="51"/>
      <c r="J110" s="51"/>
      <c r="K110" s="51"/>
      <c r="L110" s="51"/>
      <c r="M110" s="51"/>
      <c r="O110" s="23"/>
      <c r="P110" s="24"/>
      <c r="Q110" s="24"/>
      <c r="R110" s="23"/>
      <c r="S110" s="23"/>
      <c r="T110" s="23"/>
      <c r="U110" s="23"/>
      <c r="V110" s="23"/>
      <c r="W110" s="23"/>
      <c r="X110" s="23"/>
      <c r="Y110" s="23"/>
      <c r="Z110" s="23"/>
    </row>
    <row r="111" spans="1:26" x14ac:dyDescent="0.25">
      <c r="A111" s="51"/>
      <c r="B111" s="51"/>
      <c r="C111" s="51"/>
      <c r="D111" s="51"/>
      <c r="E111" s="51"/>
      <c r="F111" s="51"/>
      <c r="G111" s="51"/>
      <c r="H111" s="51"/>
      <c r="I111" s="51"/>
      <c r="J111" s="51"/>
      <c r="K111" s="51"/>
      <c r="L111" s="51"/>
      <c r="M111" s="51"/>
      <c r="O111" s="22" t="s">
        <v>362</v>
      </c>
      <c r="P111" s="24"/>
      <c r="Q111" s="24"/>
      <c r="R111" s="23"/>
      <c r="S111" s="23"/>
      <c r="T111" s="23"/>
      <c r="U111" s="23"/>
      <c r="V111" s="23"/>
      <c r="W111" s="23"/>
      <c r="X111" s="23"/>
      <c r="Y111" s="23"/>
      <c r="Z111" s="23"/>
    </row>
    <row r="112" spans="1:26" x14ac:dyDescent="0.25">
      <c r="A112" s="51"/>
      <c r="B112" s="51"/>
      <c r="C112" s="51"/>
      <c r="D112" s="51"/>
      <c r="E112" s="51"/>
      <c r="F112" s="51"/>
      <c r="G112" s="51"/>
      <c r="H112" s="51"/>
      <c r="I112" s="51"/>
      <c r="J112" s="51"/>
      <c r="K112" s="51"/>
      <c r="L112" s="51"/>
      <c r="M112" s="51"/>
      <c r="O112" s="23"/>
      <c r="P112" s="24"/>
      <c r="Q112" s="24"/>
      <c r="R112" s="23"/>
      <c r="S112" s="23"/>
      <c r="T112" s="23"/>
      <c r="U112" s="23"/>
      <c r="V112" s="23"/>
      <c r="W112" s="23"/>
      <c r="X112" s="23"/>
      <c r="Y112" s="23"/>
      <c r="Z112" s="23"/>
    </row>
    <row r="113" spans="1:26" ht="18" x14ac:dyDescent="0.25">
      <c r="A113" s="51"/>
      <c r="B113" s="51"/>
      <c r="C113" s="51"/>
      <c r="D113" s="51"/>
      <c r="E113" s="51"/>
      <c r="F113" s="51"/>
      <c r="G113" s="51"/>
      <c r="H113" s="51"/>
      <c r="I113" s="51"/>
      <c r="J113" s="51"/>
      <c r="K113" s="51"/>
      <c r="L113" s="51"/>
      <c r="M113" s="51"/>
      <c r="O113" s="23" t="s">
        <v>363</v>
      </c>
      <c r="P113" s="24" t="s">
        <v>364</v>
      </c>
      <c r="Q113" s="24" t="s">
        <v>242</v>
      </c>
      <c r="R113" s="23">
        <v>30</v>
      </c>
      <c r="S113" s="27" t="s">
        <v>377</v>
      </c>
      <c r="T113" s="23"/>
      <c r="U113" s="31" t="s">
        <v>590</v>
      </c>
      <c r="V113" s="23"/>
      <c r="W113" s="23"/>
      <c r="X113" s="23"/>
      <c r="Y113" s="23"/>
      <c r="Z113" s="23"/>
    </row>
    <row r="114" spans="1:26" ht="18" x14ac:dyDescent="0.25">
      <c r="A114" s="51"/>
      <c r="B114" s="51"/>
      <c r="C114" s="51"/>
      <c r="D114" s="51"/>
      <c r="E114" s="51"/>
      <c r="F114" s="51"/>
      <c r="G114" s="51"/>
      <c r="H114" s="51"/>
      <c r="I114" s="51"/>
      <c r="J114" s="51"/>
      <c r="K114" s="51"/>
      <c r="L114" s="51"/>
      <c r="M114" s="51"/>
      <c r="O114" s="23" t="s">
        <v>362</v>
      </c>
      <c r="P114" s="24" t="s">
        <v>365</v>
      </c>
      <c r="Q114" s="24" t="s">
        <v>242</v>
      </c>
      <c r="R114" s="38">
        <f>R33/(24*R113)*(LN(R33/R35))</f>
        <v>1.9828513384501971E-4</v>
      </c>
      <c r="S114" s="27" t="s">
        <v>376</v>
      </c>
      <c r="T114" s="23"/>
      <c r="U114" s="31" t="s">
        <v>589</v>
      </c>
      <c r="V114" s="23"/>
      <c r="W114" s="23"/>
      <c r="X114" s="23"/>
      <c r="Y114" s="23"/>
      <c r="Z114" s="23"/>
    </row>
    <row r="115" spans="1:26" x14ac:dyDescent="0.25">
      <c r="A115" s="51"/>
      <c r="B115" s="51"/>
      <c r="C115" s="51"/>
      <c r="D115" s="51"/>
      <c r="E115" s="51"/>
      <c r="F115" s="51"/>
      <c r="G115" s="51"/>
      <c r="H115" s="51"/>
      <c r="I115" s="51"/>
      <c r="J115" s="51"/>
      <c r="K115" s="51"/>
      <c r="L115" s="51"/>
      <c r="M115" s="51"/>
      <c r="O115" s="23"/>
      <c r="P115" s="24"/>
      <c r="Q115" s="24"/>
      <c r="R115" s="23"/>
      <c r="S115" s="23"/>
      <c r="T115" s="23"/>
      <c r="U115" s="23"/>
      <c r="V115" s="23"/>
      <c r="W115" s="23"/>
      <c r="X115" s="23"/>
      <c r="Y115" s="23"/>
      <c r="Z115" s="23"/>
    </row>
    <row r="116" spans="1:26" x14ac:dyDescent="0.25">
      <c r="A116" s="51"/>
      <c r="B116" s="51"/>
      <c r="C116" s="51"/>
      <c r="D116" s="51"/>
      <c r="E116" s="51"/>
      <c r="F116" s="51"/>
      <c r="G116" s="51"/>
      <c r="H116" s="51"/>
      <c r="I116" s="51"/>
      <c r="J116" s="51"/>
      <c r="K116" s="51"/>
      <c r="L116" s="51"/>
      <c r="M116" s="51"/>
      <c r="O116" s="22" t="s">
        <v>366</v>
      </c>
      <c r="P116" s="24"/>
      <c r="Q116" s="24"/>
      <c r="R116" s="23"/>
      <c r="S116" s="23"/>
      <c r="T116" s="23"/>
      <c r="U116" s="23"/>
      <c r="V116" s="23"/>
      <c r="W116" s="23"/>
      <c r="X116" s="23"/>
      <c r="Y116" s="23"/>
      <c r="Z116" s="23"/>
    </row>
    <row r="117" spans="1:26" x14ac:dyDescent="0.25">
      <c r="A117" s="51"/>
      <c r="B117" s="51"/>
      <c r="C117" s="51"/>
      <c r="D117" s="51"/>
      <c r="E117" s="51"/>
      <c r="F117" s="51"/>
      <c r="G117" s="51"/>
      <c r="H117" s="51"/>
      <c r="I117" s="51"/>
      <c r="J117" s="51"/>
      <c r="K117" s="51"/>
      <c r="L117" s="51"/>
      <c r="M117" s="51"/>
      <c r="O117" s="23"/>
      <c r="P117" s="24"/>
      <c r="Q117" s="24"/>
      <c r="R117" s="23"/>
      <c r="S117" s="23"/>
      <c r="T117" s="23"/>
      <c r="U117" s="23"/>
      <c r="V117" s="23"/>
      <c r="W117" s="23"/>
      <c r="X117" s="23"/>
      <c r="Y117" s="23"/>
      <c r="Z117" s="23"/>
    </row>
    <row r="118" spans="1:26" ht="16.5" x14ac:dyDescent="0.25">
      <c r="A118" s="51"/>
      <c r="B118" s="51"/>
      <c r="C118" s="51"/>
      <c r="D118" s="51"/>
      <c r="E118" s="51"/>
      <c r="F118" s="51"/>
      <c r="G118" s="51"/>
      <c r="H118" s="51"/>
      <c r="I118" s="51"/>
      <c r="J118" s="51"/>
      <c r="K118" s="51"/>
      <c r="L118" s="51"/>
      <c r="M118" s="51"/>
      <c r="O118" s="23"/>
      <c r="P118" s="24" t="s">
        <v>368</v>
      </c>
      <c r="Q118" s="24" t="s">
        <v>242</v>
      </c>
      <c r="R118" s="38">
        <f>PI()*R33/144*12</f>
        <v>0.19634954084936207</v>
      </c>
      <c r="S118" s="23"/>
      <c r="T118" s="23"/>
      <c r="U118" s="23"/>
      <c r="V118" s="23"/>
      <c r="W118" s="23"/>
      <c r="X118" s="23"/>
      <c r="Y118" s="23"/>
      <c r="Z118" s="23"/>
    </row>
    <row r="119" spans="1:26" ht="16.5" x14ac:dyDescent="0.25">
      <c r="A119" s="51"/>
      <c r="B119" s="51"/>
      <c r="C119" s="51"/>
      <c r="D119" s="51"/>
      <c r="E119" s="51"/>
      <c r="F119" s="51"/>
      <c r="G119" s="51"/>
      <c r="H119" s="51"/>
      <c r="I119" s="51"/>
      <c r="J119" s="51"/>
      <c r="K119" s="51"/>
      <c r="L119" s="51"/>
      <c r="M119" s="51"/>
      <c r="O119" s="23"/>
      <c r="P119" s="24" t="s">
        <v>369</v>
      </c>
      <c r="Q119" s="24" t="s">
        <v>242</v>
      </c>
      <c r="R119" s="38">
        <f>PI()*R35/144*12</f>
        <v>0.16231562043547265</v>
      </c>
      <c r="S119" s="23"/>
      <c r="T119" s="23"/>
      <c r="U119" s="23"/>
      <c r="V119" s="23"/>
      <c r="W119" s="23"/>
      <c r="X119" s="23"/>
      <c r="Y119" s="23"/>
      <c r="Z119" s="23"/>
    </row>
    <row r="120" spans="1:26" x14ac:dyDescent="0.25">
      <c r="A120" s="51"/>
      <c r="B120" s="51"/>
      <c r="C120" s="51"/>
      <c r="D120" s="51"/>
      <c r="E120" s="51"/>
      <c r="F120" s="51"/>
      <c r="G120" s="51"/>
      <c r="H120" s="51"/>
      <c r="I120" s="51"/>
      <c r="J120" s="51"/>
      <c r="K120" s="51"/>
      <c r="L120" s="51"/>
      <c r="M120" s="51"/>
      <c r="O120" s="23"/>
      <c r="P120" s="24" t="s">
        <v>367</v>
      </c>
      <c r="Q120" s="24" t="s">
        <v>242</v>
      </c>
      <c r="R120" s="38">
        <f>R80*(R118/R119)+R106+R114+R18+R29*(R118/R119)</f>
        <v>1.0059339988294093E-2</v>
      </c>
      <c r="S120" s="23"/>
      <c r="T120" s="23"/>
      <c r="U120" s="23"/>
      <c r="V120" s="23"/>
      <c r="W120" s="23"/>
      <c r="X120" s="23"/>
      <c r="Y120" s="23"/>
      <c r="Z120" s="23"/>
    </row>
    <row r="121" spans="1:26" ht="18" x14ac:dyDescent="0.25">
      <c r="A121" s="51"/>
      <c r="B121" s="51"/>
      <c r="C121" s="51"/>
      <c r="D121" s="51"/>
      <c r="E121" s="51"/>
      <c r="F121" s="51"/>
      <c r="G121" s="51"/>
      <c r="H121" s="51"/>
      <c r="I121" s="51"/>
      <c r="J121" s="51"/>
      <c r="K121" s="51"/>
      <c r="L121" s="51"/>
      <c r="M121" s="51"/>
      <c r="O121" s="23"/>
      <c r="P121" s="24" t="s">
        <v>27</v>
      </c>
      <c r="Q121" s="24" t="s">
        <v>242</v>
      </c>
      <c r="R121" s="42">
        <f>1/R120</f>
        <v>99.410100579529612</v>
      </c>
      <c r="S121" s="27" t="s">
        <v>375</v>
      </c>
      <c r="T121" s="23"/>
      <c r="U121" s="31" t="s">
        <v>588</v>
      </c>
      <c r="V121" s="23"/>
      <c r="W121" s="23"/>
      <c r="X121" s="23"/>
      <c r="Y121" s="23"/>
      <c r="Z121" s="23"/>
    </row>
    <row r="122" spans="1:26" x14ac:dyDescent="0.25">
      <c r="A122" s="51"/>
      <c r="B122" s="51"/>
      <c r="C122" s="51"/>
      <c r="D122" s="51"/>
      <c r="E122" s="51"/>
      <c r="F122" s="51"/>
      <c r="G122" s="51"/>
      <c r="H122" s="51"/>
      <c r="I122" s="51"/>
      <c r="J122" s="51"/>
      <c r="K122" s="51"/>
      <c r="L122" s="51"/>
      <c r="M122" s="51"/>
      <c r="O122" s="23"/>
      <c r="P122" s="24"/>
      <c r="Q122" s="24"/>
      <c r="R122" s="23"/>
      <c r="S122" s="23"/>
      <c r="T122" s="23"/>
      <c r="U122" s="23"/>
      <c r="V122" s="23"/>
      <c r="W122" s="23"/>
      <c r="X122" s="23"/>
      <c r="Y122" s="23"/>
      <c r="Z122" s="23"/>
    </row>
    <row r="123" spans="1:26" x14ac:dyDescent="0.25">
      <c r="A123" s="51"/>
      <c r="B123" s="51"/>
      <c r="C123" s="51"/>
      <c r="D123" s="51"/>
      <c r="E123" s="51"/>
      <c r="F123" s="51"/>
      <c r="G123" s="51"/>
      <c r="H123" s="51"/>
      <c r="I123" s="51"/>
      <c r="J123" s="51"/>
      <c r="K123" s="51"/>
      <c r="L123" s="51"/>
      <c r="M123" s="51"/>
      <c r="O123" s="23"/>
      <c r="P123" s="24" t="s">
        <v>378</v>
      </c>
      <c r="Q123" s="24"/>
      <c r="R123" s="43">
        <f>((R57-R121)/R121)</f>
        <v>1.2859368799150095E-2</v>
      </c>
      <c r="S123" s="23"/>
      <c r="T123" s="23"/>
      <c r="U123" s="23"/>
      <c r="V123" s="23"/>
      <c r="W123" s="23"/>
      <c r="X123" s="23"/>
      <c r="Y123" s="23"/>
      <c r="Z123" s="23"/>
    </row>
    <row r="124" spans="1:26" x14ac:dyDescent="0.25">
      <c r="A124" s="51"/>
      <c r="B124" s="51"/>
      <c r="C124" s="51"/>
      <c r="D124" s="51"/>
      <c r="E124" s="51"/>
      <c r="F124" s="51"/>
      <c r="G124" s="51"/>
      <c r="H124" s="51"/>
      <c r="I124" s="51"/>
      <c r="J124" s="51"/>
      <c r="K124" s="51"/>
      <c r="L124" s="51"/>
      <c r="M124" s="51"/>
      <c r="O124" s="23"/>
      <c r="P124" s="24"/>
      <c r="Q124" s="24"/>
      <c r="R124" s="23"/>
      <c r="S124" s="23"/>
      <c r="T124" s="23"/>
      <c r="U124" s="23"/>
      <c r="V124" s="23"/>
      <c r="W124" s="23"/>
      <c r="X124" s="23"/>
      <c r="Y124" s="23"/>
      <c r="Z124" s="23"/>
    </row>
    <row r="125" spans="1:26" x14ac:dyDescent="0.25">
      <c r="O125" s="44"/>
      <c r="P125" s="29"/>
      <c r="Q125" s="29"/>
      <c r="R125" s="44"/>
      <c r="S125" s="44"/>
      <c r="T125" s="44"/>
      <c r="U125" s="44"/>
      <c r="V125" s="44"/>
      <c r="W125" s="44"/>
      <c r="X125" s="44"/>
      <c r="Y125" s="44"/>
      <c r="Z125" s="44"/>
    </row>
    <row r="126" spans="1:26" x14ac:dyDescent="0.25">
      <c r="O126" s="5"/>
      <c r="P126" s="5"/>
      <c r="Q126" s="5"/>
      <c r="R126" s="5"/>
      <c r="S126" s="5"/>
      <c r="T126" s="5"/>
      <c r="U126" s="5"/>
      <c r="V126" s="5"/>
      <c r="W126" s="5"/>
      <c r="X126" s="5"/>
      <c r="Y126" s="5"/>
      <c r="Z126" s="5"/>
    </row>
    <row r="127" spans="1:26" x14ac:dyDescent="0.25">
      <c r="A127" s="45" t="s">
        <v>195</v>
      </c>
      <c r="O127" s="5"/>
      <c r="P127" s="5"/>
      <c r="Q127" s="5"/>
      <c r="R127" s="5"/>
      <c r="S127" s="5"/>
      <c r="T127" s="5"/>
      <c r="U127" s="5"/>
      <c r="V127" s="5"/>
      <c r="W127" s="5"/>
      <c r="X127" s="5"/>
      <c r="Y127" s="5"/>
      <c r="Z127" s="5"/>
    </row>
    <row r="128" spans="1:26" x14ac:dyDescent="0.25">
      <c r="A128" s="45" t="s">
        <v>606</v>
      </c>
      <c r="O128" s="5"/>
      <c r="P128" s="5"/>
      <c r="Q128" s="5"/>
      <c r="R128" s="5"/>
      <c r="S128" s="5"/>
      <c r="T128" s="5"/>
      <c r="U128" s="5"/>
      <c r="V128" s="5"/>
      <c r="W128" s="5"/>
      <c r="X128" s="46"/>
      <c r="Y128" s="5"/>
      <c r="Z128" s="5"/>
    </row>
    <row r="129" spans="1:26" x14ac:dyDescent="0.25">
      <c r="A129" s="45" t="s">
        <v>607</v>
      </c>
      <c r="O129" s="5"/>
      <c r="P129" s="5"/>
      <c r="Q129" s="5"/>
      <c r="R129" s="5"/>
      <c r="S129" s="5"/>
      <c r="T129" s="5"/>
      <c r="U129" s="5"/>
      <c r="V129" s="47"/>
      <c r="W129" s="5"/>
      <c r="X129" s="5"/>
      <c r="Y129" s="5"/>
      <c r="Z129" s="5"/>
    </row>
    <row r="130" spans="1:26" x14ac:dyDescent="0.25">
      <c r="A130" s="45" t="s">
        <v>608</v>
      </c>
      <c r="O130" s="5"/>
      <c r="P130" s="5"/>
      <c r="Q130" s="5"/>
      <c r="R130" s="5"/>
      <c r="S130" s="5"/>
      <c r="T130" s="5"/>
      <c r="U130" s="5"/>
      <c r="V130" s="5"/>
      <c r="W130" s="5"/>
      <c r="X130" s="5"/>
      <c r="Y130" s="5"/>
      <c r="Z130" s="5"/>
    </row>
    <row r="131" spans="1:26" x14ac:dyDescent="0.25">
      <c r="A131" s="48" t="s">
        <v>609</v>
      </c>
      <c r="O131" s="5"/>
      <c r="P131" s="5"/>
      <c r="Q131" s="5"/>
      <c r="R131" s="5"/>
      <c r="S131" s="5"/>
      <c r="T131" s="5"/>
      <c r="U131" s="5"/>
      <c r="V131" s="146"/>
      <c r="W131" s="146"/>
      <c r="X131" s="146"/>
      <c r="Y131" s="146"/>
      <c r="Z131" s="146"/>
    </row>
    <row r="132" spans="1:26" x14ac:dyDescent="0.25">
      <c r="O132" s="5"/>
      <c r="P132" s="5"/>
      <c r="Q132" s="5"/>
      <c r="R132" s="5"/>
      <c r="S132" s="5"/>
      <c r="T132" s="5"/>
      <c r="U132" s="5"/>
      <c r="V132" s="146"/>
      <c r="W132" s="146"/>
      <c r="X132" s="146"/>
      <c r="Y132" s="146"/>
      <c r="Z132" s="146"/>
    </row>
    <row r="133" spans="1:26" x14ac:dyDescent="0.25">
      <c r="O133" s="5"/>
      <c r="P133" s="5"/>
      <c r="Q133" s="5"/>
      <c r="R133" s="5"/>
      <c r="S133" s="5"/>
      <c r="T133" s="5"/>
      <c r="U133" s="5"/>
      <c r="V133" s="146"/>
      <c r="W133" s="146"/>
      <c r="X133" s="146"/>
      <c r="Y133" s="146"/>
      <c r="Z133" s="146"/>
    </row>
    <row r="134" spans="1:26" x14ac:dyDescent="0.25">
      <c r="O134" s="5"/>
      <c r="P134" s="5"/>
      <c r="Q134" s="5"/>
      <c r="R134" s="5"/>
      <c r="S134" s="5"/>
      <c r="T134" s="5"/>
      <c r="U134" s="5"/>
      <c r="V134" s="49"/>
      <c r="W134" s="5"/>
      <c r="X134" s="5"/>
      <c r="Y134" s="5"/>
      <c r="Z134" s="5"/>
    </row>
    <row r="136" spans="1:26" x14ac:dyDescent="0.25">
      <c r="O136" s="40"/>
      <c r="P136" s="40"/>
      <c r="Q136" s="40"/>
      <c r="R136" s="40"/>
      <c r="S136" s="40"/>
      <c r="T136" s="40"/>
      <c r="U136" s="40"/>
      <c r="V136" s="40"/>
      <c r="W136" s="40"/>
      <c r="X136" s="40"/>
      <c r="Y136" s="40"/>
      <c r="Z136" s="40"/>
    </row>
    <row r="137" spans="1:26" x14ac:dyDescent="0.25">
      <c r="O137" s="40"/>
      <c r="P137" s="40"/>
      <c r="Q137" s="40"/>
      <c r="R137" s="40"/>
      <c r="S137" s="40"/>
      <c r="T137" s="40"/>
      <c r="U137" s="40"/>
      <c r="V137" s="40"/>
      <c r="W137" s="40"/>
      <c r="X137" s="40"/>
      <c r="Y137" s="40"/>
      <c r="Z137" s="40"/>
    </row>
    <row r="138" spans="1:26" x14ac:dyDescent="0.25">
      <c r="O138" s="40"/>
      <c r="P138" s="40"/>
      <c r="Q138" s="40"/>
      <c r="R138" s="40"/>
      <c r="S138" s="40"/>
      <c r="T138" s="40"/>
      <c r="U138" s="40"/>
      <c r="V138" s="40"/>
      <c r="W138" s="40"/>
      <c r="X138" s="40"/>
      <c r="Y138" s="40"/>
      <c r="Z138" s="40"/>
    </row>
    <row r="139" spans="1:26" x14ac:dyDescent="0.25">
      <c r="O139" s="40"/>
      <c r="P139" s="40"/>
      <c r="Q139" s="40"/>
      <c r="R139" s="40"/>
      <c r="S139" s="40"/>
      <c r="T139" s="40"/>
      <c r="U139" s="40"/>
      <c r="V139" s="40"/>
      <c r="W139" s="40"/>
      <c r="X139" s="40"/>
      <c r="Y139" s="40"/>
      <c r="Z139" s="40"/>
    </row>
    <row r="140" spans="1:26" x14ac:dyDescent="0.25">
      <c r="O140" s="40"/>
      <c r="P140" s="40"/>
      <c r="Q140" s="40"/>
      <c r="R140" s="40"/>
      <c r="S140" s="40"/>
      <c r="T140" s="40"/>
      <c r="U140" s="40"/>
      <c r="V140" s="40"/>
      <c r="W140" s="40"/>
      <c r="X140" s="40"/>
      <c r="Y140" s="40"/>
      <c r="Z140" s="40"/>
    </row>
  </sheetData>
  <sheetProtection password="E156" sheet="1" objects="1" scenarios="1"/>
  <mergeCells count="26">
    <mergeCell ref="V132:Z132"/>
    <mergeCell ref="H80:M80"/>
    <mergeCell ref="O5:Z5"/>
    <mergeCell ref="V131:Z131"/>
    <mergeCell ref="V133:Z133"/>
    <mergeCell ref="H72:M72"/>
    <mergeCell ref="H79:M79"/>
    <mergeCell ref="H78:M78"/>
    <mergeCell ref="A56:A61"/>
    <mergeCell ref="A5:M5"/>
    <mergeCell ref="C8:D8"/>
    <mergeCell ref="E8:F8"/>
    <mergeCell ref="H22:L22"/>
    <mergeCell ref="C10:D10"/>
    <mergeCell ref="E10:F10"/>
    <mergeCell ref="C9:D9"/>
    <mergeCell ref="E9:F9"/>
    <mergeCell ref="H52:L52"/>
    <mergeCell ref="H35:L35"/>
    <mergeCell ref="H56:M56"/>
    <mergeCell ref="AJ5:AM5"/>
    <mergeCell ref="AJ6:AK6"/>
    <mergeCell ref="AL6:AM6"/>
    <mergeCell ref="AF5:AI5"/>
    <mergeCell ref="AF6:AG6"/>
    <mergeCell ref="AH6:AI6"/>
  </mergeCells>
  <phoneticPr fontId="0" type="noConversion"/>
  <dataValidations count="1">
    <dataValidation type="list" allowBlank="1" showInputMessage="1" showErrorMessage="1" sqref="R19 R30">
      <formula1>$AC$21:$AC$24</formula1>
    </dataValidation>
  </dataValidations>
  <printOptions horizontalCentered="1"/>
  <pageMargins left="0.7" right="0.7" top="0.75" bottom="0.75" header="0.3" footer="0.3"/>
  <pageSetup paperSize="199" scale="37" orientation="landscape" r:id="rId1"/>
  <headerFooter>
    <oddHeader>&amp;CCALCULATION SPREADSHEET FOR GPSA ENGINEERING DATA BOOK 13&amp;Xth&amp;X ED.
EXAMPLE 9-1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118"/>
  <sheetViews>
    <sheetView zoomScale="85" zoomScaleNormal="85" workbookViewId="0">
      <selection activeCell="B11" sqref="B11"/>
    </sheetView>
  </sheetViews>
  <sheetFormatPr defaultRowHeight="15" x14ac:dyDescent="0.25"/>
  <cols>
    <col min="1" max="1" width="143.28515625" style="2" customWidth="1"/>
    <col min="2" max="3" width="9.140625" style="63"/>
    <col min="4" max="6" width="9.140625" style="2"/>
    <col min="7" max="7" width="111.5703125" style="2" customWidth="1"/>
    <col min="8" max="8" width="9.42578125" style="2" customWidth="1"/>
    <col min="9" max="9" width="2.42578125" style="2" bestFit="1" customWidth="1"/>
    <col min="10" max="10" width="9.42578125" style="63" bestFit="1" customWidth="1"/>
    <col min="11" max="11" width="13.7109375" style="63" bestFit="1" customWidth="1"/>
    <col min="12" max="15" width="9.140625" style="2"/>
    <col min="16" max="16384" width="9.140625" style="20"/>
  </cols>
  <sheetData>
    <row r="1" spans="1:15" x14ac:dyDescent="0.25">
      <c r="A1" s="19" t="s">
        <v>599</v>
      </c>
    </row>
    <row r="5" spans="1:15" x14ac:dyDescent="0.25">
      <c r="A5" s="50" t="s">
        <v>75</v>
      </c>
      <c r="B5" s="86"/>
      <c r="C5" s="86"/>
      <c r="D5" s="51"/>
      <c r="E5" s="51"/>
      <c r="G5" s="64" t="s">
        <v>178</v>
      </c>
      <c r="H5" s="64"/>
      <c r="I5" s="64"/>
      <c r="J5" s="1"/>
      <c r="K5" s="1"/>
      <c r="L5" s="65"/>
      <c r="M5" s="65"/>
    </row>
    <row r="6" spans="1:15" s="69" customFormat="1" x14ac:dyDescent="0.25">
      <c r="A6" s="87" t="s">
        <v>76</v>
      </c>
      <c r="B6" s="88"/>
      <c r="C6" s="88"/>
      <c r="D6" s="87"/>
      <c r="E6" s="87"/>
      <c r="F6" s="66"/>
      <c r="G6" s="67"/>
      <c r="H6" s="67"/>
      <c r="I6" s="67"/>
      <c r="J6" s="68"/>
      <c r="K6" s="68"/>
      <c r="L6" s="67"/>
      <c r="M6" s="67"/>
      <c r="N6" s="66"/>
      <c r="O6" s="66"/>
    </row>
    <row r="7" spans="1:15" x14ac:dyDescent="0.25">
      <c r="A7" s="50" t="s">
        <v>80</v>
      </c>
      <c r="B7" s="86"/>
      <c r="C7" s="86"/>
      <c r="D7" s="51"/>
      <c r="E7" s="51"/>
      <c r="G7" s="67"/>
      <c r="H7" s="67"/>
      <c r="I7" s="67"/>
      <c r="J7" s="68"/>
      <c r="K7" s="68"/>
      <c r="L7" s="67"/>
      <c r="M7" s="67"/>
    </row>
    <row r="8" spans="1:15" ht="16.5" x14ac:dyDescent="0.3">
      <c r="A8" s="51" t="s">
        <v>209</v>
      </c>
      <c r="B8" s="86">
        <v>180</v>
      </c>
      <c r="C8" s="86">
        <v>108</v>
      </c>
      <c r="D8" s="51" t="s">
        <v>28</v>
      </c>
      <c r="E8" s="51"/>
      <c r="G8" s="67" t="s">
        <v>379</v>
      </c>
      <c r="H8" s="67"/>
      <c r="I8" s="67"/>
      <c r="J8" s="68"/>
      <c r="K8" s="68"/>
      <c r="L8" s="67"/>
      <c r="M8" s="67"/>
    </row>
    <row r="9" spans="1:15" ht="16.5" x14ac:dyDescent="0.3">
      <c r="A9" s="51" t="s">
        <v>210</v>
      </c>
      <c r="B9" s="86">
        <v>69.900000000000006</v>
      </c>
      <c r="C9" s="86"/>
      <c r="D9" s="51" t="s">
        <v>57</v>
      </c>
      <c r="E9" s="51"/>
      <c r="G9" s="67"/>
      <c r="H9" s="67"/>
      <c r="I9" s="67"/>
      <c r="J9" s="68"/>
      <c r="K9" s="68"/>
      <c r="L9" s="67"/>
      <c r="M9" s="67"/>
    </row>
    <row r="10" spans="1:15" ht="16.5" x14ac:dyDescent="0.3">
      <c r="A10" s="51" t="s">
        <v>211</v>
      </c>
      <c r="B10" s="86">
        <v>111.1</v>
      </c>
      <c r="C10" s="86"/>
      <c r="D10" s="51" t="s">
        <v>57</v>
      </c>
      <c r="E10" s="51"/>
      <c r="G10" s="70" t="s">
        <v>80</v>
      </c>
      <c r="H10" s="64"/>
      <c r="I10" s="64"/>
      <c r="J10" s="1"/>
      <c r="K10" s="1"/>
      <c r="L10" s="65"/>
      <c r="M10" s="65"/>
    </row>
    <row r="11" spans="1:15" ht="16.5" x14ac:dyDescent="0.3">
      <c r="A11" s="51" t="s">
        <v>83</v>
      </c>
      <c r="B11" s="86">
        <v>9.06</v>
      </c>
      <c r="C11" s="86"/>
      <c r="D11" s="51" t="s">
        <v>84</v>
      </c>
      <c r="E11" s="51"/>
      <c r="G11" s="65" t="s">
        <v>381</v>
      </c>
      <c r="H11" s="65" t="s">
        <v>220</v>
      </c>
      <c r="I11" s="65" t="s">
        <v>242</v>
      </c>
      <c r="J11" s="1">
        <v>180</v>
      </c>
      <c r="K11" s="1" t="s">
        <v>382</v>
      </c>
      <c r="L11" s="65"/>
      <c r="M11" s="65"/>
    </row>
    <row r="12" spans="1:15" ht="16.5" x14ac:dyDescent="0.3">
      <c r="A12" s="50" t="s">
        <v>79</v>
      </c>
      <c r="B12" s="86"/>
      <c r="C12" s="86"/>
      <c r="D12" s="51"/>
      <c r="E12" s="51"/>
      <c r="G12" s="65" t="s">
        <v>380</v>
      </c>
      <c r="H12" s="65" t="s">
        <v>388</v>
      </c>
      <c r="I12" s="65" t="s">
        <v>242</v>
      </c>
      <c r="J12" s="1">
        <v>108</v>
      </c>
      <c r="K12" s="1" t="s">
        <v>382</v>
      </c>
      <c r="L12" s="65"/>
      <c r="M12" s="65"/>
    </row>
    <row r="13" spans="1:15" ht="18.75" x14ac:dyDescent="0.3">
      <c r="A13" s="51" t="s">
        <v>77</v>
      </c>
      <c r="B13" s="86">
        <v>108</v>
      </c>
      <c r="C13" s="86">
        <v>108</v>
      </c>
      <c r="D13" s="51" t="s">
        <v>28</v>
      </c>
      <c r="E13" s="51"/>
      <c r="G13" s="70" t="s">
        <v>386</v>
      </c>
      <c r="H13" s="65" t="s">
        <v>212</v>
      </c>
      <c r="I13" s="65" t="s">
        <v>242</v>
      </c>
      <c r="J13" s="1">
        <v>69.900000000000006</v>
      </c>
      <c r="K13" s="65" t="s">
        <v>383</v>
      </c>
      <c r="L13" s="65"/>
      <c r="M13" s="65"/>
    </row>
    <row r="14" spans="1:15" ht="18.75" x14ac:dyDescent="0.3">
      <c r="A14" s="51" t="s">
        <v>212</v>
      </c>
      <c r="B14" s="86">
        <v>140</v>
      </c>
      <c r="C14" s="86"/>
      <c r="D14" s="51" t="s">
        <v>57</v>
      </c>
      <c r="E14" s="51"/>
      <c r="G14" s="65" t="s">
        <v>387</v>
      </c>
      <c r="H14" s="65" t="s">
        <v>385</v>
      </c>
      <c r="I14" s="65" t="s">
        <v>242</v>
      </c>
      <c r="J14" s="1">
        <v>111.1</v>
      </c>
      <c r="K14" s="65" t="s">
        <v>383</v>
      </c>
      <c r="L14" s="65"/>
      <c r="M14" s="65"/>
    </row>
    <row r="15" spans="1:15" ht="16.5" x14ac:dyDescent="0.3">
      <c r="A15" s="51" t="s">
        <v>83</v>
      </c>
      <c r="B15" s="86">
        <v>30.29</v>
      </c>
      <c r="C15" s="86"/>
      <c r="D15" s="51" t="s">
        <v>84</v>
      </c>
      <c r="E15" s="51"/>
      <c r="G15" s="65" t="s">
        <v>83</v>
      </c>
      <c r="H15" s="65" t="s">
        <v>426</v>
      </c>
      <c r="I15" s="65" t="s">
        <v>242</v>
      </c>
      <c r="J15" s="1">
        <v>9.06</v>
      </c>
      <c r="K15" s="1" t="s">
        <v>384</v>
      </c>
      <c r="L15" s="65"/>
      <c r="M15" s="65"/>
    </row>
    <row r="16" spans="1:15" x14ac:dyDescent="0.25">
      <c r="A16" s="50" t="s">
        <v>78</v>
      </c>
      <c r="B16" s="86"/>
      <c r="C16" s="86"/>
      <c r="D16" s="51"/>
      <c r="E16" s="51"/>
      <c r="G16" s="65"/>
      <c r="H16" s="65"/>
      <c r="I16" s="65"/>
      <c r="J16" s="1"/>
      <c r="K16" s="1"/>
      <c r="L16" s="65"/>
      <c r="M16" s="65"/>
    </row>
    <row r="17" spans="1:15" x14ac:dyDescent="0.25">
      <c r="A17" s="51" t="s">
        <v>77</v>
      </c>
      <c r="B17" s="86">
        <v>108</v>
      </c>
      <c r="C17" s="86">
        <v>95</v>
      </c>
      <c r="D17" s="51" t="s">
        <v>28</v>
      </c>
      <c r="E17" s="51"/>
      <c r="G17" s="70" t="s">
        <v>79</v>
      </c>
      <c r="H17" s="64"/>
      <c r="I17" s="64"/>
      <c r="J17" s="1"/>
      <c r="K17" s="1"/>
      <c r="L17" s="65"/>
      <c r="M17" s="65"/>
    </row>
    <row r="18" spans="1:15" ht="16.5" x14ac:dyDescent="0.3">
      <c r="A18" s="51" t="s">
        <v>212</v>
      </c>
      <c r="B18" s="86">
        <v>114.5</v>
      </c>
      <c r="C18" s="86"/>
      <c r="D18" s="51" t="s">
        <v>57</v>
      </c>
      <c r="E18" s="51"/>
      <c r="G18" s="65" t="s">
        <v>389</v>
      </c>
      <c r="H18" s="65" t="s">
        <v>390</v>
      </c>
      <c r="I18" s="65" t="s">
        <v>242</v>
      </c>
      <c r="J18" s="1">
        <v>108</v>
      </c>
      <c r="K18" s="1" t="s">
        <v>382</v>
      </c>
      <c r="L18" s="65"/>
      <c r="M18" s="65"/>
    </row>
    <row r="19" spans="1:15" ht="18.75" x14ac:dyDescent="0.3">
      <c r="A19" s="51" t="s">
        <v>83</v>
      </c>
      <c r="B19" s="86">
        <v>2.13</v>
      </c>
      <c r="C19" s="86"/>
      <c r="D19" s="51" t="s">
        <v>84</v>
      </c>
      <c r="E19" s="51"/>
      <c r="G19" s="70" t="s">
        <v>392</v>
      </c>
      <c r="H19" s="65" t="s">
        <v>391</v>
      </c>
      <c r="I19" s="65" t="s">
        <v>242</v>
      </c>
      <c r="J19" s="1">
        <v>140</v>
      </c>
      <c r="K19" s="65" t="s">
        <v>383</v>
      </c>
      <c r="L19" s="65"/>
      <c r="M19" s="65"/>
    </row>
    <row r="20" spans="1:15" ht="16.5" x14ac:dyDescent="0.3">
      <c r="A20" s="51"/>
      <c r="B20" s="86"/>
      <c r="C20" s="86"/>
      <c r="D20" s="51"/>
      <c r="E20" s="51"/>
      <c r="G20" s="65" t="s">
        <v>83</v>
      </c>
      <c r="H20" s="65" t="s">
        <v>393</v>
      </c>
      <c r="I20" s="65" t="s">
        <v>242</v>
      </c>
      <c r="J20" s="1">
        <v>30.3</v>
      </c>
      <c r="K20" s="1" t="s">
        <v>384</v>
      </c>
      <c r="L20" s="65"/>
      <c r="M20" s="65"/>
    </row>
    <row r="21" spans="1:15" x14ac:dyDescent="0.25">
      <c r="A21" s="51" t="s">
        <v>213</v>
      </c>
      <c r="B21" s="86">
        <v>82</v>
      </c>
      <c r="C21" s="86">
        <v>94</v>
      </c>
      <c r="D21" s="51" t="s">
        <v>28</v>
      </c>
      <c r="E21" s="51"/>
      <c r="G21" s="65"/>
      <c r="H21" s="65"/>
      <c r="I21" s="65"/>
      <c r="J21" s="1"/>
      <c r="K21" s="1"/>
      <c r="L21" s="65"/>
      <c r="M21" s="65"/>
    </row>
    <row r="22" spans="1:15" s="34" customFormat="1" ht="36.75" customHeight="1" x14ac:dyDescent="0.25">
      <c r="A22" s="89" t="s">
        <v>214</v>
      </c>
      <c r="B22" s="90"/>
      <c r="C22" s="90"/>
      <c r="D22" s="56"/>
      <c r="E22" s="56"/>
      <c r="F22" s="33"/>
      <c r="G22" s="70" t="s">
        <v>78</v>
      </c>
      <c r="H22" s="64"/>
      <c r="I22" s="64"/>
      <c r="J22" s="1"/>
      <c r="K22" s="1"/>
      <c r="L22" s="65"/>
      <c r="M22" s="65"/>
      <c r="N22" s="33"/>
      <c r="O22" s="33"/>
    </row>
    <row r="23" spans="1:15" s="34" customFormat="1" ht="24" customHeight="1" x14ac:dyDescent="0.3">
      <c r="A23" s="56" t="s">
        <v>215</v>
      </c>
      <c r="B23" s="90"/>
      <c r="C23" s="90"/>
      <c r="D23" s="56"/>
      <c r="E23" s="56"/>
      <c r="F23" s="33"/>
      <c r="G23" s="65" t="s">
        <v>394</v>
      </c>
      <c r="H23" s="65" t="s">
        <v>390</v>
      </c>
      <c r="I23" s="65" t="s">
        <v>242</v>
      </c>
      <c r="J23" s="1">
        <v>108</v>
      </c>
      <c r="K23" s="1" t="s">
        <v>382</v>
      </c>
      <c r="L23" s="65"/>
      <c r="M23" s="65"/>
      <c r="N23" s="33"/>
      <c r="O23" s="33"/>
    </row>
    <row r="24" spans="1:15" ht="16.5" x14ac:dyDescent="0.3">
      <c r="A24" s="51" t="s">
        <v>124</v>
      </c>
      <c r="B24" s="86"/>
      <c r="C24" s="86"/>
      <c r="D24" s="51"/>
      <c r="E24" s="51"/>
      <c r="G24" s="65" t="s">
        <v>380</v>
      </c>
      <c r="H24" s="65" t="s">
        <v>395</v>
      </c>
      <c r="I24" s="65" t="s">
        <v>242</v>
      </c>
      <c r="J24" s="1">
        <v>95</v>
      </c>
      <c r="K24" s="1" t="s">
        <v>382</v>
      </c>
      <c r="L24" s="65"/>
      <c r="M24" s="65"/>
    </row>
    <row r="25" spans="1:15" ht="18.75" x14ac:dyDescent="0.3">
      <c r="A25" s="51" t="s">
        <v>81</v>
      </c>
      <c r="B25" s="86"/>
      <c r="C25" s="86"/>
      <c r="D25" s="51"/>
      <c r="E25" s="51"/>
      <c r="G25" s="70" t="s">
        <v>397</v>
      </c>
      <c r="H25" s="65" t="s">
        <v>396</v>
      </c>
      <c r="I25" s="65" t="s">
        <v>242</v>
      </c>
      <c r="J25" s="1">
        <v>114.5</v>
      </c>
      <c r="K25" s="65" t="s">
        <v>383</v>
      </c>
      <c r="L25" s="65"/>
      <c r="M25" s="65"/>
    </row>
    <row r="26" spans="1:15" ht="16.5" x14ac:dyDescent="0.3">
      <c r="A26" s="51" t="s">
        <v>216</v>
      </c>
      <c r="B26" s="91">
        <f>B8-((B9*(B8-C21)/B10))</f>
        <v>125.89198919891989</v>
      </c>
      <c r="C26" s="86"/>
      <c r="D26" s="51" t="s">
        <v>28</v>
      </c>
      <c r="E26" s="51"/>
      <c r="G26" s="65" t="s">
        <v>83</v>
      </c>
      <c r="H26" s="65" t="s">
        <v>398</v>
      </c>
      <c r="I26" s="65" t="s">
        <v>242</v>
      </c>
      <c r="J26" s="1">
        <v>2.12</v>
      </c>
      <c r="K26" s="1" t="s">
        <v>384</v>
      </c>
      <c r="L26" s="65"/>
      <c r="M26" s="65"/>
    </row>
    <row r="27" spans="1:15" x14ac:dyDescent="0.25">
      <c r="A27" s="51"/>
      <c r="B27" s="86"/>
      <c r="C27" s="86"/>
      <c r="D27" s="51"/>
      <c r="E27" s="51"/>
      <c r="G27" s="65"/>
      <c r="H27" s="65"/>
      <c r="I27" s="65"/>
      <c r="J27" s="1"/>
      <c r="K27" s="1"/>
      <c r="L27" s="65"/>
      <c r="M27" s="65"/>
    </row>
    <row r="28" spans="1:15" x14ac:dyDescent="0.25">
      <c r="A28" s="140" t="s">
        <v>217</v>
      </c>
      <c r="B28" s="140"/>
      <c r="C28" s="140"/>
      <c r="D28" s="51"/>
      <c r="E28" s="51"/>
      <c r="G28" s="65"/>
      <c r="H28" s="65"/>
      <c r="I28" s="65"/>
      <c r="J28" s="1"/>
      <c r="K28" s="1"/>
      <c r="L28" s="65"/>
      <c r="M28" s="65"/>
    </row>
    <row r="29" spans="1:15" s="34" customFormat="1" ht="16.5" x14ac:dyDescent="0.3">
      <c r="A29" s="89" t="s">
        <v>218</v>
      </c>
      <c r="B29" s="92">
        <f>B31-((B9*(B31-B37)/B10))</f>
        <v>107.38618309757688</v>
      </c>
      <c r="C29" s="90"/>
      <c r="D29" s="56" t="s">
        <v>219</v>
      </c>
      <c r="E29" s="56"/>
      <c r="F29" s="33"/>
      <c r="G29" s="65" t="s">
        <v>401</v>
      </c>
      <c r="H29" s="65" t="s">
        <v>403</v>
      </c>
      <c r="I29" s="65" t="s">
        <v>242</v>
      </c>
      <c r="J29" s="1">
        <v>82</v>
      </c>
      <c r="K29" s="1" t="s">
        <v>382</v>
      </c>
      <c r="L29" s="65"/>
      <c r="M29" s="65"/>
      <c r="N29" s="33"/>
      <c r="O29" s="33"/>
    </row>
    <row r="30" spans="1:15" ht="16.5" x14ac:dyDescent="0.3">
      <c r="A30" s="51"/>
      <c r="B30" s="86"/>
      <c r="C30" s="86"/>
      <c r="D30" s="51"/>
      <c r="E30" s="51"/>
      <c r="G30" s="65" t="s">
        <v>402</v>
      </c>
      <c r="H30" s="65" t="s">
        <v>400</v>
      </c>
      <c r="I30" s="65" t="s">
        <v>242</v>
      </c>
      <c r="J30" s="1">
        <v>94</v>
      </c>
      <c r="K30" s="1" t="s">
        <v>382</v>
      </c>
      <c r="L30" s="65"/>
      <c r="M30" s="65"/>
    </row>
    <row r="31" spans="1:15" ht="16.5" x14ac:dyDescent="0.3">
      <c r="A31" s="51" t="s">
        <v>220</v>
      </c>
      <c r="B31" s="86">
        <v>133</v>
      </c>
      <c r="C31" s="86"/>
      <c r="D31" s="51" t="s">
        <v>28</v>
      </c>
      <c r="E31" s="51"/>
      <c r="G31" s="65"/>
      <c r="H31" s="65"/>
      <c r="I31" s="65"/>
      <c r="J31" s="1"/>
      <c r="K31" s="1"/>
      <c r="L31" s="65"/>
      <c r="M31" s="65"/>
    </row>
    <row r="32" spans="1:15" x14ac:dyDescent="0.25">
      <c r="A32" s="51"/>
      <c r="B32" s="86"/>
      <c r="C32" s="86"/>
      <c r="D32" s="51"/>
      <c r="E32" s="51"/>
      <c r="G32" s="65"/>
      <c r="H32" s="65"/>
      <c r="I32" s="65"/>
      <c r="J32" s="1"/>
      <c r="K32" s="1"/>
      <c r="L32" s="65"/>
      <c r="M32" s="65"/>
    </row>
    <row r="33" spans="1:13" x14ac:dyDescent="0.25">
      <c r="A33" s="51" t="s">
        <v>82</v>
      </c>
      <c r="B33" s="86"/>
      <c r="C33" s="86"/>
      <c r="D33" s="51"/>
      <c r="E33" s="51"/>
      <c r="G33" s="67" t="s">
        <v>427</v>
      </c>
      <c r="H33" s="65"/>
      <c r="I33" s="65"/>
      <c r="J33" s="1"/>
      <c r="K33" s="1"/>
      <c r="L33" s="65"/>
      <c r="M33" s="65"/>
    </row>
    <row r="34" spans="1:13" ht="16.5" x14ac:dyDescent="0.3">
      <c r="A34" s="51" t="s">
        <v>221</v>
      </c>
      <c r="B34" s="86">
        <f>B11*(B8-133)/(B8-C8)</f>
        <v>5.9141666666666675</v>
      </c>
      <c r="C34" s="86"/>
      <c r="D34" s="51" t="s">
        <v>84</v>
      </c>
      <c r="E34" s="51"/>
      <c r="G34" s="65"/>
      <c r="H34" s="65"/>
      <c r="I34" s="65"/>
      <c r="J34" s="1"/>
      <c r="K34" s="1"/>
      <c r="L34" s="65"/>
      <c r="M34" s="65"/>
    </row>
    <row r="35" spans="1:13" ht="16.5" x14ac:dyDescent="0.3">
      <c r="A35" s="51"/>
      <c r="B35" s="86"/>
      <c r="C35" s="86"/>
      <c r="D35" s="51"/>
      <c r="E35" s="51"/>
      <c r="G35" s="65" t="s">
        <v>425</v>
      </c>
      <c r="H35" s="65" t="s">
        <v>399</v>
      </c>
      <c r="I35" s="71" t="s">
        <v>242</v>
      </c>
      <c r="J35" s="3">
        <f>J11-J13*(J11-J30)/J14</f>
        <v>125.89198919891989</v>
      </c>
      <c r="K35" s="1" t="s">
        <v>382</v>
      </c>
      <c r="L35" s="65"/>
      <c r="M35" s="65"/>
    </row>
    <row r="36" spans="1:13" ht="16.5" x14ac:dyDescent="0.3">
      <c r="A36" s="51" t="s">
        <v>222</v>
      </c>
      <c r="B36" s="86"/>
      <c r="C36" s="86"/>
      <c r="D36" s="51"/>
      <c r="E36" s="51"/>
      <c r="G36" s="65"/>
      <c r="H36" s="65"/>
      <c r="I36" s="65"/>
      <c r="J36" s="1"/>
      <c r="K36" s="1"/>
      <c r="L36" s="65"/>
      <c r="M36" s="65"/>
    </row>
    <row r="37" spans="1:13" ht="16.5" x14ac:dyDescent="0.3">
      <c r="A37" s="51" t="s">
        <v>85</v>
      </c>
      <c r="B37" s="86">
        <f>C21-((B34/(B11+B15+B19)*(C21-B21)))</f>
        <v>92.289054966248798</v>
      </c>
      <c r="C37" s="86"/>
      <c r="D37" s="51" t="s">
        <v>28</v>
      </c>
      <c r="E37" s="51"/>
      <c r="G37" s="65"/>
      <c r="H37" s="72" t="s">
        <v>404</v>
      </c>
      <c r="I37" s="65"/>
      <c r="J37" s="1" t="str">
        <f>IF(J35&lt;J18,"Yes", "No")</f>
        <v>No</v>
      </c>
      <c r="K37" s="1"/>
      <c r="L37" s="65"/>
      <c r="M37" s="65"/>
    </row>
    <row r="38" spans="1:13" ht="16.5" x14ac:dyDescent="0.25">
      <c r="A38" s="51"/>
      <c r="B38" s="86"/>
      <c r="C38" s="86"/>
      <c r="D38" s="51"/>
      <c r="E38" s="51"/>
      <c r="G38" s="71" t="s">
        <v>409</v>
      </c>
      <c r="H38" s="71" t="s">
        <v>405</v>
      </c>
      <c r="I38" s="71" t="s">
        <v>242</v>
      </c>
      <c r="J38" s="73">
        <v>133</v>
      </c>
      <c r="K38" s="1" t="s">
        <v>382</v>
      </c>
      <c r="L38" s="74"/>
      <c r="M38" s="74"/>
    </row>
    <row r="39" spans="1:13" ht="16.5" x14ac:dyDescent="0.25">
      <c r="A39" s="51" t="s">
        <v>86</v>
      </c>
      <c r="B39" s="86"/>
      <c r="C39" s="86"/>
      <c r="D39" s="51"/>
      <c r="E39" s="51"/>
      <c r="G39" s="71" t="s">
        <v>408</v>
      </c>
      <c r="H39" s="71" t="s">
        <v>416</v>
      </c>
      <c r="I39" s="71" t="s">
        <v>242</v>
      </c>
      <c r="J39" s="75">
        <f>J15*(J11-J38)/(J11-J12)</f>
        <v>5.9141666666666675</v>
      </c>
      <c r="K39" s="1" t="s">
        <v>384</v>
      </c>
      <c r="L39" s="74"/>
      <c r="M39" s="74"/>
    </row>
    <row r="40" spans="1:13" ht="16.5" x14ac:dyDescent="0.25">
      <c r="A40" s="51" t="s">
        <v>87</v>
      </c>
      <c r="B40" s="86"/>
      <c r="C40" s="86"/>
      <c r="D40" s="51"/>
      <c r="E40" s="51"/>
      <c r="G40" s="71" t="s">
        <v>410</v>
      </c>
      <c r="H40" s="71" t="s">
        <v>400</v>
      </c>
      <c r="I40" s="71" t="s">
        <v>242</v>
      </c>
      <c r="J40" s="76">
        <f>J30-((J39/(J15+J20+J26)*(J30-J29)))</f>
        <v>92.289054966248798</v>
      </c>
      <c r="K40" s="1" t="s">
        <v>382</v>
      </c>
      <c r="L40" s="74"/>
      <c r="M40" s="74"/>
    </row>
    <row r="41" spans="1:13" ht="16.5" x14ac:dyDescent="0.3">
      <c r="A41" s="51"/>
      <c r="B41" s="86"/>
      <c r="C41" s="86"/>
      <c r="D41" s="51"/>
      <c r="E41" s="51"/>
      <c r="G41" s="71" t="s">
        <v>406</v>
      </c>
      <c r="H41" s="65" t="s">
        <v>407</v>
      </c>
      <c r="I41" s="71" t="s">
        <v>242</v>
      </c>
      <c r="J41" s="73">
        <f>J18-0.5</f>
        <v>107.5</v>
      </c>
      <c r="K41" s="1" t="s">
        <v>382</v>
      </c>
      <c r="L41" s="74"/>
      <c r="M41" s="74"/>
    </row>
    <row r="42" spans="1:13" ht="16.5" x14ac:dyDescent="0.3">
      <c r="A42" s="51" t="s">
        <v>223</v>
      </c>
      <c r="B42" s="86"/>
      <c r="C42" s="86"/>
      <c r="D42" s="51"/>
      <c r="E42" s="51"/>
      <c r="G42" s="71" t="s">
        <v>411</v>
      </c>
      <c r="H42" s="65" t="s">
        <v>399</v>
      </c>
      <c r="I42" s="71" t="s">
        <v>242</v>
      </c>
      <c r="J42" s="76">
        <f>J38-J13*(J38-J40)/J14</f>
        <v>107.38618309757688</v>
      </c>
      <c r="K42" s="1" t="s">
        <v>382</v>
      </c>
      <c r="L42" s="74"/>
      <c r="M42" s="74"/>
    </row>
    <row r="43" spans="1:13" ht="16.5" x14ac:dyDescent="0.3">
      <c r="A43" s="51" t="s">
        <v>88</v>
      </c>
      <c r="B43" s="86"/>
      <c r="C43" s="86"/>
      <c r="D43" s="51"/>
      <c r="E43" s="51"/>
      <c r="G43" s="71" t="s">
        <v>412</v>
      </c>
      <c r="H43" s="72" t="s">
        <v>404</v>
      </c>
      <c r="I43" s="71" t="s">
        <v>242</v>
      </c>
      <c r="J43" s="73" t="str">
        <f>IF(J42&lt;J41,"Yes", "No")</f>
        <v>Yes</v>
      </c>
      <c r="K43" s="73"/>
      <c r="L43" s="74"/>
      <c r="M43" s="74"/>
    </row>
    <row r="44" spans="1:13" x14ac:dyDescent="0.25">
      <c r="A44" s="51" t="s">
        <v>89</v>
      </c>
      <c r="B44" s="86">
        <f>B34</f>
        <v>5.9141666666666675</v>
      </c>
      <c r="C44" s="86"/>
      <c r="D44" s="51" t="s">
        <v>84</v>
      </c>
      <c r="E44" s="51"/>
      <c r="G44" s="71"/>
      <c r="H44" s="71"/>
      <c r="I44" s="71"/>
      <c r="J44" s="73"/>
      <c r="K44" s="73"/>
      <c r="L44" s="74"/>
      <c r="M44" s="74"/>
    </row>
    <row r="45" spans="1:13" x14ac:dyDescent="0.25">
      <c r="A45" s="51" t="s">
        <v>90</v>
      </c>
      <c r="B45" s="86">
        <f>B15+B11-B34</f>
        <v>33.435833333333335</v>
      </c>
      <c r="C45" s="86"/>
      <c r="D45" s="51" t="s">
        <v>84</v>
      </c>
      <c r="E45" s="51"/>
      <c r="G45" s="71"/>
      <c r="H45" s="71"/>
      <c r="I45" s="71"/>
      <c r="J45" s="73"/>
      <c r="K45" s="73"/>
      <c r="L45" s="74"/>
      <c r="M45" s="74"/>
    </row>
    <row r="46" spans="1:13" ht="16.5" x14ac:dyDescent="0.25">
      <c r="A46" s="51" t="s">
        <v>91</v>
      </c>
      <c r="B46" s="86">
        <f>B19</f>
        <v>2.13</v>
      </c>
      <c r="C46" s="86"/>
      <c r="D46" s="51" t="s">
        <v>84</v>
      </c>
      <c r="E46" s="51"/>
      <c r="G46" s="71" t="s">
        <v>413</v>
      </c>
      <c r="H46" s="71" t="s">
        <v>416</v>
      </c>
      <c r="I46" s="71" t="s">
        <v>242</v>
      </c>
      <c r="J46" s="75">
        <f>J39</f>
        <v>5.9141666666666675</v>
      </c>
      <c r="K46" s="1" t="s">
        <v>384</v>
      </c>
      <c r="L46" s="74"/>
      <c r="M46" s="74"/>
    </row>
    <row r="47" spans="1:13" ht="16.5" x14ac:dyDescent="0.25">
      <c r="A47" s="51"/>
      <c r="B47" s="86"/>
      <c r="C47" s="86"/>
      <c r="D47" s="51"/>
      <c r="E47" s="51"/>
      <c r="G47" s="71" t="s">
        <v>93</v>
      </c>
      <c r="H47" s="71" t="s">
        <v>417</v>
      </c>
      <c r="I47" s="71" t="s">
        <v>242</v>
      </c>
      <c r="J47" s="76">
        <f>((J11-J30)-(J38-J40))/LN((J11-J30)/(J38-J40))</f>
        <v>60.558983184736093</v>
      </c>
      <c r="K47" s="1" t="s">
        <v>382</v>
      </c>
      <c r="L47" s="74"/>
      <c r="M47" s="74"/>
    </row>
    <row r="48" spans="1:13" ht="18" x14ac:dyDescent="0.25">
      <c r="A48" s="51" t="s">
        <v>224</v>
      </c>
      <c r="B48" s="86"/>
      <c r="C48" s="86"/>
      <c r="D48" s="51"/>
      <c r="E48" s="51"/>
      <c r="G48" s="71" t="s">
        <v>97</v>
      </c>
      <c r="H48" s="71" t="s">
        <v>418</v>
      </c>
      <c r="I48" s="71" t="s">
        <v>242</v>
      </c>
      <c r="J48" s="77">
        <f>J46*1000000/J13/J47</f>
        <v>1397.1331871650389</v>
      </c>
      <c r="K48" s="73" t="s">
        <v>423</v>
      </c>
      <c r="L48" s="74"/>
      <c r="M48" s="74"/>
    </row>
    <row r="49" spans="1:15" x14ac:dyDescent="0.25">
      <c r="A49" s="51" t="s">
        <v>92</v>
      </c>
      <c r="B49" s="86"/>
      <c r="C49" s="86"/>
      <c r="D49" s="51"/>
      <c r="E49" s="51"/>
      <c r="G49" s="71"/>
      <c r="H49" s="71"/>
      <c r="I49" s="71"/>
      <c r="J49" s="75"/>
      <c r="K49" s="1"/>
      <c r="L49" s="74"/>
      <c r="M49" s="74"/>
    </row>
    <row r="50" spans="1:15" ht="16.5" x14ac:dyDescent="0.3">
      <c r="A50" s="51" t="s">
        <v>93</v>
      </c>
      <c r="B50" s="86">
        <f>((B8-C21)-(B31-B37))/LN((B8-C21)/(B31-B37))</f>
        <v>60.558983184736093</v>
      </c>
      <c r="C50" s="86"/>
      <c r="D50" s="51" t="s">
        <v>28</v>
      </c>
      <c r="E50" s="51"/>
      <c r="G50" s="71" t="s">
        <v>414</v>
      </c>
      <c r="H50" s="65" t="s">
        <v>393</v>
      </c>
      <c r="I50" s="65" t="s">
        <v>242</v>
      </c>
      <c r="J50" s="75">
        <f>J20+J15-J46</f>
        <v>33.445833333333333</v>
      </c>
      <c r="K50" s="1" t="s">
        <v>384</v>
      </c>
      <c r="L50" s="74"/>
      <c r="M50" s="74"/>
    </row>
    <row r="51" spans="1:15" ht="16.5" x14ac:dyDescent="0.25">
      <c r="A51" s="51" t="s">
        <v>97</v>
      </c>
      <c r="B51" s="93">
        <f>B34*1000000/B9/B50</f>
        <v>1397.1331871650389</v>
      </c>
      <c r="C51" s="86"/>
      <c r="D51" s="51" t="s">
        <v>38</v>
      </c>
      <c r="E51" s="51"/>
      <c r="G51" s="71" t="s">
        <v>424</v>
      </c>
      <c r="H51" s="71" t="s">
        <v>400</v>
      </c>
      <c r="I51" s="71" t="s">
        <v>242</v>
      </c>
      <c r="J51" s="76">
        <f>J30-((J46+J50)/(J15+J20+J26))*(J30-J29)</f>
        <v>82.613307618129213</v>
      </c>
      <c r="K51" s="1"/>
      <c r="L51" s="74"/>
      <c r="M51" s="74"/>
    </row>
    <row r="52" spans="1:15" ht="16.5" x14ac:dyDescent="0.25">
      <c r="A52" s="51"/>
      <c r="B52" s="86"/>
      <c r="C52" s="86"/>
      <c r="D52" s="51"/>
      <c r="E52" s="51"/>
      <c r="G52" s="71" t="s">
        <v>94</v>
      </c>
      <c r="H52" s="71" t="s">
        <v>419</v>
      </c>
      <c r="I52" s="65" t="s">
        <v>242</v>
      </c>
      <c r="J52" s="76">
        <f>((J18-J40)-(J18-J51))/LN((J18-J40)/(J18-J51))</f>
        <v>20.163372512168543</v>
      </c>
      <c r="K52" s="1" t="s">
        <v>382</v>
      </c>
      <c r="L52" s="74"/>
      <c r="M52" s="74"/>
    </row>
    <row r="53" spans="1:15" ht="18" x14ac:dyDescent="0.25">
      <c r="A53" s="51" t="s">
        <v>95</v>
      </c>
      <c r="B53" s="86">
        <f>B15+B11-B34</f>
        <v>33.435833333333335</v>
      </c>
      <c r="C53" s="86"/>
      <c r="D53" s="51" t="s">
        <v>84</v>
      </c>
      <c r="E53" s="51"/>
      <c r="G53" s="71" t="s">
        <v>96</v>
      </c>
      <c r="H53" s="71" t="s">
        <v>420</v>
      </c>
      <c r="I53" s="65" t="s">
        <v>242</v>
      </c>
      <c r="J53" s="77">
        <f>J50*1000000/J19/J52</f>
        <v>11848.157314935024</v>
      </c>
      <c r="K53" s="73" t="s">
        <v>423</v>
      </c>
      <c r="L53" s="74"/>
      <c r="M53" s="74"/>
    </row>
    <row r="54" spans="1:15" ht="16.5" x14ac:dyDescent="0.3">
      <c r="A54" s="51" t="s">
        <v>225</v>
      </c>
      <c r="B54" s="86">
        <f>C21-((B34+B45)/(B11+B15+B19))*(C21-B21)</f>
        <v>82.6162005785921</v>
      </c>
      <c r="C54" s="86"/>
      <c r="D54" s="51" t="s">
        <v>28</v>
      </c>
      <c r="E54" s="51"/>
      <c r="G54" s="71"/>
      <c r="H54" s="65"/>
      <c r="I54" s="65"/>
      <c r="J54" s="75"/>
      <c r="K54" s="1"/>
      <c r="L54" s="74"/>
      <c r="M54" s="74"/>
    </row>
    <row r="55" spans="1:15" ht="16.5" x14ac:dyDescent="0.3">
      <c r="A55" s="51" t="s">
        <v>94</v>
      </c>
      <c r="B55" s="86">
        <f>((B13-B37)-(B13-B54))/LN((B13-B37)/(B13-B54))</f>
        <v>20.162132090726036</v>
      </c>
      <c r="C55" s="86"/>
      <c r="D55" s="51" t="s">
        <v>28</v>
      </c>
      <c r="E55" s="51"/>
      <c r="G55" s="71" t="s">
        <v>415</v>
      </c>
      <c r="H55" s="65" t="s">
        <v>398</v>
      </c>
      <c r="I55" s="65" t="s">
        <v>242</v>
      </c>
      <c r="J55" s="73">
        <f>J26</f>
        <v>2.12</v>
      </c>
      <c r="K55" s="1" t="s">
        <v>384</v>
      </c>
      <c r="L55" s="74"/>
      <c r="M55" s="74"/>
    </row>
    <row r="56" spans="1:15" ht="16.5" x14ac:dyDescent="0.25">
      <c r="A56" s="51" t="s">
        <v>96</v>
      </c>
      <c r="B56" s="93">
        <f>B53*1000000/B14/B55</f>
        <v>11845.343532008415</v>
      </c>
      <c r="C56" s="86"/>
      <c r="D56" s="51" t="s">
        <v>38</v>
      </c>
      <c r="E56" s="51"/>
      <c r="G56" s="71" t="s">
        <v>98</v>
      </c>
      <c r="H56" s="71" t="s">
        <v>421</v>
      </c>
      <c r="I56" s="71" t="s">
        <v>242</v>
      </c>
      <c r="J56" s="76">
        <f>((J23-J51)-(J24-J29))/LN((J23-J51)/(J24-J29))</f>
        <v>18.50760653866654</v>
      </c>
      <c r="K56" s="1" t="s">
        <v>382</v>
      </c>
      <c r="L56" s="74"/>
      <c r="M56" s="74"/>
    </row>
    <row r="57" spans="1:15" ht="18" x14ac:dyDescent="0.25">
      <c r="A57" s="51" t="s">
        <v>101</v>
      </c>
      <c r="B57" s="86"/>
      <c r="C57" s="86"/>
      <c r="D57" s="51"/>
      <c r="E57" s="51"/>
      <c r="G57" s="71" t="s">
        <v>99</v>
      </c>
      <c r="H57" s="71" t="s">
        <v>422</v>
      </c>
      <c r="I57" s="71" t="s">
        <v>242</v>
      </c>
      <c r="J57" s="77">
        <f>J55*1000000/J25/J56</f>
        <v>1000.4148188536525</v>
      </c>
      <c r="K57" s="73" t="s">
        <v>423</v>
      </c>
      <c r="L57" s="74"/>
      <c r="M57" s="74"/>
    </row>
    <row r="58" spans="1:15" x14ac:dyDescent="0.25">
      <c r="A58" s="51"/>
      <c r="B58" s="86"/>
      <c r="C58" s="86"/>
      <c r="D58" s="51"/>
      <c r="E58" s="51"/>
      <c r="G58" s="71"/>
      <c r="H58" s="71"/>
      <c r="I58" s="71"/>
      <c r="J58" s="73"/>
      <c r="K58" s="73"/>
      <c r="L58" s="74"/>
      <c r="M58" s="74"/>
    </row>
    <row r="59" spans="1:15" ht="18" x14ac:dyDescent="0.25">
      <c r="A59" s="51" t="s">
        <v>98</v>
      </c>
      <c r="B59" s="86">
        <f>((C8-B54)-(C17-B21))/LN((C8-B54)/(C17-B21))</f>
        <v>18.506435235319625</v>
      </c>
      <c r="C59" s="86"/>
      <c r="D59" s="51" t="s">
        <v>28</v>
      </c>
      <c r="E59" s="51"/>
      <c r="G59" s="71" t="s">
        <v>100</v>
      </c>
      <c r="H59" s="71" t="s">
        <v>262</v>
      </c>
      <c r="I59" s="71" t="s">
        <v>242</v>
      </c>
      <c r="J59" s="77">
        <f>J48+J53+J57</f>
        <v>14245.705320953715</v>
      </c>
      <c r="K59" s="73" t="s">
        <v>423</v>
      </c>
      <c r="L59" s="74"/>
      <c r="M59" s="74"/>
    </row>
    <row r="60" spans="1:15" x14ac:dyDescent="0.25">
      <c r="A60" s="51" t="s">
        <v>99</v>
      </c>
      <c r="B60" s="93">
        <f>B19*1000000/B18/B59</f>
        <v>1005.1973732808925</v>
      </c>
      <c r="C60" s="86"/>
      <c r="D60" s="51" t="s">
        <v>38</v>
      </c>
      <c r="E60" s="51"/>
      <c r="G60" s="71"/>
      <c r="H60" s="71"/>
      <c r="I60" s="71"/>
      <c r="J60" s="73"/>
      <c r="K60" s="73"/>
      <c r="L60" s="74"/>
      <c r="M60" s="74"/>
    </row>
    <row r="61" spans="1:15" x14ac:dyDescent="0.25">
      <c r="A61" s="51"/>
      <c r="B61" s="86"/>
      <c r="C61" s="86"/>
      <c r="D61" s="51"/>
      <c r="E61" s="51"/>
      <c r="G61" s="71"/>
      <c r="H61" s="71"/>
      <c r="I61" s="71"/>
      <c r="J61" s="73"/>
      <c r="K61" s="73"/>
      <c r="L61" s="74"/>
      <c r="M61" s="74"/>
    </row>
    <row r="62" spans="1:15" s="79" customFormat="1" x14ac:dyDescent="0.25">
      <c r="A62" s="50" t="s">
        <v>100</v>
      </c>
      <c r="B62" s="94">
        <f>B51+B56+B60</f>
        <v>14247.674092454346</v>
      </c>
      <c r="C62" s="95"/>
      <c r="D62" s="50" t="s">
        <v>38</v>
      </c>
      <c r="E62" s="50"/>
      <c r="F62" s="78"/>
      <c r="G62" s="71"/>
      <c r="H62" s="71"/>
      <c r="I62" s="71"/>
      <c r="J62" s="73"/>
      <c r="K62" s="73"/>
      <c r="L62" s="74"/>
      <c r="M62" s="74"/>
      <c r="N62" s="78"/>
      <c r="O62" s="78"/>
    </row>
    <row r="63" spans="1:15" x14ac:dyDescent="0.25">
      <c r="A63" s="51"/>
      <c r="B63" s="86"/>
      <c r="C63" s="86"/>
      <c r="D63" s="51"/>
      <c r="E63" s="51"/>
      <c r="G63" s="71"/>
      <c r="H63" s="71"/>
      <c r="I63" s="71"/>
      <c r="J63" s="73"/>
      <c r="K63" s="73"/>
      <c r="L63" s="74"/>
      <c r="M63" s="74"/>
    </row>
    <row r="64" spans="1:15" s="34" customFormat="1" ht="57" customHeight="1" x14ac:dyDescent="0.25">
      <c r="A64" s="140" t="s">
        <v>177</v>
      </c>
      <c r="B64" s="140"/>
      <c r="C64" s="140"/>
      <c r="D64" s="140"/>
      <c r="E64" s="140"/>
      <c r="F64" s="33"/>
      <c r="G64" s="71"/>
      <c r="H64" s="71"/>
      <c r="I64" s="71"/>
      <c r="J64" s="73"/>
      <c r="K64" s="73"/>
      <c r="L64" s="74"/>
      <c r="M64" s="74"/>
      <c r="N64" s="33"/>
      <c r="O64" s="33"/>
    </row>
    <row r="65" spans="1:13" x14ac:dyDescent="0.25">
      <c r="G65" s="80"/>
      <c r="H65" s="80"/>
      <c r="I65" s="80"/>
      <c r="J65" s="7"/>
      <c r="K65" s="7"/>
      <c r="L65" s="81"/>
      <c r="M65" s="81"/>
    </row>
    <row r="66" spans="1:13" x14ac:dyDescent="0.25">
      <c r="A66" s="45" t="s">
        <v>195</v>
      </c>
      <c r="G66" s="80"/>
      <c r="H66" s="80"/>
      <c r="I66" s="80"/>
      <c r="J66" s="7"/>
      <c r="K66" s="7"/>
      <c r="L66" s="81"/>
      <c r="M66" s="81"/>
    </row>
    <row r="67" spans="1:13" x14ac:dyDescent="0.25">
      <c r="A67" s="45" t="s">
        <v>606</v>
      </c>
      <c r="G67" s="81"/>
      <c r="H67" s="81"/>
      <c r="I67" s="81"/>
      <c r="J67" s="7"/>
      <c r="K67" s="7"/>
      <c r="L67" s="81"/>
      <c r="M67" s="81"/>
    </row>
    <row r="68" spans="1:13" x14ac:dyDescent="0.25">
      <c r="A68" s="45" t="s">
        <v>607</v>
      </c>
      <c r="G68" s="5"/>
      <c r="H68" s="5"/>
      <c r="I68" s="5"/>
      <c r="J68" s="82"/>
      <c r="K68" s="82"/>
      <c r="L68" s="5"/>
      <c r="M68" s="5"/>
    </row>
    <row r="69" spans="1:13" x14ac:dyDescent="0.25">
      <c r="A69" s="45" t="s">
        <v>608</v>
      </c>
      <c r="G69" s="5"/>
      <c r="H69" s="5"/>
      <c r="I69" s="5"/>
      <c r="J69" s="82"/>
      <c r="K69" s="82"/>
      <c r="L69" s="5"/>
      <c r="M69" s="5"/>
    </row>
    <row r="70" spans="1:13" x14ac:dyDescent="0.25">
      <c r="A70" s="48" t="s">
        <v>609</v>
      </c>
      <c r="G70" s="5"/>
      <c r="H70" s="5"/>
      <c r="I70" s="5"/>
      <c r="J70" s="4"/>
      <c r="K70" s="82"/>
      <c r="L70" s="5"/>
      <c r="M70" s="5"/>
    </row>
    <row r="71" spans="1:13" x14ac:dyDescent="0.25">
      <c r="G71" s="5"/>
      <c r="H71" s="5"/>
      <c r="I71" s="5"/>
      <c r="J71" s="82"/>
      <c r="K71" s="82"/>
      <c r="L71" s="5"/>
      <c r="M71" s="5"/>
    </row>
    <row r="72" spans="1:13" x14ac:dyDescent="0.25">
      <c r="G72" s="148"/>
      <c r="H72" s="148"/>
      <c r="I72" s="148"/>
      <c r="J72" s="148"/>
      <c r="K72" s="148"/>
      <c r="L72" s="5"/>
      <c r="M72" s="5"/>
    </row>
    <row r="73" spans="1:13" x14ac:dyDescent="0.25">
      <c r="G73" s="80"/>
      <c r="H73" s="80"/>
      <c r="I73" s="80"/>
      <c r="J73" s="6"/>
      <c r="K73" s="7"/>
      <c r="L73" s="81"/>
      <c r="M73" s="81"/>
    </row>
    <row r="74" spans="1:13" x14ac:dyDescent="0.25">
      <c r="G74" s="5"/>
      <c r="H74" s="5"/>
      <c r="I74" s="5"/>
      <c r="J74" s="82"/>
      <c r="K74" s="82"/>
      <c r="L74" s="5"/>
      <c r="M74" s="5"/>
    </row>
    <row r="75" spans="1:13" x14ac:dyDescent="0.25">
      <c r="G75" s="5"/>
      <c r="H75" s="5"/>
      <c r="I75" s="5"/>
      <c r="J75" s="82"/>
      <c r="K75" s="82"/>
      <c r="L75" s="5"/>
      <c r="M75" s="5"/>
    </row>
    <row r="76" spans="1:13" x14ac:dyDescent="0.25">
      <c r="G76" s="5"/>
      <c r="H76" s="5"/>
      <c r="I76" s="5"/>
      <c r="J76" s="82"/>
      <c r="K76" s="82"/>
      <c r="L76" s="5"/>
      <c r="M76" s="5"/>
    </row>
    <row r="77" spans="1:13" x14ac:dyDescent="0.25">
      <c r="G77" s="5"/>
      <c r="H77" s="5"/>
      <c r="I77" s="5"/>
      <c r="J77" s="82"/>
      <c r="K77" s="82"/>
      <c r="L77" s="5"/>
      <c r="M77" s="5"/>
    </row>
    <row r="78" spans="1:13" x14ac:dyDescent="0.25">
      <c r="G78" s="5"/>
      <c r="H78" s="5"/>
      <c r="I78" s="5"/>
      <c r="J78" s="82"/>
      <c r="K78" s="82"/>
      <c r="L78" s="5"/>
      <c r="M78" s="5"/>
    </row>
    <row r="79" spans="1:13" x14ac:dyDescent="0.25">
      <c r="G79" s="5"/>
      <c r="H79" s="5"/>
      <c r="I79" s="5"/>
      <c r="J79" s="82"/>
      <c r="K79" s="82"/>
      <c r="L79" s="5"/>
      <c r="M79" s="5"/>
    </row>
    <row r="80" spans="1:13" x14ac:dyDescent="0.25">
      <c r="G80" s="5"/>
      <c r="H80" s="5"/>
      <c r="I80" s="5"/>
      <c r="J80" s="82"/>
      <c r="K80" s="82"/>
      <c r="L80" s="5"/>
      <c r="M80" s="5"/>
    </row>
    <row r="81" spans="7:13" x14ac:dyDescent="0.25">
      <c r="G81" s="5"/>
      <c r="H81" s="5"/>
      <c r="I81" s="5"/>
      <c r="J81" s="82"/>
      <c r="K81" s="82"/>
      <c r="L81" s="5"/>
      <c r="M81" s="5"/>
    </row>
    <row r="82" spans="7:13" x14ac:dyDescent="0.25">
      <c r="G82" s="5"/>
      <c r="H82" s="5"/>
      <c r="I82" s="5"/>
      <c r="J82" s="82"/>
      <c r="K82" s="82"/>
      <c r="L82" s="5"/>
      <c r="M82" s="5"/>
    </row>
    <row r="83" spans="7:13" x14ac:dyDescent="0.25">
      <c r="G83" s="5"/>
      <c r="H83" s="5"/>
      <c r="I83" s="5"/>
      <c r="J83" s="82"/>
      <c r="K83" s="82"/>
      <c r="L83" s="5"/>
      <c r="M83" s="5"/>
    </row>
    <row r="84" spans="7:13" x14ac:dyDescent="0.25">
      <c r="G84" s="5"/>
      <c r="H84" s="5"/>
      <c r="I84" s="5"/>
      <c r="J84" s="82"/>
      <c r="K84" s="82"/>
      <c r="L84" s="5"/>
      <c r="M84" s="5"/>
    </row>
    <row r="85" spans="7:13" x14ac:dyDescent="0.25">
      <c r="G85" s="5"/>
      <c r="H85" s="5"/>
      <c r="I85" s="5"/>
      <c r="J85" s="82"/>
      <c r="K85" s="82"/>
      <c r="L85" s="5"/>
      <c r="M85" s="5"/>
    </row>
    <row r="86" spans="7:13" x14ac:dyDescent="0.25">
      <c r="G86" s="5"/>
      <c r="H86" s="5"/>
      <c r="I86" s="5"/>
      <c r="J86" s="82"/>
      <c r="K86" s="82"/>
      <c r="L86" s="5"/>
      <c r="M86" s="5"/>
    </row>
    <row r="87" spans="7:13" x14ac:dyDescent="0.25">
      <c r="G87" s="5"/>
      <c r="H87" s="5"/>
      <c r="I87" s="5"/>
      <c r="J87" s="82"/>
      <c r="K87" s="82"/>
      <c r="L87" s="5"/>
      <c r="M87" s="5"/>
    </row>
    <row r="88" spans="7:13" x14ac:dyDescent="0.25">
      <c r="G88" s="5"/>
      <c r="H88" s="5"/>
      <c r="I88" s="5"/>
      <c r="J88" s="82"/>
      <c r="K88" s="82"/>
      <c r="L88" s="5"/>
      <c r="M88" s="5"/>
    </row>
    <row r="89" spans="7:13" x14ac:dyDescent="0.25">
      <c r="G89" s="5"/>
      <c r="H89" s="5"/>
      <c r="I89" s="5"/>
      <c r="J89" s="82"/>
      <c r="K89" s="82"/>
      <c r="L89" s="5"/>
      <c r="M89" s="5"/>
    </row>
    <row r="90" spans="7:13" x14ac:dyDescent="0.25">
      <c r="G90" s="5"/>
      <c r="H90" s="5"/>
      <c r="I90" s="5"/>
      <c r="J90" s="82"/>
      <c r="K90" s="82"/>
      <c r="L90" s="5"/>
      <c r="M90" s="5"/>
    </row>
    <row r="91" spans="7:13" x14ac:dyDescent="0.25">
      <c r="G91" s="5"/>
      <c r="H91" s="5"/>
      <c r="I91" s="5"/>
      <c r="J91" s="82"/>
      <c r="K91" s="82"/>
      <c r="L91" s="5"/>
      <c r="M91" s="5"/>
    </row>
    <row r="92" spans="7:13" x14ac:dyDescent="0.25">
      <c r="G92" s="5"/>
      <c r="H92" s="5"/>
      <c r="I92" s="5"/>
      <c r="J92" s="82"/>
      <c r="K92" s="82"/>
      <c r="L92" s="5"/>
      <c r="M92" s="5"/>
    </row>
    <row r="93" spans="7:13" x14ac:dyDescent="0.25">
      <c r="G93" s="5"/>
      <c r="H93" s="5"/>
      <c r="I93" s="5"/>
      <c r="J93" s="82"/>
      <c r="K93" s="82"/>
      <c r="L93" s="5"/>
      <c r="M93" s="5"/>
    </row>
    <row r="94" spans="7:13" x14ac:dyDescent="0.25">
      <c r="G94" s="5"/>
      <c r="H94" s="5"/>
      <c r="I94" s="5"/>
      <c r="J94" s="82"/>
      <c r="K94" s="82"/>
      <c r="L94" s="5"/>
      <c r="M94" s="5"/>
    </row>
    <row r="95" spans="7:13" x14ac:dyDescent="0.25">
      <c r="G95" s="5"/>
      <c r="H95" s="5"/>
      <c r="I95" s="5"/>
      <c r="J95" s="83"/>
      <c r="K95" s="82"/>
      <c r="L95" s="5"/>
      <c r="M95" s="5"/>
    </row>
    <row r="96" spans="7:13" x14ac:dyDescent="0.25">
      <c r="G96" s="5"/>
      <c r="H96" s="5"/>
      <c r="I96" s="5"/>
      <c r="J96" s="82"/>
      <c r="K96" s="82"/>
      <c r="L96" s="5"/>
      <c r="M96" s="5"/>
    </row>
    <row r="97" spans="7:13" x14ac:dyDescent="0.25">
      <c r="G97" s="5"/>
      <c r="H97" s="5"/>
      <c r="I97" s="5"/>
      <c r="J97" s="82"/>
      <c r="K97" s="82"/>
      <c r="L97" s="5"/>
      <c r="M97" s="5"/>
    </row>
    <row r="98" spans="7:13" x14ac:dyDescent="0.25">
      <c r="G98" s="5"/>
      <c r="H98" s="5"/>
      <c r="I98" s="5"/>
      <c r="J98" s="82"/>
      <c r="K98" s="82"/>
      <c r="L98" s="5"/>
      <c r="M98" s="5"/>
    </row>
    <row r="99" spans="7:13" x14ac:dyDescent="0.25">
      <c r="G99" s="5"/>
      <c r="H99" s="5"/>
      <c r="I99" s="5"/>
      <c r="J99" s="82"/>
      <c r="K99" s="82"/>
      <c r="L99" s="5"/>
      <c r="M99" s="5"/>
    </row>
    <row r="100" spans="7:13" x14ac:dyDescent="0.25">
      <c r="G100" s="5"/>
      <c r="H100" s="5"/>
      <c r="I100" s="5"/>
      <c r="J100" s="83"/>
      <c r="K100" s="82"/>
      <c r="L100" s="5"/>
      <c r="M100" s="5"/>
    </row>
    <row r="101" spans="7:13" x14ac:dyDescent="0.25">
      <c r="G101" s="5"/>
      <c r="H101" s="5"/>
      <c r="I101" s="5"/>
      <c r="J101" s="82"/>
      <c r="K101" s="82"/>
      <c r="L101" s="5"/>
      <c r="M101" s="5"/>
    </row>
    <row r="102" spans="7:13" x14ac:dyDescent="0.25">
      <c r="G102" s="5"/>
      <c r="H102" s="5"/>
      <c r="I102" s="5"/>
      <c r="J102" s="82"/>
      <c r="K102" s="82"/>
      <c r="L102" s="5"/>
      <c r="M102" s="5"/>
    </row>
    <row r="103" spans="7:13" x14ac:dyDescent="0.25">
      <c r="G103" s="5"/>
      <c r="H103" s="5"/>
      <c r="I103" s="5"/>
      <c r="J103" s="82"/>
      <c r="K103" s="82"/>
      <c r="L103" s="5"/>
      <c r="M103" s="5"/>
    </row>
    <row r="104" spans="7:13" x14ac:dyDescent="0.25">
      <c r="G104" s="5"/>
      <c r="H104" s="5"/>
      <c r="I104" s="5"/>
      <c r="J104" s="83"/>
      <c r="K104" s="82"/>
      <c r="L104" s="5"/>
      <c r="M104" s="5"/>
    </row>
    <row r="105" spans="7:13" x14ac:dyDescent="0.25">
      <c r="G105" s="5"/>
      <c r="H105" s="5"/>
      <c r="I105" s="5"/>
      <c r="J105" s="82"/>
      <c r="K105" s="82"/>
      <c r="L105" s="5"/>
      <c r="M105" s="5"/>
    </row>
    <row r="106" spans="7:13" x14ac:dyDescent="0.25">
      <c r="G106" s="49"/>
      <c r="H106" s="49"/>
      <c r="I106" s="49"/>
      <c r="J106" s="84"/>
      <c r="K106" s="85"/>
      <c r="L106" s="49"/>
      <c r="M106" s="49"/>
    </row>
    <row r="107" spans="7:13" x14ac:dyDescent="0.25">
      <c r="G107" s="5"/>
      <c r="H107" s="5"/>
      <c r="I107" s="5"/>
      <c r="J107" s="82"/>
      <c r="K107" s="82"/>
      <c r="L107" s="5"/>
      <c r="M107" s="5"/>
    </row>
    <row r="108" spans="7:13" x14ac:dyDescent="0.25">
      <c r="G108" s="148"/>
      <c r="H108" s="148"/>
      <c r="I108" s="148"/>
      <c r="J108" s="148"/>
      <c r="K108" s="148"/>
      <c r="L108" s="148"/>
      <c r="M108" s="148"/>
    </row>
    <row r="109" spans="7:13" x14ac:dyDescent="0.25">
      <c r="G109" s="5"/>
      <c r="H109" s="5"/>
      <c r="I109" s="5"/>
      <c r="J109" s="82"/>
      <c r="K109" s="82"/>
      <c r="L109" s="5"/>
      <c r="M109" s="5"/>
    </row>
    <row r="110" spans="7:13" x14ac:dyDescent="0.25">
      <c r="G110" s="5"/>
      <c r="H110" s="5"/>
      <c r="I110" s="5"/>
      <c r="J110" s="82"/>
      <c r="K110" s="82"/>
      <c r="L110" s="5"/>
      <c r="M110" s="5"/>
    </row>
    <row r="111" spans="7:13" x14ac:dyDescent="0.25">
      <c r="G111" s="5"/>
      <c r="H111" s="5"/>
      <c r="I111" s="5"/>
      <c r="J111" s="82"/>
      <c r="K111" s="82"/>
      <c r="L111" s="5"/>
      <c r="M111" s="5"/>
    </row>
    <row r="112" spans="7:13" x14ac:dyDescent="0.25">
      <c r="G112" s="5"/>
      <c r="H112" s="5"/>
      <c r="I112" s="5"/>
      <c r="J112" s="82"/>
      <c r="K112" s="82"/>
      <c r="L112" s="5"/>
      <c r="M112" s="5"/>
    </row>
    <row r="113" spans="7:13" x14ac:dyDescent="0.25">
      <c r="G113" s="5"/>
      <c r="H113" s="5"/>
      <c r="I113" s="5"/>
      <c r="J113" s="82"/>
      <c r="K113" s="82"/>
      <c r="L113" s="5"/>
      <c r="M113" s="5"/>
    </row>
    <row r="114" spans="7:13" x14ac:dyDescent="0.25">
      <c r="G114" s="5"/>
      <c r="H114" s="5"/>
      <c r="I114" s="5"/>
      <c r="J114" s="82"/>
      <c r="K114" s="82"/>
      <c r="L114" s="5"/>
      <c r="M114" s="5"/>
    </row>
    <row r="115" spans="7:13" x14ac:dyDescent="0.25">
      <c r="G115" s="5"/>
      <c r="H115" s="5"/>
      <c r="I115" s="5"/>
      <c r="J115" s="82"/>
      <c r="K115" s="82"/>
      <c r="L115" s="5"/>
      <c r="M115" s="5"/>
    </row>
    <row r="116" spans="7:13" x14ac:dyDescent="0.25">
      <c r="G116" s="5"/>
      <c r="H116" s="5"/>
      <c r="I116" s="5"/>
      <c r="J116" s="82"/>
      <c r="K116" s="82"/>
      <c r="L116" s="5"/>
      <c r="M116" s="5"/>
    </row>
    <row r="117" spans="7:13" x14ac:dyDescent="0.25">
      <c r="G117" s="5"/>
      <c r="H117" s="5"/>
      <c r="I117" s="5"/>
      <c r="J117" s="82"/>
      <c r="K117" s="82"/>
      <c r="L117" s="5"/>
      <c r="M117" s="5"/>
    </row>
    <row r="118" spans="7:13" x14ac:dyDescent="0.25">
      <c r="G118" s="5"/>
      <c r="H118" s="5"/>
      <c r="I118" s="5"/>
      <c r="J118" s="82"/>
      <c r="K118" s="82"/>
      <c r="L118" s="5"/>
      <c r="M118" s="5"/>
    </row>
  </sheetData>
  <sheetProtection password="E156" sheet="1" objects="1" scenarios="1"/>
  <mergeCells count="4">
    <mergeCell ref="A64:E64"/>
    <mergeCell ref="G108:M108"/>
    <mergeCell ref="A28:C28"/>
    <mergeCell ref="G72:K72"/>
  </mergeCells>
  <phoneticPr fontId="0" type="noConversion"/>
  <printOptions horizontalCentered="1"/>
  <pageMargins left="0.7" right="0.7" top="0.75" bottom="0.75" header="0.3" footer="0.3"/>
  <pageSetup paperSize="199" scale="51" orientation="portrait" r:id="rId1"/>
  <headerFooter>
    <oddHeader>&amp;CCALCULATION SPREADSHEET FOR GPSA ENGINEERING DATA BOOK, 13&amp;Xth&amp;X ED.
EXAMPLE 9-2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G65"/>
  <sheetViews>
    <sheetView zoomScale="85" zoomScaleNormal="85" workbookViewId="0">
      <selection activeCell="G33" sqref="G33"/>
    </sheetView>
  </sheetViews>
  <sheetFormatPr defaultRowHeight="15" x14ac:dyDescent="0.25"/>
  <cols>
    <col min="1" max="1" width="16.140625" style="2" customWidth="1"/>
    <col min="2" max="3" width="9.140625" style="2"/>
    <col min="4" max="4" width="11.140625" style="2" customWidth="1"/>
    <col min="5" max="5" width="9.140625" style="2"/>
    <col min="6" max="6" width="11" style="2" customWidth="1"/>
    <col min="7" max="7" width="9.140625" style="2"/>
    <col min="8" max="8" width="35.5703125" style="2" customWidth="1"/>
    <col min="9" max="9" width="9.140625" style="2"/>
    <col min="10" max="10" width="3" style="2" customWidth="1"/>
    <col min="11" max="12" width="9.140625" style="2"/>
    <col min="13" max="13" width="19.28515625" style="2" customWidth="1"/>
    <col min="14" max="15" width="9.140625" style="2"/>
    <col min="16" max="16" width="17.85546875" style="11" customWidth="1"/>
    <col min="17" max="17" width="11.140625" style="11" customWidth="1"/>
    <col min="18" max="20" width="9.140625" style="11"/>
    <col min="21" max="21" width="21.85546875" style="11" bestFit="1" customWidth="1"/>
    <col min="22" max="22" width="9.140625" style="11"/>
    <col min="23" max="23" width="17.42578125" style="11" customWidth="1"/>
    <col min="24" max="24" width="18" style="11" bestFit="1" customWidth="1"/>
    <col min="25" max="28" width="9.140625" style="11"/>
    <col min="29" max="29" width="16.140625" style="11" customWidth="1"/>
    <col min="30" max="30" width="17.7109375" style="11" customWidth="1"/>
    <col min="31" max="31" width="11.7109375" style="11" customWidth="1"/>
    <col min="32" max="32" width="16.42578125" style="11" customWidth="1"/>
    <col min="33" max="16384" width="9.140625" style="20"/>
  </cols>
  <sheetData>
    <row r="1" spans="1:33" x14ac:dyDescent="0.25">
      <c r="A1" s="19" t="s">
        <v>599</v>
      </c>
    </row>
    <row r="5" spans="1:33" x14ac:dyDescent="0.25">
      <c r="A5" s="50" t="s">
        <v>102</v>
      </c>
      <c r="B5" s="51"/>
      <c r="C5" s="51"/>
      <c r="D5" s="51"/>
      <c r="E5" s="51"/>
      <c r="F5" s="51"/>
      <c r="H5" s="64" t="s">
        <v>179</v>
      </c>
      <c r="I5" s="65"/>
      <c r="J5" s="65"/>
      <c r="K5" s="65"/>
      <c r="L5" s="65"/>
      <c r="M5" s="65"/>
      <c r="P5" s="111" t="s">
        <v>610</v>
      </c>
      <c r="W5" s="111" t="s">
        <v>611</v>
      </c>
      <c r="AC5" s="111" t="s">
        <v>612</v>
      </c>
    </row>
    <row r="6" spans="1:33" x14ac:dyDescent="0.25">
      <c r="A6" s="51" t="s">
        <v>76</v>
      </c>
      <c r="B6" s="51"/>
      <c r="C6" s="51"/>
      <c r="D6" s="51"/>
      <c r="E6" s="51"/>
      <c r="F6" s="51"/>
      <c r="H6" s="64"/>
      <c r="I6" s="65"/>
      <c r="J6" s="65"/>
      <c r="K6" s="65"/>
      <c r="L6" s="65"/>
      <c r="M6" s="65"/>
      <c r="P6" s="112" t="s">
        <v>430</v>
      </c>
      <c r="Q6" s="112" t="s">
        <v>434</v>
      </c>
      <c r="R6" s="112" t="s">
        <v>103</v>
      </c>
      <c r="S6" s="112" t="s">
        <v>103</v>
      </c>
      <c r="T6" s="112" t="s">
        <v>436</v>
      </c>
      <c r="U6" s="112" t="s">
        <v>438</v>
      </c>
      <c r="X6" s="149" t="s">
        <v>345</v>
      </c>
      <c r="Y6" s="150"/>
      <c r="Z6" s="150"/>
      <c r="AA6" s="151"/>
      <c r="AC6" s="113"/>
      <c r="AD6" s="152" t="s">
        <v>453</v>
      </c>
      <c r="AE6" s="152"/>
      <c r="AF6" s="152"/>
      <c r="AG6" s="98"/>
    </row>
    <row r="7" spans="1:33" x14ac:dyDescent="0.25">
      <c r="A7" s="51" t="s">
        <v>30</v>
      </c>
      <c r="B7" s="51">
        <v>320</v>
      </c>
      <c r="C7" s="51"/>
      <c r="D7" s="51"/>
      <c r="E7" s="51"/>
      <c r="F7" s="51"/>
      <c r="H7" s="64" t="s">
        <v>241</v>
      </c>
      <c r="I7" s="65"/>
      <c r="J7" s="65"/>
      <c r="K7" s="65"/>
      <c r="L7" s="65"/>
      <c r="M7" s="65"/>
      <c r="P7" s="112" t="s">
        <v>437</v>
      </c>
      <c r="Q7" s="112">
        <v>1</v>
      </c>
      <c r="R7" s="112">
        <v>1</v>
      </c>
      <c r="S7" s="112">
        <v>1</v>
      </c>
      <c r="T7" s="112">
        <v>1.25</v>
      </c>
      <c r="U7" s="112">
        <f>ROUNDUP(-0.00001*(K9)^2+0.03451*K9+14.55635,0)</f>
        <v>25</v>
      </c>
      <c r="W7" s="112" t="s">
        <v>439</v>
      </c>
      <c r="X7" s="112">
        <v>2</v>
      </c>
      <c r="Y7" s="112">
        <v>4</v>
      </c>
      <c r="Z7" s="112">
        <v>6</v>
      </c>
      <c r="AA7" s="112">
        <v>8</v>
      </c>
      <c r="AC7" s="112" t="s">
        <v>439</v>
      </c>
      <c r="AD7" s="112" t="s">
        <v>459</v>
      </c>
      <c r="AE7" s="112" t="s">
        <v>454</v>
      </c>
      <c r="AF7" s="112" t="s">
        <v>455</v>
      </c>
      <c r="AG7" s="98"/>
    </row>
    <row r="8" spans="1:33" x14ac:dyDescent="0.25">
      <c r="A8" s="51" t="s">
        <v>103</v>
      </c>
      <c r="B8" s="51">
        <v>1</v>
      </c>
      <c r="C8" s="51" t="s">
        <v>104</v>
      </c>
      <c r="D8" s="51"/>
      <c r="E8" s="51"/>
      <c r="F8" s="51"/>
      <c r="H8" s="64"/>
      <c r="I8" s="65"/>
      <c r="J8" s="65"/>
      <c r="K8" s="65"/>
      <c r="L8" s="65"/>
      <c r="M8" s="65"/>
      <c r="P8" s="112" t="s">
        <v>107</v>
      </c>
      <c r="Q8" s="112">
        <v>1.075</v>
      </c>
      <c r="R8" s="112">
        <v>0.75</v>
      </c>
      <c r="S8" s="112">
        <v>0.75</v>
      </c>
      <c r="T8" s="112">
        <v>1</v>
      </c>
      <c r="U8" s="112">
        <f>ROUNDUP(-0.000004*K9^2+0.026486*K9+12.177915,0)</f>
        <v>21</v>
      </c>
      <c r="W8" s="112" t="s">
        <v>440</v>
      </c>
      <c r="X8" s="112">
        <v>1.1000000000000001</v>
      </c>
      <c r="Y8" s="112">
        <v>1.2</v>
      </c>
      <c r="Z8" s="112">
        <v>1.35</v>
      </c>
      <c r="AA8" s="112"/>
      <c r="AC8" s="112" t="s">
        <v>452</v>
      </c>
      <c r="AD8" s="112" t="s">
        <v>456</v>
      </c>
      <c r="AE8" s="112">
        <f>5/8</f>
        <v>0.625</v>
      </c>
      <c r="AF8" s="112">
        <f>3.5</f>
        <v>3.5</v>
      </c>
      <c r="AG8" s="98"/>
    </row>
    <row r="9" spans="1:33" x14ac:dyDescent="0.25">
      <c r="A9" s="51" t="s">
        <v>106</v>
      </c>
      <c r="B9" s="51" t="s">
        <v>107</v>
      </c>
      <c r="C9" s="51"/>
      <c r="D9" s="51"/>
      <c r="E9" s="51"/>
      <c r="F9" s="51"/>
      <c r="H9" s="70" t="s">
        <v>266</v>
      </c>
      <c r="I9" s="1"/>
      <c r="J9" s="1" t="s">
        <v>242</v>
      </c>
      <c r="K9" s="1">
        <v>320</v>
      </c>
      <c r="L9" s="1"/>
      <c r="M9" s="65"/>
      <c r="P9" s="112"/>
      <c r="Q9" s="112"/>
      <c r="R9" s="112">
        <v>0.625</v>
      </c>
      <c r="S9" s="112">
        <v>0.75</v>
      </c>
      <c r="T9" s="112">
        <f>15/16</f>
        <v>0.9375</v>
      </c>
      <c r="U9" s="112">
        <f>ROUNDUP(-0.000004*K9^2+ 0.02557*K9+ 11.600413,0)</f>
        <v>20</v>
      </c>
      <c r="W9" s="112"/>
      <c r="X9" s="112">
        <v>2</v>
      </c>
      <c r="Y9" s="112">
        <v>4</v>
      </c>
      <c r="Z9" s="112">
        <v>6</v>
      </c>
      <c r="AA9" s="112">
        <v>8</v>
      </c>
      <c r="AC9" s="112"/>
      <c r="AD9" s="112" t="s">
        <v>459</v>
      </c>
      <c r="AE9" s="112" t="s">
        <v>454</v>
      </c>
      <c r="AF9" s="112" t="s">
        <v>455</v>
      </c>
      <c r="AG9" s="98"/>
    </row>
    <row r="10" spans="1:33" ht="16.5" x14ac:dyDescent="0.3">
      <c r="A10" s="51" t="s">
        <v>108</v>
      </c>
      <c r="B10" s="51" t="s">
        <v>105</v>
      </c>
      <c r="C10" s="51"/>
      <c r="D10" s="51"/>
      <c r="E10" s="51"/>
      <c r="F10" s="51"/>
      <c r="H10" s="70" t="s">
        <v>103</v>
      </c>
      <c r="I10" s="1" t="s">
        <v>429</v>
      </c>
      <c r="J10" s="1" t="s">
        <v>242</v>
      </c>
      <c r="K10" s="1">
        <v>1</v>
      </c>
      <c r="L10" s="1" t="s">
        <v>428</v>
      </c>
      <c r="M10" s="65"/>
      <c r="P10" s="112"/>
      <c r="Q10" s="112"/>
      <c r="R10" s="112"/>
      <c r="S10" s="112">
        <f>5/"8"</f>
        <v>0.625</v>
      </c>
      <c r="T10" s="112">
        <f>13/16</f>
        <v>0.8125</v>
      </c>
      <c r="U10" s="112">
        <f>ROUNDUP(-0.000004*K9^2 + 0.022128*K9 + 9.963777,0)</f>
        <v>17</v>
      </c>
      <c r="W10" s="112" t="s">
        <v>441</v>
      </c>
      <c r="X10" s="112">
        <v>1.03</v>
      </c>
      <c r="Y10" s="112">
        <v>1.08</v>
      </c>
      <c r="Z10" s="112">
        <v>1.1200000000000001</v>
      </c>
      <c r="AA10" s="112">
        <v>1.25</v>
      </c>
      <c r="AC10" s="112" t="s">
        <v>457</v>
      </c>
      <c r="AD10" s="112" t="s">
        <v>456</v>
      </c>
      <c r="AE10" s="112">
        <v>1</v>
      </c>
      <c r="AF10" s="112">
        <v>4</v>
      </c>
      <c r="AG10" s="98"/>
    </row>
    <row r="11" spans="1:33" x14ac:dyDescent="0.25">
      <c r="A11" s="51" t="s">
        <v>109</v>
      </c>
      <c r="B11" s="51"/>
      <c r="C11" s="51"/>
      <c r="D11" s="51"/>
      <c r="E11" s="51"/>
      <c r="F11" s="51"/>
      <c r="H11" s="70" t="s">
        <v>431</v>
      </c>
      <c r="I11" s="1"/>
      <c r="J11" s="1"/>
      <c r="K11" s="1">
        <v>1.25</v>
      </c>
      <c r="L11" s="1" t="s">
        <v>428</v>
      </c>
      <c r="M11" s="65"/>
      <c r="W11" s="112"/>
      <c r="X11" s="112">
        <v>2</v>
      </c>
      <c r="Y11" s="112">
        <v>4</v>
      </c>
      <c r="Z11" s="112">
        <v>6</v>
      </c>
      <c r="AA11" s="112">
        <v>8</v>
      </c>
      <c r="AC11" s="112"/>
      <c r="AD11" s="112" t="s">
        <v>459</v>
      </c>
      <c r="AE11" s="112" t="s">
        <v>454</v>
      </c>
      <c r="AF11" s="112" t="s">
        <v>455</v>
      </c>
      <c r="AG11" s="98"/>
    </row>
    <row r="12" spans="1:33" x14ac:dyDescent="0.25">
      <c r="A12" s="51" t="s">
        <v>110</v>
      </c>
      <c r="B12" s="51"/>
      <c r="C12" s="51"/>
      <c r="D12" s="51"/>
      <c r="E12" s="51"/>
      <c r="F12" s="51"/>
      <c r="H12" s="70" t="s">
        <v>430</v>
      </c>
      <c r="I12" s="1"/>
      <c r="J12" s="1" t="s">
        <v>242</v>
      </c>
      <c r="K12" s="1" t="s">
        <v>107</v>
      </c>
      <c r="L12" s="1"/>
      <c r="M12" s="65"/>
      <c r="P12" s="112" t="s">
        <v>103</v>
      </c>
      <c r="Q12" s="112">
        <v>1</v>
      </c>
      <c r="R12" s="112">
        <v>0.75</v>
      </c>
      <c r="S12" s="112">
        <v>0.75</v>
      </c>
      <c r="T12" s="112">
        <f>5/8</f>
        <v>0.625</v>
      </c>
      <c r="W12" s="112" t="s">
        <v>442</v>
      </c>
      <c r="X12" s="112">
        <v>1.02</v>
      </c>
      <c r="Y12" s="112">
        <v>1.05</v>
      </c>
      <c r="Z12" s="112">
        <v>1.07</v>
      </c>
      <c r="AA12" s="112">
        <v>1.08</v>
      </c>
      <c r="AC12" s="112" t="s">
        <v>443</v>
      </c>
      <c r="AD12" s="112" t="s">
        <v>456</v>
      </c>
      <c r="AE12" s="112">
        <f>1+5/8</f>
        <v>1.625</v>
      </c>
      <c r="AF12" s="112">
        <v>5</v>
      </c>
      <c r="AG12" s="98"/>
    </row>
    <row r="13" spans="1:33" x14ac:dyDescent="0.25">
      <c r="A13" s="51"/>
      <c r="B13" s="51"/>
      <c r="C13" s="51"/>
      <c r="D13" s="51"/>
      <c r="E13" s="153" t="s">
        <v>174</v>
      </c>
      <c r="F13" s="153"/>
      <c r="H13" s="70" t="s">
        <v>345</v>
      </c>
      <c r="I13" s="1" t="s">
        <v>346</v>
      </c>
      <c r="J13" s="1" t="s">
        <v>242</v>
      </c>
      <c r="K13" s="1">
        <v>4</v>
      </c>
      <c r="L13" s="1"/>
      <c r="M13" s="65"/>
      <c r="P13" s="112" t="s">
        <v>436</v>
      </c>
      <c r="Q13" s="112">
        <v>1.25</v>
      </c>
      <c r="R13" s="112">
        <v>1</v>
      </c>
      <c r="S13" s="112">
        <f>15/16</f>
        <v>0.9375</v>
      </c>
      <c r="T13" s="112">
        <f>13/16</f>
        <v>0.8125</v>
      </c>
      <c r="W13" s="112"/>
      <c r="X13" s="112">
        <v>2</v>
      </c>
      <c r="Y13" s="112">
        <v>4</v>
      </c>
      <c r="Z13" s="112">
        <v>6</v>
      </c>
      <c r="AA13" s="112">
        <v>8</v>
      </c>
      <c r="AC13" s="113"/>
      <c r="AD13" s="113"/>
      <c r="AE13" s="113"/>
      <c r="AF13" s="113"/>
      <c r="AG13" s="98"/>
    </row>
    <row r="14" spans="1:33" ht="50.25" customHeight="1" x14ac:dyDescent="0.25">
      <c r="A14" s="145" t="s">
        <v>226</v>
      </c>
      <c r="B14" s="145"/>
      <c r="C14" s="145"/>
      <c r="D14" s="145"/>
      <c r="E14" s="90">
        <v>25</v>
      </c>
      <c r="F14" s="107" t="s">
        <v>104</v>
      </c>
      <c r="H14" s="70" t="s">
        <v>458</v>
      </c>
      <c r="I14" s="1"/>
      <c r="J14" s="1" t="s">
        <v>242</v>
      </c>
      <c r="K14" s="1" t="s">
        <v>454</v>
      </c>
      <c r="L14" s="1"/>
      <c r="M14" s="65"/>
      <c r="P14" s="112" t="s">
        <v>266</v>
      </c>
      <c r="Q14" s="112" t="s">
        <v>433</v>
      </c>
      <c r="R14" s="112" t="s">
        <v>433</v>
      </c>
      <c r="S14" s="112" t="s">
        <v>433</v>
      </c>
      <c r="T14" s="112" t="s">
        <v>433</v>
      </c>
      <c r="W14" s="112" t="s">
        <v>443</v>
      </c>
      <c r="X14" s="112">
        <v>1.01</v>
      </c>
      <c r="Y14" s="112">
        <v>1.03</v>
      </c>
      <c r="Z14" s="112">
        <v>1.04</v>
      </c>
      <c r="AA14" s="112">
        <v>1.06</v>
      </c>
    </row>
    <row r="15" spans="1:33" ht="24.75" customHeight="1" x14ac:dyDescent="0.25">
      <c r="A15" s="140" t="s">
        <v>185</v>
      </c>
      <c r="B15" s="140"/>
      <c r="C15" s="140"/>
      <c r="D15" s="140"/>
      <c r="E15" s="140"/>
      <c r="F15" s="140"/>
      <c r="H15" s="70" t="s">
        <v>449</v>
      </c>
      <c r="I15" s="1"/>
      <c r="J15" s="1" t="s">
        <v>242</v>
      </c>
      <c r="K15" s="1" t="s">
        <v>445</v>
      </c>
      <c r="L15" s="1"/>
      <c r="M15" s="65"/>
      <c r="P15" s="112">
        <v>200</v>
      </c>
      <c r="Q15" s="112">
        <v>20.5</v>
      </c>
      <c r="R15" s="112">
        <v>16.5</v>
      </c>
      <c r="S15" s="112">
        <v>16</v>
      </c>
      <c r="T15" s="112">
        <v>14</v>
      </c>
    </row>
    <row r="16" spans="1:33" x14ac:dyDescent="0.25">
      <c r="A16" s="51"/>
      <c r="B16" s="51"/>
      <c r="C16" s="51"/>
      <c r="D16" s="51"/>
      <c r="E16" s="90"/>
      <c r="F16" s="108"/>
      <c r="H16" s="70"/>
      <c r="I16" s="1"/>
      <c r="J16" s="1"/>
      <c r="K16" s="1"/>
      <c r="L16" s="1"/>
      <c r="M16" s="65"/>
      <c r="P16" s="112">
        <v>300</v>
      </c>
      <c r="Q16" s="112">
        <v>24</v>
      </c>
      <c r="R16" s="112">
        <v>19.5</v>
      </c>
      <c r="S16" s="112">
        <v>18.5</v>
      </c>
      <c r="T16" s="112">
        <v>16</v>
      </c>
      <c r="W16" s="114" t="s">
        <v>446</v>
      </c>
      <c r="X16" s="114"/>
    </row>
    <row r="17" spans="1:32" ht="32.25" customHeight="1" x14ac:dyDescent="0.25">
      <c r="A17" s="145" t="s">
        <v>227</v>
      </c>
      <c r="B17" s="145"/>
      <c r="C17" s="145"/>
      <c r="D17" s="145"/>
      <c r="E17" s="90">
        <f>E14*1.075</f>
        <v>26.875</v>
      </c>
      <c r="F17" s="107" t="s">
        <v>104</v>
      </c>
      <c r="H17" s="70" t="s">
        <v>596</v>
      </c>
      <c r="I17" s="1"/>
      <c r="J17" s="1" t="s">
        <v>242</v>
      </c>
      <c r="K17" s="1">
        <v>25</v>
      </c>
      <c r="L17" s="1" t="s">
        <v>104</v>
      </c>
      <c r="M17" s="99" t="s">
        <v>595</v>
      </c>
      <c r="P17" s="112">
        <v>400</v>
      </c>
      <c r="Q17" s="112">
        <v>27</v>
      </c>
      <c r="R17" s="112">
        <v>22</v>
      </c>
      <c r="S17" s="112">
        <v>21</v>
      </c>
      <c r="T17" s="112">
        <v>18</v>
      </c>
      <c r="W17" s="114" t="s">
        <v>445</v>
      </c>
      <c r="X17" s="114">
        <v>1.02</v>
      </c>
    </row>
    <row r="18" spans="1:32" x14ac:dyDescent="0.25">
      <c r="A18" s="51"/>
      <c r="B18" s="51"/>
      <c r="C18" s="51"/>
      <c r="D18" s="51"/>
      <c r="E18" s="90"/>
      <c r="F18" s="108"/>
      <c r="H18" s="70" t="s">
        <v>435</v>
      </c>
      <c r="I18" s="1"/>
      <c r="J18" s="1" t="s">
        <v>242</v>
      </c>
      <c r="K18" s="1">
        <f>VLOOKUP(K12,P7:Q8,2,FALSE)</f>
        <v>1.075</v>
      </c>
      <c r="L18" s="1"/>
      <c r="M18" s="99" t="s">
        <v>595</v>
      </c>
      <c r="P18" s="112">
        <v>500</v>
      </c>
      <c r="Q18" s="112">
        <v>31</v>
      </c>
      <c r="R18" s="112">
        <v>25</v>
      </c>
      <c r="S18" s="112">
        <v>23.5</v>
      </c>
      <c r="T18" s="112">
        <v>20.5</v>
      </c>
      <c r="W18" s="114" t="s">
        <v>447</v>
      </c>
      <c r="X18" s="114">
        <v>1</v>
      </c>
    </row>
    <row r="19" spans="1:32" ht="28.5" customHeight="1" x14ac:dyDescent="0.25">
      <c r="A19" s="145" t="s">
        <v>228</v>
      </c>
      <c r="B19" s="145"/>
      <c r="C19" s="145"/>
      <c r="D19" s="145"/>
      <c r="E19" s="90">
        <f>E17*1.05</f>
        <v>28.21875</v>
      </c>
      <c r="F19" s="107" t="s">
        <v>104</v>
      </c>
      <c r="H19" s="70" t="s">
        <v>444</v>
      </c>
      <c r="I19" s="1"/>
      <c r="J19" s="1" t="s">
        <v>242</v>
      </c>
      <c r="K19" s="1">
        <f>IF(K17&lt;12,HLOOKUP(K13,X7:AA8,2,FALSE),IF(AND(K17&gt;=12,K17&lt;=24),HLOOKUP(K13,X9:AA10,2,FALSE),IF(AND(K17&gt;=25,K17&lt;=41),HLOOKUP(K13,X11:AA12,2,FALSE),IF(K17&gt;41,HLOOKUP(K13,X13:AA14,2,FALSE),"ERROR"))))</f>
        <v>1.05</v>
      </c>
      <c r="L19" s="1"/>
      <c r="M19" s="99" t="s">
        <v>597</v>
      </c>
      <c r="P19" s="112">
        <v>600</v>
      </c>
      <c r="Q19" s="112">
        <v>34</v>
      </c>
      <c r="R19" s="112">
        <v>27</v>
      </c>
      <c r="S19" s="112">
        <v>26</v>
      </c>
      <c r="T19" s="112">
        <v>22</v>
      </c>
    </row>
    <row r="20" spans="1:32" ht="27.75" customHeight="1" x14ac:dyDescent="0.25">
      <c r="A20" s="154" t="s">
        <v>186</v>
      </c>
      <c r="B20" s="154"/>
      <c r="C20" s="154"/>
      <c r="D20" s="154"/>
      <c r="E20" s="154"/>
      <c r="F20" s="154"/>
      <c r="H20" s="70" t="s">
        <v>448</v>
      </c>
      <c r="I20" s="1"/>
      <c r="J20" s="1" t="s">
        <v>242</v>
      </c>
      <c r="K20" s="1">
        <f>VLOOKUP(K15,W17:X18,2,FALSE)</f>
        <v>1.02</v>
      </c>
      <c r="L20" s="1"/>
      <c r="M20" s="99" t="s">
        <v>597</v>
      </c>
      <c r="P20" s="112">
        <v>700</v>
      </c>
      <c r="Q20" s="112">
        <v>36.5</v>
      </c>
      <c r="R20" s="112">
        <v>29</v>
      </c>
      <c r="S20" s="112">
        <v>28</v>
      </c>
      <c r="T20" s="112">
        <v>24</v>
      </c>
    </row>
    <row r="21" spans="1:32" ht="28.5" customHeight="1" x14ac:dyDescent="0.25">
      <c r="A21" s="145" t="s">
        <v>229</v>
      </c>
      <c r="B21" s="145"/>
      <c r="C21" s="145"/>
      <c r="D21" s="145"/>
      <c r="E21" s="90">
        <f>E19*1.02</f>
        <v>28.783125000000002</v>
      </c>
      <c r="F21" s="107" t="s">
        <v>104</v>
      </c>
      <c r="H21" s="70" t="s">
        <v>450</v>
      </c>
      <c r="I21" s="1"/>
      <c r="J21" s="1" t="s">
        <v>242</v>
      </c>
      <c r="K21" s="100">
        <f>PRODUCT(K17:K20)</f>
        <v>28.783125000000002</v>
      </c>
      <c r="L21" s="1" t="s">
        <v>104</v>
      </c>
      <c r="M21" s="65"/>
      <c r="P21" s="112">
        <v>800</v>
      </c>
      <c r="Q21" s="112">
        <v>38.5</v>
      </c>
      <c r="R21" s="112">
        <v>31</v>
      </c>
      <c r="S21" s="112">
        <v>29.5</v>
      </c>
      <c r="T21" s="112">
        <v>25.5</v>
      </c>
    </row>
    <row r="22" spans="1:32" ht="36.75" customHeight="1" x14ac:dyDescent="0.25">
      <c r="A22" s="140" t="s">
        <v>187</v>
      </c>
      <c r="B22" s="140"/>
      <c r="C22" s="140"/>
      <c r="D22" s="140"/>
      <c r="E22" s="140"/>
      <c r="F22" s="140"/>
      <c r="H22" s="70" t="s">
        <v>451</v>
      </c>
      <c r="I22" s="1"/>
      <c r="J22" s="1" t="s">
        <v>242</v>
      </c>
      <c r="K22" s="1">
        <f>IF(K21&lt;27,HLOOKUP(K14,AD7:AF8,2,FALSE),IF(AND(K21&gt;=27,K21&lt;=41),HLOOKUP(K14,AD9:AF10,2,FALSE),IF(K21&gt;41,HLOOKUP(K14,AD11:AF12,2,FALSE),"ERROR")))</f>
        <v>1</v>
      </c>
      <c r="L22" s="1" t="s">
        <v>104</v>
      </c>
      <c r="M22" s="99" t="s">
        <v>598</v>
      </c>
      <c r="P22" s="112">
        <v>900</v>
      </c>
      <c r="Q22" s="112">
        <v>41</v>
      </c>
      <c r="R22" s="112">
        <v>33</v>
      </c>
      <c r="S22" s="112">
        <v>31.5</v>
      </c>
      <c r="T22" s="112">
        <v>27</v>
      </c>
    </row>
    <row r="23" spans="1:32" ht="28.5" customHeight="1" x14ac:dyDescent="0.25">
      <c r="A23" s="145" t="s">
        <v>230</v>
      </c>
      <c r="B23" s="145"/>
      <c r="C23" s="145"/>
      <c r="D23" s="145"/>
      <c r="E23" s="90">
        <f>E21+1</f>
        <v>29.783125000000002</v>
      </c>
      <c r="F23" s="107" t="s">
        <v>104</v>
      </c>
      <c r="H23" s="70"/>
      <c r="I23" s="1"/>
      <c r="J23" s="1"/>
      <c r="K23" s="1"/>
      <c r="L23" s="1"/>
      <c r="M23" s="65"/>
      <c r="P23" s="112">
        <v>1000</v>
      </c>
      <c r="Q23" s="112">
        <v>43</v>
      </c>
      <c r="R23" s="112">
        <v>34.5</v>
      </c>
      <c r="S23" s="112">
        <v>33</v>
      </c>
      <c r="T23" s="112">
        <v>28.5</v>
      </c>
    </row>
    <row r="24" spans="1:32" x14ac:dyDescent="0.25">
      <c r="A24" s="51"/>
      <c r="B24" s="51"/>
      <c r="C24" s="51"/>
      <c r="D24" s="51"/>
      <c r="E24" s="90"/>
      <c r="F24" s="108"/>
      <c r="H24" s="64" t="s">
        <v>433</v>
      </c>
      <c r="I24" s="68"/>
      <c r="J24" s="68" t="s">
        <v>242</v>
      </c>
      <c r="K24" s="101">
        <f>ROUNDUP(K21+K22,0)</f>
        <v>30</v>
      </c>
      <c r="L24" s="68" t="s">
        <v>104</v>
      </c>
      <c r="M24" s="67"/>
      <c r="P24" s="112">
        <v>1100</v>
      </c>
      <c r="Q24" s="112">
        <v>45</v>
      </c>
      <c r="R24" s="112">
        <v>36</v>
      </c>
      <c r="S24" s="112">
        <v>34</v>
      </c>
      <c r="T24" s="112">
        <v>29.5</v>
      </c>
    </row>
    <row r="25" spans="1:32" s="79" customFormat="1" x14ac:dyDescent="0.25">
      <c r="A25" s="50" t="s">
        <v>111</v>
      </c>
      <c r="B25" s="50"/>
      <c r="C25" s="50"/>
      <c r="D25" s="50"/>
      <c r="E25" s="109">
        <f>ROUNDUP(E23,0)</f>
        <v>30</v>
      </c>
      <c r="F25" s="110" t="s">
        <v>104</v>
      </c>
      <c r="G25" s="78"/>
      <c r="H25" s="70"/>
      <c r="I25" s="1"/>
      <c r="J25" s="1"/>
      <c r="K25" s="1"/>
      <c r="L25" s="1"/>
      <c r="M25" s="65"/>
      <c r="N25" s="78"/>
      <c r="O25" s="2"/>
      <c r="P25" s="112">
        <v>1200</v>
      </c>
      <c r="Q25" s="112">
        <v>47</v>
      </c>
      <c r="R25" s="112">
        <v>37</v>
      </c>
      <c r="S25" s="112">
        <v>35.5</v>
      </c>
      <c r="T25" s="112">
        <v>31</v>
      </c>
      <c r="U25" s="115"/>
      <c r="V25" s="115"/>
      <c r="W25" s="115"/>
      <c r="X25" s="115"/>
      <c r="Y25" s="115"/>
      <c r="Z25" s="115"/>
      <c r="AA25" s="115"/>
      <c r="AB25" s="115"/>
      <c r="AC25" s="115"/>
      <c r="AD25" s="115"/>
      <c r="AE25" s="115"/>
      <c r="AF25" s="115"/>
    </row>
    <row r="26" spans="1:32" x14ac:dyDescent="0.25">
      <c r="E26" s="63"/>
      <c r="F26" s="102"/>
      <c r="H26" s="103"/>
      <c r="I26" s="82"/>
      <c r="J26" s="82"/>
      <c r="K26" s="82"/>
      <c r="L26" s="82"/>
      <c r="M26" s="5"/>
      <c r="P26" s="112">
        <v>1300</v>
      </c>
      <c r="Q26" s="112">
        <v>49</v>
      </c>
      <c r="R26" s="112">
        <v>39</v>
      </c>
      <c r="S26" s="112">
        <v>37</v>
      </c>
      <c r="T26" s="112">
        <v>32</v>
      </c>
    </row>
    <row r="27" spans="1:32" x14ac:dyDescent="0.25">
      <c r="E27" s="63"/>
      <c r="F27" s="63"/>
      <c r="H27" s="5"/>
      <c r="I27" s="82"/>
      <c r="J27" s="82"/>
      <c r="K27" s="82"/>
      <c r="L27" s="82"/>
      <c r="M27" s="5"/>
      <c r="O27" s="78"/>
      <c r="P27" s="112">
        <v>1400</v>
      </c>
      <c r="Q27" s="112">
        <v>50.5</v>
      </c>
      <c r="R27" s="112">
        <v>40.5</v>
      </c>
      <c r="S27" s="112">
        <v>38</v>
      </c>
      <c r="T27" s="112">
        <v>33.5</v>
      </c>
    </row>
    <row r="28" spans="1:32" x14ac:dyDescent="0.25">
      <c r="H28" s="5"/>
      <c r="I28" s="5"/>
      <c r="J28" s="5"/>
      <c r="K28" s="5"/>
      <c r="L28" s="5"/>
      <c r="M28" s="5"/>
      <c r="P28" s="112">
        <v>1500</v>
      </c>
      <c r="Q28" s="112">
        <v>52</v>
      </c>
      <c r="R28" s="112">
        <v>42</v>
      </c>
      <c r="S28" s="112">
        <v>39.5</v>
      </c>
      <c r="T28" s="112">
        <v>34.5</v>
      </c>
    </row>
    <row r="29" spans="1:32" x14ac:dyDescent="0.25">
      <c r="H29" s="5"/>
      <c r="I29" s="5"/>
      <c r="J29" s="5"/>
      <c r="K29" s="5"/>
      <c r="L29" s="5"/>
      <c r="M29" s="5"/>
      <c r="P29" s="116">
        <v>1600</v>
      </c>
      <c r="Q29" s="116">
        <v>54</v>
      </c>
      <c r="R29" s="116">
        <v>43</v>
      </c>
      <c r="S29" s="116">
        <v>41</v>
      </c>
      <c r="T29" s="116">
        <v>35.5</v>
      </c>
    </row>
    <row r="30" spans="1:32" x14ac:dyDescent="0.25">
      <c r="H30" s="5"/>
      <c r="I30" s="5"/>
      <c r="J30" s="5"/>
      <c r="K30" s="5"/>
      <c r="L30" s="5"/>
      <c r="M30" s="5"/>
      <c r="P30" s="112">
        <v>1700</v>
      </c>
      <c r="Q30" s="112">
        <v>56</v>
      </c>
      <c r="R30" s="112">
        <v>44.5</v>
      </c>
      <c r="S30" s="112">
        <v>42.5</v>
      </c>
      <c r="T30" s="112">
        <v>36.5</v>
      </c>
    </row>
    <row r="31" spans="1:32" x14ac:dyDescent="0.25">
      <c r="H31" s="5"/>
      <c r="I31" s="5"/>
      <c r="J31" s="5"/>
      <c r="K31" s="5"/>
      <c r="L31" s="5"/>
      <c r="M31" s="5"/>
      <c r="P31" s="112">
        <v>1800</v>
      </c>
      <c r="Q31" s="112">
        <v>57</v>
      </c>
      <c r="R31" s="112">
        <v>46</v>
      </c>
      <c r="S31" s="112">
        <v>43.5</v>
      </c>
      <c r="T31" s="112">
        <v>37.5</v>
      </c>
    </row>
    <row r="32" spans="1:32" x14ac:dyDescent="0.25">
      <c r="H32" s="5"/>
      <c r="I32" s="5"/>
      <c r="J32" s="5"/>
      <c r="K32" s="5"/>
      <c r="L32" s="5"/>
      <c r="M32" s="5"/>
      <c r="P32" s="112">
        <v>1900</v>
      </c>
      <c r="Q32" s="112">
        <v>58.5</v>
      </c>
      <c r="R32" s="112">
        <v>47</v>
      </c>
      <c r="S32" s="112">
        <v>44</v>
      </c>
      <c r="T32" s="112">
        <v>38.5</v>
      </c>
    </row>
    <row r="33" spans="8:20" x14ac:dyDescent="0.25">
      <c r="H33" s="5"/>
      <c r="I33" s="5"/>
      <c r="J33" s="5"/>
      <c r="K33" s="5"/>
      <c r="L33" s="5"/>
      <c r="M33" s="5"/>
      <c r="P33" s="112">
        <v>2000</v>
      </c>
      <c r="Q33" s="112">
        <v>60</v>
      </c>
      <c r="R33" s="112">
        <v>48.5</v>
      </c>
      <c r="S33" s="112">
        <v>45.5</v>
      </c>
      <c r="T33" s="112">
        <v>39.5</v>
      </c>
    </row>
    <row r="34" spans="8:20" x14ac:dyDescent="0.25">
      <c r="H34" s="5"/>
      <c r="I34" s="5"/>
      <c r="J34" s="5"/>
      <c r="K34" s="5"/>
      <c r="L34" s="155"/>
      <c r="M34" s="155"/>
    </row>
    <row r="35" spans="8:20" x14ac:dyDescent="0.25">
      <c r="H35" s="156"/>
      <c r="I35" s="156"/>
      <c r="J35" s="156"/>
      <c r="K35" s="156"/>
      <c r="L35" s="7"/>
      <c r="M35" s="104"/>
    </row>
    <row r="36" spans="8:20" x14ac:dyDescent="0.25">
      <c r="H36" s="148"/>
      <c r="I36" s="148"/>
      <c r="J36" s="148"/>
      <c r="K36" s="148"/>
      <c r="L36" s="148"/>
      <c r="M36" s="148"/>
    </row>
    <row r="37" spans="8:20" x14ac:dyDescent="0.25">
      <c r="H37" s="5"/>
      <c r="I37" s="5"/>
      <c r="J37" s="5"/>
      <c r="K37" s="5"/>
      <c r="L37" s="7"/>
      <c r="M37" s="105"/>
    </row>
    <row r="38" spans="8:20" x14ac:dyDescent="0.25">
      <c r="H38" s="156"/>
      <c r="I38" s="156"/>
      <c r="J38" s="156"/>
      <c r="K38" s="156"/>
      <c r="L38" s="7"/>
      <c r="M38" s="104"/>
    </row>
    <row r="39" spans="8:20" x14ac:dyDescent="0.25">
      <c r="H39" s="5"/>
      <c r="I39" s="5"/>
      <c r="J39" s="5"/>
      <c r="K39" s="5"/>
      <c r="L39" s="7"/>
      <c r="M39" s="105"/>
    </row>
    <row r="40" spans="8:20" x14ac:dyDescent="0.25">
      <c r="H40" s="156"/>
      <c r="I40" s="156"/>
      <c r="J40" s="156"/>
      <c r="K40" s="156"/>
      <c r="L40" s="7"/>
      <c r="M40" s="104"/>
    </row>
    <row r="41" spans="8:20" x14ac:dyDescent="0.25">
      <c r="H41" s="81"/>
      <c r="I41" s="5"/>
      <c r="J41" s="5"/>
      <c r="K41" s="5"/>
      <c r="L41" s="7"/>
      <c r="M41" s="105"/>
    </row>
    <row r="42" spans="8:20" x14ac:dyDescent="0.25">
      <c r="H42" s="156"/>
      <c r="I42" s="156"/>
      <c r="J42" s="156"/>
      <c r="K42" s="156"/>
      <c r="L42" s="7"/>
      <c r="M42" s="104"/>
    </row>
    <row r="43" spans="8:20" x14ac:dyDescent="0.25">
      <c r="H43" s="156"/>
      <c r="I43" s="156"/>
      <c r="J43" s="156"/>
      <c r="K43" s="156"/>
      <c r="L43" s="156"/>
      <c r="M43" s="156"/>
    </row>
    <row r="44" spans="8:20" x14ac:dyDescent="0.25">
      <c r="H44" s="156"/>
      <c r="I44" s="156"/>
      <c r="J44" s="156"/>
      <c r="K44" s="156"/>
      <c r="L44" s="7"/>
      <c r="M44" s="7"/>
    </row>
    <row r="45" spans="8:20" x14ac:dyDescent="0.25">
      <c r="H45" s="5"/>
      <c r="I45" s="5"/>
      <c r="J45" s="5"/>
      <c r="K45" s="5"/>
      <c r="L45" s="7"/>
      <c r="M45" s="105"/>
    </row>
    <row r="46" spans="8:20" x14ac:dyDescent="0.25">
      <c r="H46" s="49"/>
      <c r="I46" s="49"/>
      <c r="J46" s="49"/>
      <c r="K46" s="49"/>
      <c r="L46" s="8"/>
      <c r="M46" s="106"/>
    </row>
    <row r="61" spans="1:1" x14ac:dyDescent="0.25">
      <c r="A61" s="45" t="s">
        <v>195</v>
      </c>
    </row>
    <row r="62" spans="1:1" x14ac:dyDescent="0.25">
      <c r="A62" s="45" t="s">
        <v>606</v>
      </c>
    </row>
    <row r="63" spans="1:1" x14ac:dyDescent="0.25">
      <c r="A63" s="45" t="s">
        <v>607</v>
      </c>
    </row>
    <row r="64" spans="1:1" x14ac:dyDescent="0.25">
      <c r="A64" s="45" t="s">
        <v>608</v>
      </c>
    </row>
    <row r="65" spans="1:1" x14ac:dyDescent="0.25">
      <c r="A65" s="48" t="s">
        <v>609</v>
      </c>
    </row>
  </sheetData>
  <sheetProtection password="E156" sheet="1" objects="1" scenarios="1"/>
  <mergeCells count="19">
    <mergeCell ref="H44:K44"/>
    <mergeCell ref="H36:M36"/>
    <mergeCell ref="H43:M43"/>
    <mergeCell ref="H35:K35"/>
    <mergeCell ref="H38:K38"/>
    <mergeCell ref="H40:K40"/>
    <mergeCell ref="H42:K42"/>
    <mergeCell ref="A22:F22"/>
    <mergeCell ref="L34:M34"/>
    <mergeCell ref="A14:D14"/>
    <mergeCell ref="A17:D17"/>
    <mergeCell ref="A19:D19"/>
    <mergeCell ref="A23:D23"/>
    <mergeCell ref="A21:D21"/>
    <mergeCell ref="X6:AA6"/>
    <mergeCell ref="AD6:AF6"/>
    <mergeCell ref="E13:F13"/>
    <mergeCell ref="A15:F15"/>
    <mergeCell ref="A20:F20"/>
  </mergeCells>
  <phoneticPr fontId="0" type="noConversion"/>
  <dataValidations count="6">
    <dataValidation type="list" allowBlank="1" showInputMessage="1" showErrorMessage="1" sqref="K12">
      <formula1>$P$7:$P$8</formula1>
    </dataValidation>
    <dataValidation type="list" allowBlank="1" showInputMessage="1" showErrorMessage="1" sqref="K10">
      <formula1>$R$7:$R$9</formula1>
    </dataValidation>
    <dataValidation type="list" allowBlank="1" showInputMessage="1" showErrorMessage="1" sqref="K11">
      <formula1>$T$7:$T$10</formula1>
    </dataValidation>
    <dataValidation type="list" allowBlank="1" showInputMessage="1" showErrorMessage="1" sqref="K13">
      <formula1>$X$7:$AA$7</formula1>
    </dataValidation>
    <dataValidation type="list" allowBlank="1" showInputMessage="1" showErrorMessage="1" sqref="K15">
      <formula1>$W$17:$W$18</formula1>
    </dataValidation>
    <dataValidation type="list" allowBlank="1" showInputMessage="1" showErrorMessage="1" sqref="K14">
      <formula1>$AD$7:$AF$7</formula1>
    </dataValidation>
  </dataValidations>
  <printOptions horizontalCentered="1"/>
  <pageMargins left="0.7" right="0.7" top="0.75" bottom="0.75" header="0.3" footer="0.3"/>
  <pageSetup paperSize="199" scale="78" orientation="landscape" r:id="rId1"/>
  <headerFooter>
    <oddHeader>&amp;CCALCULATION SPREADSHEET FOR GPSA ENGINEERING DATA BOOK, 13&amp;Xth&amp;X ED.
EXAMPLE 9-3</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D94"/>
  <sheetViews>
    <sheetView zoomScale="80" zoomScaleNormal="80" workbookViewId="0">
      <selection activeCell="AG31" sqref="AG31"/>
    </sheetView>
  </sheetViews>
  <sheetFormatPr defaultRowHeight="15" x14ac:dyDescent="0.25"/>
  <cols>
    <col min="1" max="3" width="33.42578125" style="2" customWidth="1"/>
    <col min="4" max="4" width="5.28515625" style="2" customWidth="1"/>
    <col min="5" max="5" width="11.85546875" style="2" customWidth="1"/>
    <col min="6" max="6" width="10.7109375" style="2" customWidth="1"/>
    <col min="7" max="8" width="23.85546875" style="2" customWidth="1"/>
    <col min="9" max="11" width="9.140625" style="2"/>
    <col min="12" max="12" width="38" style="2" customWidth="1"/>
    <col min="13" max="13" width="7.7109375" style="63" customWidth="1"/>
    <col min="14" max="14" width="4" style="63" customWidth="1"/>
    <col min="15" max="15" width="21.28515625" style="63" bestFit="1" customWidth="1"/>
    <col min="16" max="16" width="9.140625" style="2"/>
    <col min="17" max="17" width="38" style="2" customWidth="1"/>
    <col min="18" max="19" width="9.140625" style="2"/>
    <col min="20" max="20" width="21.85546875" style="18" customWidth="1"/>
    <col min="21" max="21" width="23.28515625" style="18" customWidth="1"/>
    <col min="22" max="22" width="21.28515625" style="18" bestFit="1" customWidth="1"/>
    <col min="23" max="23" width="23.140625" style="18" customWidth="1"/>
    <col min="24" max="24" width="18" style="18" customWidth="1"/>
    <col min="25" max="25" width="9.140625" style="11"/>
    <col min="26" max="26" width="20.140625" style="11" bestFit="1" customWidth="1"/>
    <col min="27" max="27" width="17.140625" style="11" customWidth="1"/>
    <col min="28" max="30" width="9.140625" style="11"/>
    <col min="31" max="16384" width="9.140625" style="20"/>
  </cols>
  <sheetData>
    <row r="1" spans="1:30" x14ac:dyDescent="0.25">
      <c r="A1" s="19" t="s">
        <v>599</v>
      </c>
    </row>
    <row r="5" spans="1:30" x14ac:dyDescent="0.25">
      <c r="A5" s="50" t="s">
        <v>193</v>
      </c>
      <c r="B5" s="51"/>
      <c r="C5" s="51"/>
      <c r="D5" s="51"/>
      <c r="E5" s="51"/>
      <c r="F5" s="51"/>
      <c r="G5" s="51"/>
      <c r="H5" s="51"/>
      <c r="J5" s="64" t="s">
        <v>194</v>
      </c>
      <c r="K5" s="65"/>
      <c r="L5" s="65"/>
      <c r="M5" s="1"/>
      <c r="N5" s="1"/>
      <c r="O5" s="1"/>
      <c r="P5" s="65"/>
      <c r="Q5" s="65"/>
    </row>
    <row r="6" spans="1:30" ht="28.5" customHeight="1" x14ac:dyDescent="0.25">
      <c r="A6" s="51" t="s">
        <v>76</v>
      </c>
      <c r="B6" s="51"/>
      <c r="C6" s="51"/>
      <c r="D6" s="51"/>
      <c r="E6" s="51" t="s">
        <v>116</v>
      </c>
      <c r="F6" s="51"/>
      <c r="G6" s="145" t="s">
        <v>181</v>
      </c>
      <c r="H6" s="145"/>
      <c r="J6" s="70"/>
      <c r="K6" s="65"/>
      <c r="L6" s="65"/>
      <c r="M6" s="1"/>
      <c r="N6" s="1"/>
      <c r="O6" s="1"/>
      <c r="P6" s="65"/>
      <c r="Q6" s="65"/>
      <c r="T6" s="128" t="s">
        <v>477</v>
      </c>
      <c r="W6" s="111" t="s">
        <v>613</v>
      </c>
      <c r="X6" s="11"/>
    </row>
    <row r="7" spans="1:30" x14ac:dyDescent="0.25">
      <c r="A7" s="51" t="s">
        <v>112</v>
      </c>
      <c r="B7" s="51"/>
      <c r="C7" s="51"/>
      <c r="D7" s="51" t="s">
        <v>172</v>
      </c>
      <c r="E7" s="86">
        <v>810</v>
      </c>
      <c r="F7" s="51" t="s">
        <v>113</v>
      </c>
      <c r="G7" s="51">
        <v>18.600000000000001</v>
      </c>
      <c r="H7" s="51" t="s">
        <v>117</v>
      </c>
      <c r="J7" s="64" t="s">
        <v>241</v>
      </c>
      <c r="K7" s="65"/>
      <c r="L7" s="65"/>
      <c r="M7" s="1"/>
      <c r="N7" s="1"/>
      <c r="O7" s="1"/>
      <c r="P7" s="65"/>
      <c r="Q7" s="65"/>
      <c r="T7" s="128">
        <v>12</v>
      </c>
      <c r="W7" s="11"/>
      <c r="X7" s="11"/>
    </row>
    <row r="8" spans="1:30" x14ac:dyDescent="0.25">
      <c r="A8" s="51" t="s">
        <v>188</v>
      </c>
      <c r="B8" s="51"/>
      <c r="C8" s="51"/>
      <c r="D8" s="51" t="s">
        <v>172</v>
      </c>
      <c r="E8" s="86">
        <v>205</v>
      </c>
      <c r="F8" s="51" t="s">
        <v>113</v>
      </c>
      <c r="G8" s="51">
        <v>9.6999999999999993</v>
      </c>
      <c r="H8" s="51" t="s">
        <v>117</v>
      </c>
      <c r="J8" s="70"/>
      <c r="K8" s="65"/>
      <c r="L8" s="65"/>
      <c r="M8" s="1"/>
      <c r="N8" s="1"/>
      <c r="O8" s="1"/>
      <c r="P8" s="65"/>
      <c r="Q8" s="65"/>
      <c r="T8" s="128">
        <v>17</v>
      </c>
      <c r="W8" s="112" t="s">
        <v>474</v>
      </c>
      <c r="X8" s="112" t="s">
        <v>308</v>
      </c>
    </row>
    <row r="9" spans="1:30" ht="16.5" x14ac:dyDescent="0.25">
      <c r="A9" s="51" t="s">
        <v>189</v>
      </c>
      <c r="B9" s="51"/>
      <c r="C9" s="51"/>
      <c r="D9" s="51" t="s">
        <v>172</v>
      </c>
      <c r="E9" s="86">
        <v>285</v>
      </c>
      <c r="F9" s="51" t="s">
        <v>113</v>
      </c>
      <c r="G9" s="51">
        <v>11.6</v>
      </c>
      <c r="H9" s="51" t="s">
        <v>117</v>
      </c>
      <c r="J9" s="70" t="s">
        <v>535</v>
      </c>
      <c r="K9" s="65"/>
      <c r="L9" s="65"/>
      <c r="M9" s="73" t="s">
        <v>534</v>
      </c>
      <c r="N9" s="73" t="s">
        <v>242</v>
      </c>
      <c r="O9" s="73">
        <v>40650</v>
      </c>
      <c r="P9" s="65" t="s">
        <v>120</v>
      </c>
      <c r="Q9" s="65"/>
      <c r="T9" s="128">
        <v>25</v>
      </c>
      <c r="W9" s="112">
        <v>25</v>
      </c>
      <c r="X9" s="112">
        <v>3</v>
      </c>
    </row>
    <row r="10" spans="1:30" ht="16.5" x14ac:dyDescent="0.25">
      <c r="A10" s="51" t="s">
        <v>148</v>
      </c>
      <c r="B10" s="51"/>
      <c r="C10" s="51"/>
      <c r="D10" s="51" t="s">
        <v>172</v>
      </c>
      <c r="E10" s="86">
        <v>1</v>
      </c>
      <c r="F10" s="51"/>
      <c r="G10" s="51"/>
      <c r="H10" s="51"/>
      <c r="J10" s="70" t="s">
        <v>536</v>
      </c>
      <c r="K10" s="65"/>
      <c r="L10" s="65"/>
      <c r="M10" s="73" t="s">
        <v>539</v>
      </c>
      <c r="N10" s="73" t="s">
        <v>242</v>
      </c>
      <c r="O10" s="73">
        <v>0</v>
      </c>
      <c r="P10" s="65" t="s">
        <v>120</v>
      </c>
      <c r="Q10" s="65"/>
      <c r="T10" s="128">
        <v>36</v>
      </c>
      <c r="W10" s="112">
        <v>50</v>
      </c>
      <c r="X10" s="112">
        <v>4.3</v>
      </c>
    </row>
    <row r="11" spans="1:30" ht="16.5" x14ac:dyDescent="0.25">
      <c r="A11" s="51" t="s">
        <v>149</v>
      </c>
      <c r="B11" s="51"/>
      <c r="C11" s="51"/>
      <c r="D11" s="51"/>
      <c r="E11" s="86"/>
      <c r="F11" s="51"/>
      <c r="G11" s="51"/>
      <c r="H11" s="51"/>
      <c r="J11" s="70" t="s">
        <v>537</v>
      </c>
      <c r="K11" s="65"/>
      <c r="L11" s="65"/>
      <c r="M11" s="73" t="s">
        <v>540</v>
      </c>
      <c r="N11" s="73" t="s">
        <v>242</v>
      </c>
      <c r="O11" s="73">
        <v>32195</v>
      </c>
      <c r="P11" s="65" t="s">
        <v>120</v>
      </c>
      <c r="Q11" s="65"/>
      <c r="T11" s="128">
        <v>42</v>
      </c>
      <c r="W11" s="112">
        <v>100</v>
      </c>
      <c r="X11" s="112">
        <v>6.5</v>
      </c>
    </row>
    <row r="12" spans="1:30" s="34" customFormat="1" ht="16.5" x14ac:dyDescent="0.25">
      <c r="A12" s="56" t="s">
        <v>119</v>
      </c>
      <c r="B12" s="56"/>
      <c r="C12" s="56"/>
      <c r="D12" s="56" t="s">
        <v>172</v>
      </c>
      <c r="E12" s="90">
        <v>25</v>
      </c>
      <c r="F12" s="56" t="s">
        <v>104</v>
      </c>
      <c r="G12" s="140" t="s">
        <v>180</v>
      </c>
      <c r="H12" s="140"/>
      <c r="I12" s="33"/>
      <c r="J12" s="70" t="s">
        <v>538</v>
      </c>
      <c r="K12" s="65"/>
      <c r="L12" s="65"/>
      <c r="M12" s="73" t="s">
        <v>541</v>
      </c>
      <c r="N12" s="73" t="s">
        <v>242</v>
      </c>
      <c r="O12" s="73">
        <v>8455</v>
      </c>
      <c r="P12" s="65" t="s">
        <v>120</v>
      </c>
      <c r="Q12" s="65"/>
      <c r="R12" s="33"/>
      <c r="S12" s="33"/>
      <c r="T12" s="129">
        <v>48</v>
      </c>
      <c r="U12" s="130"/>
      <c r="V12" s="130"/>
      <c r="W12" s="131">
        <v>150</v>
      </c>
      <c r="X12" s="131">
        <v>8.25</v>
      </c>
      <c r="Y12" s="132"/>
      <c r="Z12" s="132"/>
      <c r="AA12" s="132"/>
      <c r="AB12" s="132"/>
      <c r="AC12" s="132"/>
      <c r="AD12" s="132"/>
    </row>
    <row r="13" spans="1:30" ht="16.5" x14ac:dyDescent="0.25">
      <c r="A13" s="51" t="s">
        <v>121</v>
      </c>
      <c r="B13" s="51"/>
      <c r="C13" s="51"/>
      <c r="D13" s="51" t="s">
        <v>172</v>
      </c>
      <c r="E13" s="93">
        <v>40650</v>
      </c>
      <c r="F13" s="51" t="s">
        <v>120</v>
      </c>
      <c r="G13" s="51"/>
      <c r="H13" s="51"/>
      <c r="J13" s="70" t="s">
        <v>460</v>
      </c>
      <c r="K13" s="65"/>
      <c r="L13" s="65"/>
      <c r="M13" s="73" t="s">
        <v>463</v>
      </c>
      <c r="N13" s="73" t="s">
        <v>242</v>
      </c>
      <c r="O13" s="73">
        <v>810</v>
      </c>
      <c r="P13" s="65" t="s">
        <v>113</v>
      </c>
      <c r="Q13" s="65"/>
      <c r="W13" s="112">
        <v>200</v>
      </c>
      <c r="X13" s="112">
        <v>9.6999999999999993</v>
      </c>
    </row>
    <row r="14" spans="1:30" ht="18.75" x14ac:dyDescent="0.3">
      <c r="A14" s="51" t="s">
        <v>122</v>
      </c>
      <c r="B14" s="51"/>
      <c r="C14" s="51"/>
      <c r="D14" s="51" t="s">
        <v>172</v>
      </c>
      <c r="E14" s="93">
        <v>31320</v>
      </c>
      <c r="F14" s="51" t="s">
        <v>120</v>
      </c>
      <c r="G14" s="51"/>
      <c r="H14" s="51"/>
      <c r="J14" s="70" t="s">
        <v>514</v>
      </c>
      <c r="K14" s="65"/>
      <c r="L14" s="65"/>
      <c r="M14" s="1" t="s">
        <v>513</v>
      </c>
      <c r="N14" s="73" t="s">
        <v>242</v>
      </c>
      <c r="O14" s="73">
        <v>2.79</v>
      </c>
      <c r="P14" s="65" t="s">
        <v>503</v>
      </c>
      <c r="Q14" s="65"/>
      <c r="W14" s="112">
        <v>250</v>
      </c>
      <c r="X14" s="112">
        <v>10.8</v>
      </c>
    </row>
    <row r="15" spans="1:30" ht="18.75" x14ac:dyDescent="0.3">
      <c r="A15" s="51" t="s">
        <v>123</v>
      </c>
      <c r="B15" s="51"/>
      <c r="C15" s="51"/>
      <c r="D15" s="51" t="s">
        <v>172</v>
      </c>
      <c r="E15" s="93">
        <v>14780</v>
      </c>
      <c r="F15" s="51" t="s">
        <v>120</v>
      </c>
      <c r="G15" s="51"/>
      <c r="H15" s="51"/>
      <c r="J15" s="70" t="s">
        <v>515</v>
      </c>
      <c r="K15" s="65"/>
      <c r="L15" s="65"/>
      <c r="M15" s="1" t="s">
        <v>516</v>
      </c>
      <c r="N15" s="73" t="s">
        <v>242</v>
      </c>
      <c r="O15" s="73"/>
      <c r="P15" s="65" t="s">
        <v>503</v>
      </c>
      <c r="Q15" s="65"/>
      <c r="W15" s="112">
        <v>300</v>
      </c>
      <c r="X15" s="112">
        <v>11.8</v>
      </c>
    </row>
    <row r="16" spans="1:30" ht="18.75" x14ac:dyDescent="0.3">
      <c r="A16" s="51" t="s">
        <v>136</v>
      </c>
      <c r="B16" s="51"/>
      <c r="C16" s="51"/>
      <c r="D16" s="51" t="s">
        <v>172</v>
      </c>
      <c r="E16" s="93">
        <v>5500000</v>
      </c>
      <c r="F16" s="51" t="s">
        <v>137</v>
      </c>
      <c r="G16" s="51"/>
      <c r="H16" s="51"/>
      <c r="J16" s="70" t="s">
        <v>509</v>
      </c>
      <c r="K16" s="65"/>
      <c r="L16" s="65"/>
      <c r="M16" s="1" t="s">
        <v>511</v>
      </c>
      <c r="N16" s="73" t="s">
        <v>242</v>
      </c>
      <c r="O16" s="73">
        <v>4.84</v>
      </c>
      <c r="P16" s="65" t="s">
        <v>503</v>
      </c>
      <c r="Q16" s="65"/>
      <c r="T16" s="128" t="s">
        <v>489</v>
      </c>
      <c r="W16" s="112">
        <v>350</v>
      </c>
      <c r="X16" s="112">
        <v>12.75</v>
      </c>
    </row>
    <row r="17" spans="1:24" ht="18.75" x14ac:dyDescent="0.3">
      <c r="A17" s="51" t="s">
        <v>138</v>
      </c>
      <c r="B17" s="51"/>
      <c r="C17" s="51"/>
      <c r="D17" s="51" t="s">
        <v>172</v>
      </c>
      <c r="E17" s="120">
        <v>11.22</v>
      </c>
      <c r="F17" s="51" t="s">
        <v>28</v>
      </c>
      <c r="G17" s="51"/>
      <c r="H17" s="51"/>
      <c r="J17" s="70" t="s">
        <v>510</v>
      </c>
      <c r="K17" s="65"/>
      <c r="L17" s="65"/>
      <c r="M17" s="1" t="s">
        <v>512</v>
      </c>
      <c r="N17" s="73" t="s">
        <v>242</v>
      </c>
      <c r="O17" s="73">
        <v>28</v>
      </c>
      <c r="P17" s="65" t="s">
        <v>503</v>
      </c>
      <c r="Q17" s="65"/>
      <c r="T17" s="128" t="s">
        <v>490</v>
      </c>
      <c r="W17" s="112">
        <v>400</v>
      </c>
      <c r="X17" s="112">
        <v>13.6</v>
      </c>
    </row>
    <row r="18" spans="1:24" x14ac:dyDescent="0.25">
      <c r="A18" s="51" t="s">
        <v>139</v>
      </c>
      <c r="B18" s="51"/>
      <c r="C18" s="51"/>
      <c r="D18" s="51" t="s">
        <v>172</v>
      </c>
      <c r="E18" s="93">
        <v>10</v>
      </c>
      <c r="F18" s="51" t="s">
        <v>113</v>
      </c>
      <c r="G18" s="51"/>
      <c r="H18" s="51"/>
      <c r="J18" s="70" t="s">
        <v>505</v>
      </c>
      <c r="K18" s="65"/>
      <c r="L18" s="65"/>
      <c r="M18" s="1"/>
      <c r="N18" s="73" t="s">
        <v>242</v>
      </c>
      <c r="O18" s="73" t="s">
        <v>504</v>
      </c>
      <c r="P18" s="65"/>
      <c r="Q18" s="65"/>
      <c r="T18" s="128" t="s">
        <v>491</v>
      </c>
      <c r="W18" s="112">
        <v>450</v>
      </c>
      <c r="X18" s="112">
        <v>14.5</v>
      </c>
    </row>
    <row r="19" spans="1:24" x14ac:dyDescent="0.25">
      <c r="A19" s="51" t="s">
        <v>140</v>
      </c>
      <c r="B19" s="51"/>
      <c r="C19" s="51"/>
      <c r="D19" s="51" t="s">
        <v>172</v>
      </c>
      <c r="E19" s="93">
        <v>7</v>
      </c>
      <c r="F19" s="51" t="s">
        <v>113</v>
      </c>
      <c r="G19" s="51"/>
      <c r="H19" s="51"/>
      <c r="J19" s="70"/>
      <c r="K19" s="65"/>
      <c r="L19" s="65"/>
      <c r="M19" s="1"/>
      <c r="N19" s="73"/>
      <c r="O19" s="73"/>
      <c r="P19" s="65"/>
      <c r="Q19" s="65"/>
      <c r="W19" s="112">
        <v>500</v>
      </c>
      <c r="X19" s="112">
        <v>15.2</v>
      </c>
    </row>
    <row r="20" spans="1:24" ht="16.5" x14ac:dyDescent="0.25">
      <c r="A20" s="51" t="s">
        <v>141</v>
      </c>
      <c r="B20" s="51"/>
      <c r="C20" s="51"/>
      <c r="D20" s="51" t="s">
        <v>172</v>
      </c>
      <c r="E20" s="93">
        <v>7</v>
      </c>
      <c r="F20" s="51" t="s">
        <v>113</v>
      </c>
      <c r="G20" s="51"/>
      <c r="H20" s="51"/>
      <c r="J20" s="70" t="s">
        <v>542</v>
      </c>
      <c r="K20" s="65"/>
      <c r="L20" s="65"/>
      <c r="M20" s="73" t="s">
        <v>546</v>
      </c>
      <c r="N20" s="73" t="s">
        <v>242</v>
      </c>
      <c r="O20" s="73">
        <v>31320</v>
      </c>
      <c r="P20" s="65" t="s">
        <v>120</v>
      </c>
      <c r="Q20" s="65"/>
      <c r="W20" s="112">
        <v>550</v>
      </c>
      <c r="X20" s="112">
        <v>15.75</v>
      </c>
    </row>
    <row r="21" spans="1:24" ht="16.5" x14ac:dyDescent="0.3">
      <c r="A21" s="51" t="s">
        <v>231</v>
      </c>
      <c r="B21" s="51"/>
      <c r="C21" s="51"/>
      <c r="D21" s="51" t="s">
        <v>172</v>
      </c>
      <c r="E21" s="121">
        <v>0.79200000000000004</v>
      </c>
      <c r="F21" s="51"/>
      <c r="G21" s="51"/>
      <c r="H21" s="51"/>
      <c r="J21" s="70" t="s">
        <v>544</v>
      </c>
      <c r="K21" s="65"/>
      <c r="L21" s="65"/>
      <c r="M21" s="73" t="s">
        <v>547</v>
      </c>
      <c r="N21" s="73" t="s">
        <v>242</v>
      </c>
      <c r="O21" s="73">
        <v>0</v>
      </c>
      <c r="P21" s="65" t="s">
        <v>120</v>
      </c>
      <c r="Q21" s="65"/>
      <c r="W21" s="112">
        <v>600</v>
      </c>
      <c r="X21" s="112">
        <v>16.5</v>
      </c>
    </row>
    <row r="22" spans="1:24" ht="16.5" x14ac:dyDescent="0.3">
      <c r="A22" s="51" t="s">
        <v>232</v>
      </c>
      <c r="B22" s="51"/>
      <c r="C22" s="51"/>
      <c r="D22" s="51" t="s">
        <v>172</v>
      </c>
      <c r="E22" s="121">
        <f>1-E21</f>
        <v>0.20799999999999996</v>
      </c>
      <c r="F22" s="51"/>
      <c r="G22" s="51"/>
      <c r="H22" s="51"/>
      <c r="J22" s="70" t="s">
        <v>543</v>
      </c>
      <c r="K22" s="65"/>
      <c r="L22" s="65"/>
      <c r="M22" s="73" t="s">
        <v>548</v>
      </c>
      <c r="N22" s="73" t="s">
        <v>242</v>
      </c>
      <c r="O22" s="73">
        <v>31320</v>
      </c>
      <c r="P22" s="65" t="s">
        <v>120</v>
      </c>
      <c r="Q22" s="65"/>
      <c r="T22" s="128" t="s">
        <v>475</v>
      </c>
      <c r="U22" s="128" t="s">
        <v>493</v>
      </c>
      <c r="W22" s="112">
        <v>650</v>
      </c>
      <c r="X22" s="112">
        <v>17</v>
      </c>
    </row>
    <row r="23" spans="1:24" ht="16.5" x14ac:dyDescent="0.25">
      <c r="A23" s="51" t="s">
        <v>145</v>
      </c>
      <c r="B23" s="51"/>
      <c r="C23" s="51"/>
      <c r="D23" s="51" t="s">
        <v>172</v>
      </c>
      <c r="E23" s="121">
        <v>4.84</v>
      </c>
      <c r="F23" s="51" t="s">
        <v>146</v>
      </c>
      <c r="G23" s="51"/>
      <c r="H23" s="51"/>
      <c r="J23" s="70" t="s">
        <v>545</v>
      </c>
      <c r="K23" s="65"/>
      <c r="L23" s="65"/>
      <c r="M23" s="73" t="s">
        <v>549</v>
      </c>
      <c r="N23" s="73" t="s">
        <v>242</v>
      </c>
      <c r="O23" s="73">
        <v>0</v>
      </c>
      <c r="P23" s="65" t="s">
        <v>120</v>
      </c>
      <c r="Q23" s="65"/>
      <c r="T23" s="128" t="s">
        <v>490</v>
      </c>
      <c r="U23" s="128">
        <f>ROUNDUP(O59/(O44*O58*O43*SQRT(O54+AVERAGE(O55,O56)))+0.65*O44,0)</f>
        <v>178</v>
      </c>
      <c r="W23" s="112">
        <v>700</v>
      </c>
      <c r="X23" s="112">
        <v>17.5</v>
      </c>
    </row>
    <row r="24" spans="1:24" ht="16.5" x14ac:dyDescent="0.25">
      <c r="A24" s="51" t="s">
        <v>147</v>
      </c>
      <c r="B24" s="51"/>
      <c r="C24" s="51"/>
      <c r="D24" s="51" t="s">
        <v>172</v>
      </c>
      <c r="E24" s="93">
        <v>28</v>
      </c>
      <c r="F24" s="51" t="s">
        <v>146</v>
      </c>
      <c r="G24" s="51"/>
      <c r="H24" s="51"/>
      <c r="J24" s="70" t="s">
        <v>461</v>
      </c>
      <c r="K24" s="65"/>
      <c r="L24" s="65"/>
      <c r="M24" s="73" t="s">
        <v>464</v>
      </c>
      <c r="N24" s="73" t="s">
        <v>242</v>
      </c>
      <c r="O24" s="73">
        <v>205</v>
      </c>
      <c r="P24" s="65" t="s">
        <v>113</v>
      </c>
      <c r="Q24" s="65"/>
      <c r="T24" s="128" t="s">
        <v>491</v>
      </c>
      <c r="U24" s="128">
        <f>ROUNDUP(1.5*O59/(O44*O58*O43*SQRT(AVERAGE(O54)+AVERAGE(O55:O56)))+0.65*O44,0)</f>
        <v>258</v>
      </c>
      <c r="W24" s="112">
        <v>750</v>
      </c>
      <c r="X24" s="112">
        <v>18</v>
      </c>
    </row>
    <row r="25" spans="1:24" ht="18.75" x14ac:dyDescent="0.3">
      <c r="A25" s="51" t="s">
        <v>151</v>
      </c>
      <c r="B25" s="51"/>
      <c r="C25" s="51"/>
      <c r="D25" s="51" t="s">
        <v>172</v>
      </c>
      <c r="E25" s="121">
        <v>2.79</v>
      </c>
      <c r="F25" s="51" t="s">
        <v>146</v>
      </c>
      <c r="G25" s="51"/>
      <c r="H25" s="51"/>
      <c r="J25" s="70" t="s">
        <v>517</v>
      </c>
      <c r="K25" s="65"/>
      <c r="L25" s="65"/>
      <c r="M25" s="1" t="s">
        <v>521</v>
      </c>
      <c r="N25" s="73" t="s">
        <v>242</v>
      </c>
      <c r="O25" s="73">
        <v>1.02</v>
      </c>
      <c r="P25" s="65" t="s">
        <v>503</v>
      </c>
      <c r="Q25" s="65"/>
      <c r="W25" s="112">
        <v>800</v>
      </c>
      <c r="X25" s="112">
        <v>18.5</v>
      </c>
    </row>
    <row r="26" spans="1:24" ht="18.75" x14ac:dyDescent="0.3">
      <c r="A26" s="51" t="s">
        <v>152</v>
      </c>
      <c r="B26" s="51"/>
      <c r="C26" s="51"/>
      <c r="D26" s="51" t="s">
        <v>172</v>
      </c>
      <c r="E26" s="121">
        <v>1.02</v>
      </c>
      <c r="F26" s="51" t="s">
        <v>146</v>
      </c>
      <c r="G26" s="51"/>
      <c r="H26" s="51"/>
      <c r="J26" s="70" t="s">
        <v>518</v>
      </c>
      <c r="K26" s="65"/>
      <c r="L26" s="65"/>
      <c r="M26" s="1" t="s">
        <v>522</v>
      </c>
      <c r="N26" s="73" t="s">
        <v>242</v>
      </c>
      <c r="O26" s="73"/>
      <c r="P26" s="65" t="s">
        <v>503</v>
      </c>
      <c r="Q26" s="65"/>
      <c r="T26" s="128" t="s">
        <v>480</v>
      </c>
      <c r="U26" s="128" t="s">
        <v>493</v>
      </c>
      <c r="W26" s="112">
        <v>850</v>
      </c>
      <c r="X26" s="112">
        <v>19</v>
      </c>
    </row>
    <row r="27" spans="1:24" ht="18.75" x14ac:dyDescent="0.3">
      <c r="A27" s="51" t="s">
        <v>153</v>
      </c>
      <c r="B27" s="51"/>
      <c r="C27" s="51"/>
      <c r="D27" s="51" t="s">
        <v>172</v>
      </c>
      <c r="E27" s="121">
        <v>0.56000000000000005</v>
      </c>
      <c r="F27" s="51" t="s">
        <v>146</v>
      </c>
      <c r="G27" s="51"/>
      <c r="H27" s="51"/>
      <c r="J27" s="70" t="s">
        <v>519</v>
      </c>
      <c r="K27" s="65"/>
      <c r="L27" s="65"/>
      <c r="M27" s="1" t="s">
        <v>523</v>
      </c>
      <c r="N27" s="73" t="s">
        <v>242</v>
      </c>
      <c r="O27" s="73">
        <v>0.56000000000000005</v>
      </c>
      <c r="P27" s="65" t="s">
        <v>503</v>
      </c>
      <c r="Q27" s="65"/>
      <c r="T27" s="128" t="s">
        <v>490</v>
      </c>
      <c r="U27" s="128">
        <f>ROUNDUP(0.67*O59/(O44*O58*O43*SQRT(O54))+0.65*O44,0)</f>
        <v>151</v>
      </c>
      <c r="W27" s="112">
        <v>900</v>
      </c>
      <c r="X27" s="112">
        <v>19.5</v>
      </c>
    </row>
    <row r="28" spans="1:24" ht="18.75" x14ac:dyDescent="0.3">
      <c r="A28" s="51" t="s">
        <v>182</v>
      </c>
      <c r="B28" s="51"/>
      <c r="C28" s="51"/>
      <c r="D28" s="51" t="s">
        <v>172</v>
      </c>
      <c r="E28" s="121">
        <v>1.32</v>
      </c>
      <c r="F28" s="51" t="s">
        <v>146</v>
      </c>
      <c r="G28" s="51"/>
      <c r="H28" s="51"/>
      <c r="J28" s="70" t="s">
        <v>520</v>
      </c>
      <c r="K28" s="65"/>
      <c r="L28" s="65"/>
      <c r="M28" s="1" t="s">
        <v>524</v>
      </c>
      <c r="N28" s="73" t="s">
        <v>242</v>
      </c>
      <c r="O28" s="73"/>
      <c r="P28" s="65" t="s">
        <v>503</v>
      </c>
      <c r="Q28" s="65"/>
      <c r="T28" s="128" t="s">
        <v>491</v>
      </c>
      <c r="U28" s="128">
        <f>ROUNDUP(O59/(O44*O58*O43*SQRT(O54))+0.65*O44,0)</f>
        <v>217</v>
      </c>
      <c r="W28" s="112">
        <v>950</v>
      </c>
      <c r="X28" s="112">
        <v>20</v>
      </c>
    </row>
    <row r="29" spans="1:24" x14ac:dyDescent="0.25">
      <c r="A29" s="51" t="s">
        <v>154</v>
      </c>
      <c r="B29" s="51"/>
      <c r="C29" s="51"/>
      <c r="D29" s="51" t="s">
        <v>172</v>
      </c>
      <c r="E29" s="121">
        <v>0.8</v>
      </c>
      <c r="F29" s="51" t="s">
        <v>146</v>
      </c>
      <c r="G29" s="51"/>
      <c r="H29" s="51"/>
      <c r="J29" s="70" t="s">
        <v>506</v>
      </c>
      <c r="K29" s="65"/>
      <c r="L29" s="65"/>
      <c r="M29" s="1"/>
      <c r="N29" s="73" t="s">
        <v>242</v>
      </c>
      <c r="O29" s="73" t="s">
        <v>507</v>
      </c>
      <c r="P29" s="65"/>
      <c r="Q29" s="65"/>
      <c r="W29" s="112">
        <v>1000</v>
      </c>
      <c r="X29" s="112">
        <v>20.25</v>
      </c>
    </row>
    <row r="30" spans="1:24" x14ac:dyDescent="0.25">
      <c r="A30" s="51" t="s">
        <v>233</v>
      </c>
      <c r="B30" s="51"/>
      <c r="C30" s="51"/>
      <c r="D30" s="51"/>
      <c r="E30" s="86"/>
      <c r="F30" s="51"/>
      <c r="G30" s="51"/>
      <c r="H30" s="51"/>
      <c r="J30" s="70"/>
      <c r="K30" s="65"/>
      <c r="L30" s="65"/>
      <c r="M30" s="1"/>
      <c r="N30" s="73"/>
      <c r="O30" s="73"/>
      <c r="P30" s="65"/>
      <c r="Q30" s="65"/>
      <c r="T30" s="128" t="s">
        <v>564</v>
      </c>
      <c r="U30" s="128" t="s">
        <v>565</v>
      </c>
      <c r="W30" s="112">
        <v>1050</v>
      </c>
      <c r="X30" s="112">
        <v>20.75</v>
      </c>
    </row>
    <row r="31" spans="1:24" ht="16.5" x14ac:dyDescent="0.25">
      <c r="A31" s="51" t="s">
        <v>114</v>
      </c>
      <c r="B31" s="51"/>
      <c r="C31" s="51"/>
      <c r="D31" s="51"/>
      <c r="E31" s="86"/>
      <c r="F31" s="51"/>
      <c r="G31" s="51"/>
      <c r="H31" s="51"/>
      <c r="J31" s="70" t="s">
        <v>550</v>
      </c>
      <c r="K31" s="65"/>
      <c r="L31" s="65"/>
      <c r="M31" s="73" t="s">
        <v>554</v>
      </c>
      <c r="N31" s="73" t="s">
        <v>242</v>
      </c>
      <c r="O31" s="73">
        <v>14780</v>
      </c>
      <c r="P31" s="65" t="s">
        <v>120</v>
      </c>
      <c r="Q31" s="65"/>
      <c r="T31" s="128" t="s">
        <v>507</v>
      </c>
      <c r="U31" s="128" t="s">
        <v>490</v>
      </c>
      <c r="W31" s="112">
        <v>1100</v>
      </c>
      <c r="X31" s="112">
        <v>21</v>
      </c>
    </row>
    <row r="32" spans="1:24" ht="16.5" x14ac:dyDescent="0.25">
      <c r="A32" s="51" t="s">
        <v>115</v>
      </c>
      <c r="B32" s="51"/>
      <c r="C32" s="51"/>
      <c r="D32" s="51"/>
      <c r="E32" s="86"/>
      <c r="F32" s="51"/>
      <c r="G32" s="51"/>
      <c r="H32" s="51"/>
      <c r="J32" s="70" t="s">
        <v>551</v>
      </c>
      <c r="K32" s="65"/>
      <c r="L32" s="65"/>
      <c r="M32" s="73" t="s">
        <v>555</v>
      </c>
      <c r="N32" s="73" t="s">
        <v>242</v>
      </c>
      <c r="O32" s="73">
        <v>0</v>
      </c>
      <c r="P32" s="65" t="s">
        <v>120</v>
      </c>
      <c r="Q32" s="65"/>
      <c r="T32" s="128" t="s">
        <v>504</v>
      </c>
      <c r="U32" s="128" t="s">
        <v>491</v>
      </c>
      <c r="W32" s="112">
        <v>1150</v>
      </c>
      <c r="X32" s="112">
        <v>21.25</v>
      </c>
    </row>
    <row r="33" spans="1:30" ht="16.5" x14ac:dyDescent="0.3">
      <c r="A33" s="51" t="s">
        <v>234</v>
      </c>
      <c r="B33" s="51"/>
      <c r="C33" s="51"/>
      <c r="D33" s="51" t="s">
        <v>172</v>
      </c>
      <c r="E33" s="86">
        <f>G7</f>
        <v>18.600000000000001</v>
      </c>
      <c r="F33" s="51" t="s">
        <v>118</v>
      </c>
      <c r="G33" s="51"/>
      <c r="H33" s="51"/>
      <c r="J33" s="70" t="s">
        <v>552</v>
      </c>
      <c r="K33" s="65"/>
      <c r="L33" s="65"/>
      <c r="M33" s="73" t="s">
        <v>556</v>
      </c>
      <c r="N33" s="73" t="s">
        <v>242</v>
      </c>
      <c r="O33" s="73">
        <v>14780</v>
      </c>
      <c r="P33" s="65" t="s">
        <v>120</v>
      </c>
      <c r="Q33" s="65"/>
      <c r="W33" s="112">
        <v>1200</v>
      </c>
      <c r="X33" s="112">
        <v>21.5</v>
      </c>
    </row>
    <row r="34" spans="1:30" ht="16.5" x14ac:dyDescent="0.3">
      <c r="A34" s="51" t="s">
        <v>235</v>
      </c>
      <c r="B34" s="51"/>
      <c r="C34" s="51"/>
      <c r="D34" s="51" t="s">
        <v>172</v>
      </c>
      <c r="E34" s="86">
        <f>G8</f>
        <v>9.6999999999999993</v>
      </c>
      <c r="F34" s="51" t="s">
        <v>118</v>
      </c>
      <c r="G34" s="51"/>
      <c r="H34" s="51"/>
      <c r="J34" s="70" t="s">
        <v>553</v>
      </c>
      <c r="K34" s="65"/>
      <c r="L34" s="65"/>
      <c r="M34" s="73" t="s">
        <v>557</v>
      </c>
      <c r="N34" s="73" t="s">
        <v>242</v>
      </c>
      <c r="O34" s="73">
        <v>0</v>
      </c>
      <c r="P34" s="65" t="s">
        <v>120</v>
      </c>
      <c r="Q34" s="65"/>
      <c r="T34" s="128" t="s">
        <v>432</v>
      </c>
      <c r="U34" s="128" t="s">
        <v>481</v>
      </c>
    </row>
    <row r="35" spans="1:30" ht="16.5" x14ac:dyDescent="0.3">
      <c r="A35" s="51" t="s">
        <v>235</v>
      </c>
      <c r="B35" s="51"/>
      <c r="C35" s="51"/>
      <c r="D35" s="51" t="s">
        <v>172</v>
      </c>
      <c r="E35" s="86">
        <f>G9</f>
        <v>11.6</v>
      </c>
      <c r="F35" s="51" t="s">
        <v>118</v>
      </c>
      <c r="G35" s="51"/>
      <c r="H35" s="51"/>
      <c r="J35" s="70" t="s">
        <v>462</v>
      </c>
      <c r="K35" s="65"/>
      <c r="L35" s="65"/>
      <c r="M35" s="73" t="s">
        <v>465</v>
      </c>
      <c r="N35" s="73" t="s">
        <v>242</v>
      </c>
      <c r="O35" s="73">
        <v>285</v>
      </c>
      <c r="P35" s="65" t="s">
        <v>113</v>
      </c>
      <c r="Q35" s="65"/>
      <c r="T35" s="128" t="s">
        <v>475</v>
      </c>
      <c r="U35" s="133">
        <f>(0.083/(O44*O43))*(O9/O54+O20/O55+O31/O56)</f>
        <v>22.551842434342301</v>
      </c>
    </row>
    <row r="36" spans="1:30" ht="18.75" x14ac:dyDescent="0.3">
      <c r="A36" s="51"/>
      <c r="B36" s="51"/>
      <c r="C36" s="51"/>
      <c r="D36" s="51"/>
      <c r="E36" s="86"/>
      <c r="F36" s="51"/>
      <c r="G36" s="51"/>
      <c r="H36" s="51"/>
      <c r="J36" s="70" t="s">
        <v>525</v>
      </c>
      <c r="K36" s="65"/>
      <c r="L36" s="65"/>
      <c r="M36" s="1" t="s">
        <v>529</v>
      </c>
      <c r="N36" s="73" t="s">
        <v>242</v>
      </c>
      <c r="O36" s="73">
        <v>1.32</v>
      </c>
      <c r="P36" s="65" t="s">
        <v>503</v>
      </c>
      <c r="Q36" s="65"/>
      <c r="T36" s="128" t="s">
        <v>480</v>
      </c>
      <c r="U36" s="133">
        <f>(0.166/(O44*O43))*(O9/O54)</f>
        <v>14.374240655485419</v>
      </c>
    </row>
    <row r="37" spans="1:30" s="34" customFormat="1" ht="18.75" x14ac:dyDescent="0.3">
      <c r="A37" s="56" t="s">
        <v>167</v>
      </c>
      <c r="B37" s="56"/>
      <c r="C37" s="56"/>
      <c r="D37" s="56" t="s">
        <v>172</v>
      </c>
      <c r="E37" s="92">
        <f>0.083/E12/E10*((E13/G7)+(E14/G8)+(E15/G9))</f>
        <v>22.205779434193779</v>
      </c>
      <c r="F37" s="56" t="s">
        <v>104</v>
      </c>
      <c r="G37" s="56"/>
      <c r="H37" s="56"/>
      <c r="I37" s="33"/>
      <c r="J37" s="70" t="s">
        <v>526</v>
      </c>
      <c r="K37" s="65"/>
      <c r="L37" s="65"/>
      <c r="M37" s="1" t="s">
        <v>530</v>
      </c>
      <c r="N37" s="73" t="s">
        <v>242</v>
      </c>
      <c r="O37" s="73"/>
      <c r="P37" s="65" t="s">
        <v>503</v>
      </c>
      <c r="Q37" s="65"/>
      <c r="R37" s="33"/>
      <c r="S37" s="33"/>
      <c r="T37" s="130"/>
      <c r="U37" s="130"/>
      <c r="V37" s="130"/>
      <c r="W37" s="130"/>
      <c r="X37" s="130"/>
      <c r="Y37" s="132"/>
      <c r="Z37" s="132"/>
      <c r="AA37" s="132"/>
      <c r="AB37" s="132"/>
      <c r="AC37" s="132"/>
      <c r="AD37" s="132"/>
    </row>
    <row r="38" spans="1:30" ht="18.75" x14ac:dyDescent="0.3">
      <c r="A38" s="51" t="s">
        <v>190</v>
      </c>
      <c r="B38" s="51"/>
      <c r="C38" s="51"/>
      <c r="D38" s="51"/>
      <c r="E38" s="86"/>
      <c r="F38" s="51"/>
      <c r="G38" s="51"/>
      <c r="H38" s="51"/>
      <c r="J38" s="70" t="s">
        <v>527</v>
      </c>
      <c r="K38" s="65"/>
      <c r="L38" s="65"/>
      <c r="M38" s="1" t="s">
        <v>531</v>
      </c>
      <c r="N38" s="73" t="s">
        <v>242</v>
      </c>
      <c r="O38" s="73">
        <v>0.8</v>
      </c>
      <c r="P38" s="65" t="s">
        <v>503</v>
      </c>
      <c r="Q38" s="65"/>
    </row>
    <row r="39" spans="1:30" ht="18.75" x14ac:dyDescent="0.3">
      <c r="A39" s="51"/>
      <c r="B39" s="51"/>
      <c r="C39" s="51"/>
      <c r="D39" s="51"/>
      <c r="E39" s="86"/>
      <c r="F39" s="51"/>
      <c r="G39" s="51"/>
      <c r="H39" s="51"/>
      <c r="J39" s="70" t="s">
        <v>528</v>
      </c>
      <c r="K39" s="65"/>
      <c r="L39" s="65"/>
      <c r="M39" s="1" t="s">
        <v>532</v>
      </c>
      <c r="N39" s="73" t="s">
        <v>242</v>
      </c>
      <c r="O39" s="73"/>
      <c r="P39" s="65" t="s">
        <v>503</v>
      </c>
      <c r="Q39" s="65"/>
    </row>
    <row r="40" spans="1:30" x14ac:dyDescent="0.25">
      <c r="A40" s="51" t="s">
        <v>236</v>
      </c>
      <c r="B40" s="51"/>
      <c r="C40" s="51"/>
      <c r="D40" s="51"/>
      <c r="E40" s="86"/>
      <c r="F40" s="51"/>
      <c r="G40" s="51"/>
      <c r="H40" s="51"/>
      <c r="J40" s="70" t="s">
        <v>508</v>
      </c>
      <c r="K40" s="65"/>
      <c r="L40" s="65"/>
      <c r="M40" s="1"/>
      <c r="N40" s="73" t="s">
        <v>242</v>
      </c>
      <c r="O40" s="73" t="s">
        <v>507</v>
      </c>
      <c r="P40" s="65"/>
      <c r="Q40" s="65"/>
    </row>
    <row r="41" spans="1:30" ht="17.25" customHeight="1" x14ac:dyDescent="0.25">
      <c r="A41" s="145" t="s">
        <v>168</v>
      </c>
      <c r="B41" s="145"/>
      <c r="C41" s="145"/>
      <c r="D41" s="122" t="s">
        <v>172</v>
      </c>
      <c r="E41" s="93">
        <f>E16/E17</f>
        <v>490196.07843137253</v>
      </c>
      <c r="F41" s="51" t="s">
        <v>142</v>
      </c>
      <c r="G41" s="51"/>
      <c r="H41" s="51"/>
      <c r="J41" s="70"/>
      <c r="K41" s="65"/>
      <c r="L41" s="65"/>
      <c r="M41" s="1"/>
      <c r="N41" s="73"/>
      <c r="O41" s="73"/>
      <c r="P41" s="65"/>
      <c r="Q41" s="65"/>
    </row>
    <row r="42" spans="1:30" x14ac:dyDescent="0.25">
      <c r="A42" s="51"/>
      <c r="B42" s="51"/>
      <c r="C42" s="51"/>
      <c r="D42" s="51"/>
      <c r="E42" s="86"/>
      <c r="F42" s="51"/>
      <c r="G42" s="51"/>
      <c r="H42" s="51"/>
      <c r="J42" s="70" t="s">
        <v>432</v>
      </c>
      <c r="K42" s="65"/>
      <c r="L42" s="65"/>
      <c r="M42" s="73"/>
      <c r="N42" s="73" t="s">
        <v>242</v>
      </c>
      <c r="O42" s="73" t="s">
        <v>475</v>
      </c>
      <c r="P42" s="65"/>
      <c r="Q42" s="65"/>
    </row>
    <row r="43" spans="1:30" x14ac:dyDescent="0.25">
      <c r="A43" s="145" t="s">
        <v>143</v>
      </c>
      <c r="B43" s="145"/>
      <c r="C43" s="145"/>
      <c r="D43" s="123" t="s">
        <v>172</v>
      </c>
      <c r="E43" s="124">
        <f>((E41/E12/E37/E10/(SQRT(G7+(G8+G9)/2))+0.65*E12))</f>
        <v>179.51792262979615</v>
      </c>
      <c r="F43" s="56" t="s">
        <v>104</v>
      </c>
      <c r="G43" s="51"/>
      <c r="H43" s="51"/>
      <c r="J43" s="70" t="s">
        <v>476</v>
      </c>
      <c r="K43" s="65"/>
      <c r="L43" s="65"/>
      <c r="M43" s="73" t="s">
        <v>478</v>
      </c>
      <c r="N43" s="73" t="s">
        <v>242</v>
      </c>
      <c r="O43" s="73">
        <v>1</v>
      </c>
      <c r="P43" s="65"/>
      <c r="Q43" s="65"/>
    </row>
    <row r="44" spans="1:30" x14ac:dyDescent="0.25">
      <c r="A44" s="51"/>
      <c r="B44" s="51"/>
      <c r="C44" s="51"/>
      <c r="D44" s="51"/>
      <c r="E44" s="86"/>
      <c r="F44" s="51"/>
      <c r="G44" s="51"/>
      <c r="H44" s="51"/>
      <c r="J44" s="70" t="s">
        <v>477</v>
      </c>
      <c r="K44" s="65"/>
      <c r="L44" s="65"/>
      <c r="M44" s="73" t="s">
        <v>479</v>
      </c>
      <c r="N44" s="73" t="s">
        <v>242</v>
      </c>
      <c r="O44" s="73">
        <v>25</v>
      </c>
      <c r="P44" s="65" t="s">
        <v>104</v>
      </c>
      <c r="Q44" s="65"/>
    </row>
    <row r="45" spans="1:30" x14ac:dyDescent="0.25">
      <c r="A45" s="87" t="s">
        <v>144</v>
      </c>
      <c r="B45" s="51"/>
      <c r="C45" s="51"/>
      <c r="D45" s="51"/>
      <c r="E45" s="86"/>
      <c r="F45" s="51"/>
      <c r="G45" s="51"/>
      <c r="H45" s="51"/>
      <c r="J45" s="70"/>
      <c r="K45" s="65"/>
      <c r="L45" s="65"/>
      <c r="M45" s="73"/>
      <c r="N45" s="73"/>
      <c r="O45" s="73"/>
      <c r="P45" s="65"/>
      <c r="Q45" s="65"/>
    </row>
    <row r="46" spans="1:30" x14ac:dyDescent="0.25">
      <c r="A46" s="140" t="s">
        <v>184</v>
      </c>
      <c r="B46" s="140"/>
      <c r="C46" s="140"/>
      <c r="D46" s="123"/>
      <c r="E46" s="86"/>
      <c r="F46" s="51"/>
      <c r="G46" s="51"/>
      <c r="H46" s="51"/>
      <c r="J46" s="70" t="s">
        <v>485</v>
      </c>
      <c r="K46" s="65"/>
      <c r="L46" s="65"/>
      <c r="M46" s="73" t="s">
        <v>484</v>
      </c>
      <c r="N46" s="73" t="s">
        <v>242</v>
      </c>
      <c r="O46" s="73">
        <v>5500000</v>
      </c>
      <c r="P46" s="65" t="s">
        <v>256</v>
      </c>
      <c r="Q46" s="65"/>
    </row>
    <row r="47" spans="1:30" x14ac:dyDescent="0.25">
      <c r="A47" s="51" t="s">
        <v>237</v>
      </c>
      <c r="B47" s="51"/>
      <c r="C47" s="51"/>
      <c r="D47" s="51"/>
      <c r="E47" s="86"/>
      <c r="F47" s="51"/>
      <c r="G47" s="51"/>
      <c r="H47" s="51"/>
      <c r="J47" s="70" t="s">
        <v>487</v>
      </c>
      <c r="K47" s="65"/>
      <c r="L47" s="65"/>
      <c r="M47" s="73" t="s">
        <v>486</v>
      </c>
      <c r="N47" s="73" t="s">
        <v>242</v>
      </c>
      <c r="O47" s="73">
        <v>11.22</v>
      </c>
      <c r="P47" s="65" t="s">
        <v>382</v>
      </c>
      <c r="Q47" s="65"/>
    </row>
    <row r="48" spans="1:30" x14ac:dyDescent="0.25">
      <c r="A48" s="51" t="s">
        <v>150</v>
      </c>
      <c r="B48" s="51"/>
      <c r="C48" s="51"/>
      <c r="D48" s="51" t="s">
        <v>172</v>
      </c>
      <c r="E48" s="91">
        <f>1/((E21/E23)+(E22/E24))</f>
        <v>5.8457333738232613</v>
      </c>
      <c r="F48" s="51" t="s">
        <v>146</v>
      </c>
      <c r="G48" s="51"/>
      <c r="H48" s="51"/>
      <c r="J48" s="70"/>
      <c r="K48" s="65"/>
      <c r="L48" s="65"/>
      <c r="M48" s="73"/>
      <c r="N48" s="73"/>
      <c r="O48" s="73"/>
      <c r="P48" s="65"/>
      <c r="Q48" s="65"/>
    </row>
    <row r="49" spans="1:30" ht="16.5" x14ac:dyDescent="0.3">
      <c r="A49" s="51" t="s">
        <v>238</v>
      </c>
      <c r="B49" s="51"/>
      <c r="C49" s="51"/>
      <c r="D49" s="51" t="s">
        <v>172</v>
      </c>
      <c r="E49" s="91">
        <f>2*E25*E48/(E25+E48)</f>
        <v>3.777234754005895</v>
      </c>
      <c r="F49" s="51" t="s">
        <v>146</v>
      </c>
      <c r="G49" s="51"/>
      <c r="H49" s="51"/>
      <c r="J49" s="70" t="s">
        <v>489</v>
      </c>
      <c r="K49" s="65"/>
      <c r="L49" s="65"/>
      <c r="M49" s="73"/>
      <c r="N49" s="73" t="s">
        <v>242</v>
      </c>
      <c r="O49" s="73" t="s">
        <v>490</v>
      </c>
      <c r="P49" s="65"/>
      <c r="Q49" s="65"/>
    </row>
    <row r="50" spans="1:30" x14ac:dyDescent="0.25">
      <c r="A50" s="87" t="s">
        <v>169</v>
      </c>
      <c r="B50" s="87"/>
      <c r="C50" s="87"/>
      <c r="D50" s="51" t="s">
        <v>172</v>
      </c>
      <c r="E50" s="125">
        <f>8.8*10^-4*(E43+40)*E33^1.8/E49</f>
        <v>9.8605690575323539</v>
      </c>
      <c r="F50" s="87" t="s">
        <v>53</v>
      </c>
      <c r="G50" s="51"/>
      <c r="H50" s="51"/>
      <c r="J50" s="70"/>
      <c r="K50" s="65"/>
      <c r="L50" s="65"/>
      <c r="M50" s="73"/>
      <c r="N50" s="73"/>
      <c r="O50" s="73"/>
      <c r="P50" s="65"/>
      <c r="Q50" s="65"/>
    </row>
    <row r="51" spans="1:30" x14ac:dyDescent="0.25">
      <c r="A51" s="51"/>
      <c r="B51" s="51"/>
      <c r="C51" s="51"/>
      <c r="D51" s="51"/>
      <c r="E51" s="86"/>
      <c r="F51" s="51"/>
      <c r="G51" s="51"/>
      <c r="H51" s="51"/>
      <c r="J51" s="70"/>
      <c r="K51" s="65"/>
      <c r="L51" s="65"/>
      <c r="M51" s="73"/>
      <c r="N51" s="73"/>
      <c r="O51" s="73"/>
      <c r="P51" s="65"/>
      <c r="Q51" s="65"/>
    </row>
    <row r="52" spans="1:30" ht="16.5" x14ac:dyDescent="0.3">
      <c r="A52" s="51" t="s">
        <v>239</v>
      </c>
      <c r="B52" s="51"/>
      <c r="C52" s="51"/>
      <c r="D52" s="51" t="s">
        <v>172</v>
      </c>
      <c r="E52" s="91">
        <f>2*E26*E27/(E26+E27)</f>
        <v>0.72303797468354436</v>
      </c>
      <c r="F52" s="51" t="s">
        <v>146</v>
      </c>
      <c r="G52" s="51"/>
      <c r="H52" s="51"/>
      <c r="J52" s="64" t="s">
        <v>495</v>
      </c>
      <c r="K52" s="65"/>
      <c r="L52" s="65"/>
      <c r="M52" s="73"/>
      <c r="N52" s="73"/>
      <c r="O52" s="73"/>
      <c r="P52" s="65"/>
      <c r="Q52" s="65"/>
    </row>
    <row r="53" spans="1:30" x14ac:dyDescent="0.25">
      <c r="A53" s="87" t="s">
        <v>170</v>
      </c>
      <c r="B53" s="87"/>
      <c r="C53" s="87"/>
      <c r="D53" s="51" t="s">
        <v>172</v>
      </c>
      <c r="E53" s="125">
        <f>4.4*10^-4*(E43+20)*G8^1.8/E52</f>
        <v>7.2520803123272177</v>
      </c>
      <c r="F53" s="87" t="s">
        <v>53</v>
      </c>
      <c r="G53" s="51"/>
      <c r="H53" s="51"/>
      <c r="J53" s="70"/>
      <c r="K53" s="65"/>
      <c r="L53" s="65"/>
      <c r="M53" s="73"/>
      <c r="N53" s="73"/>
      <c r="O53" s="73"/>
      <c r="P53" s="65"/>
      <c r="Q53" s="65"/>
    </row>
    <row r="54" spans="1:30" ht="18" x14ac:dyDescent="0.25">
      <c r="A54" s="51"/>
      <c r="B54" s="51"/>
      <c r="C54" s="51"/>
      <c r="D54" s="51"/>
      <c r="E54" s="86"/>
      <c r="F54" s="51"/>
      <c r="G54" s="51"/>
      <c r="H54" s="51"/>
      <c r="J54" s="70" t="s">
        <v>466</v>
      </c>
      <c r="K54" s="65"/>
      <c r="L54" s="65"/>
      <c r="M54" s="73" t="s">
        <v>469</v>
      </c>
      <c r="N54" s="73" t="s">
        <v>242</v>
      </c>
      <c r="O54" s="76">
        <f xml:space="preserve"> 0.000000013*O13^3 - 0.000035105*O13^2 + 0.039897908*O13 + 2.584109153</f>
        <v>18.777757133000005</v>
      </c>
      <c r="P54" s="65" t="s">
        <v>473</v>
      </c>
      <c r="Q54" s="99" t="s">
        <v>472</v>
      </c>
    </row>
    <row r="55" spans="1:30" ht="18.75" x14ac:dyDescent="0.3">
      <c r="A55" s="51" t="s">
        <v>240</v>
      </c>
      <c r="B55" s="51"/>
      <c r="C55" s="51"/>
      <c r="D55" s="51" t="s">
        <v>172</v>
      </c>
      <c r="E55" s="91">
        <f>2*E28*E29/(E28+E29)</f>
        <v>0.99622641509433962</v>
      </c>
      <c r="F55" s="51" t="s">
        <v>146</v>
      </c>
      <c r="G55" s="51"/>
      <c r="H55" s="51"/>
      <c r="J55" s="70" t="s">
        <v>467</v>
      </c>
      <c r="K55" s="65"/>
      <c r="L55" s="65"/>
      <c r="M55" s="73" t="s">
        <v>470</v>
      </c>
      <c r="N55" s="73" t="s">
        <v>242</v>
      </c>
      <c r="O55" s="76">
        <f xml:space="preserve"> 0.000000013*O24^3 - 0.000035105*O24^2 + 0.039897908*O24 + 2.584109153</f>
        <v>9.3998892930000011</v>
      </c>
      <c r="P55" s="65" t="s">
        <v>473</v>
      </c>
      <c r="Q55" s="99" t="s">
        <v>472</v>
      </c>
    </row>
    <row r="56" spans="1:30" ht="18" x14ac:dyDescent="0.25">
      <c r="A56" s="87" t="s">
        <v>170</v>
      </c>
      <c r="B56" s="51"/>
      <c r="C56" s="51"/>
      <c r="D56" s="51" t="s">
        <v>172</v>
      </c>
      <c r="E56" s="126">
        <f>4.4*10^-4*(E43+20)*G9^1.8/E55</f>
        <v>7.2627470472186646</v>
      </c>
      <c r="F56" s="87" t="s">
        <v>53</v>
      </c>
      <c r="G56" s="51"/>
      <c r="H56" s="51"/>
      <c r="J56" s="70" t="s">
        <v>468</v>
      </c>
      <c r="K56" s="65"/>
      <c r="L56" s="65"/>
      <c r="M56" s="73" t="s">
        <v>471</v>
      </c>
      <c r="N56" s="73" t="s">
        <v>242</v>
      </c>
      <c r="O56" s="76">
        <f xml:space="preserve"> 0.000000013*O35^3 - 0.000035105*O35^2 + 0.039897908*O35 + 2.584109153</f>
        <v>11.404547933000002</v>
      </c>
      <c r="P56" s="65" t="s">
        <v>473</v>
      </c>
      <c r="Q56" s="99" t="s">
        <v>472</v>
      </c>
    </row>
    <row r="57" spans="1:30" x14ac:dyDescent="0.25">
      <c r="A57" s="51"/>
      <c r="B57" s="51"/>
      <c r="C57" s="51"/>
      <c r="D57" s="51"/>
      <c r="E57" s="86"/>
      <c r="F57" s="51"/>
      <c r="G57" s="51"/>
      <c r="H57" s="51"/>
      <c r="J57" s="70"/>
      <c r="K57" s="65"/>
      <c r="L57" s="65"/>
      <c r="M57" s="1"/>
      <c r="N57" s="1"/>
      <c r="O57" s="1"/>
      <c r="P57" s="65"/>
      <c r="Q57" s="65"/>
    </row>
    <row r="58" spans="1:30" s="117" customFormat="1" ht="39.75" customHeight="1" x14ac:dyDescent="0.25">
      <c r="A58" s="158" t="s">
        <v>171</v>
      </c>
      <c r="B58" s="141"/>
      <c r="C58" s="141"/>
      <c r="D58" s="127"/>
      <c r="E58" s="95"/>
      <c r="F58" s="50"/>
      <c r="G58" s="50"/>
      <c r="H58" s="50"/>
      <c r="I58" s="78"/>
      <c r="J58" s="70" t="s">
        <v>482</v>
      </c>
      <c r="K58" s="65"/>
      <c r="L58" s="65"/>
      <c r="M58" s="1" t="s">
        <v>483</v>
      </c>
      <c r="N58" s="1" t="s">
        <v>242</v>
      </c>
      <c r="O58" s="3">
        <f>VLOOKUP(O42,T35:U36,2,FALSE)</f>
        <v>22.551842434342301</v>
      </c>
      <c r="P58" s="65" t="s">
        <v>104</v>
      </c>
      <c r="Q58" s="99" t="s">
        <v>587</v>
      </c>
      <c r="R58" s="78"/>
      <c r="S58" s="78"/>
      <c r="T58" s="134"/>
      <c r="U58" s="134"/>
      <c r="V58" s="134"/>
      <c r="W58" s="134"/>
      <c r="X58" s="134"/>
      <c r="Y58" s="135"/>
      <c r="Z58" s="135"/>
      <c r="AA58" s="135"/>
      <c r="AB58" s="135"/>
      <c r="AC58" s="135"/>
      <c r="AD58" s="135"/>
    </row>
    <row r="59" spans="1:30" x14ac:dyDescent="0.25">
      <c r="A59" s="140" t="s">
        <v>183</v>
      </c>
      <c r="B59" s="140"/>
      <c r="C59" s="140"/>
      <c r="D59" s="140"/>
      <c r="E59" s="140"/>
      <c r="F59" s="140"/>
      <c r="G59" s="140"/>
      <c r="H59" s="140"/>
      <c r="J59" s="70"/>
      <c r="K59" s="65"/>
      <c r="L59" s="65"/>
      <c r="M59" s="1" t="s">
        <v>488</v>
      </c>
      <c r="N59" s="1" t="s">
        <v>242</v>
      </c>
      <c r="O59" s="118">
        <f>ROUND(O46/O47,-2)</f>
        <v>490200</v>
      </c>
      <c r="P59" s="65" t="s">
        <v>492</v>
      </c>
      <c r="Q59" s="65"/>
    </row>
    <row r="60" spans="1:30" x14ac:dyDescent="0.25">
      <c r="A60" s="51"/>
      <c r="B60" s="51"/>
      <c r="C60" s="51"/>
      <c r="D60" s="51"/>
      <c r="E60" s="51"/>
      <c r="F60" s="51"/>
      <c r="G60" s="51"/>
      <c r="H60" s="51"/>
      <c r="J60" s="70" t="s">
        <v>494</v>
      </c>
      <c r="K60" s="65"/>
      <c r="L60" s="65"/>
      <c r="M60" s="1" t="s">
        <v>348</v>
      </c>
      <c r="N60" s="1" t="s">
        <v>242</v>
      </c>
      <c r="O60" s="1">
        <f>IF(O42=T22,VLOOKUP(O49,T23:U24,2,FALSE),IF(O42=T26,VLOOKUP(O49,T27:U28,2,FALSE),"ERROR"))</f>
        <v>178</v>
      </c>
      <c r="P60" s="65"/>
      <c r="Q60" s="99" t="s">
        <v>586</v>
      </c>
    </row>
    <row r="61" spans="1:30" x14ac:dyDescent="0.25">
      <c r="A61" s="51"/>
      <c r="B61" s="51"/>
      <c r="C61" s="51"/>
      <c r="D61" s="51"/>
      <c r="E61" s="51"/>
      <c r="F61" s="51"/>
      <c r="G61" s="51"/>
      <c r="H61" s="51"/>
      <c r="J61" s="70"/>
      <c r="K61" s="65"/>
      <c r="L61" s="65"/>
      <c r="M61" s="1"/>
      <c r="N61" s="1"/>
      <c r="O61" s="1"/>
      <c r="P61" s="65"/>
      <c r="Q61" s="65"/>
    </row>
    <row r="62" spans="1:30" x14ac:dyDescent="0.25">
      <c r="A62" s="51"/>
      <c r="B62" s="51"/>
      <c r="C62" s="51"/>
      <c r="D62" s="51"/>
      <c r="E62" s="51"/>
      <c r="F62" s="51"/>
      <c r="G62" s="51"/>
      <c r="H62" s="51"/>
      <c r="J62" s="64" t="s">
        <v>496</v>
      </c>
      <c r="K62" s="65"/>
      <c r="L62" s="65"/>
      <c r="M62" s="1"/>
      <c r="N62" s="1"/>
      <c r="O62" s="1"/>
      <c r="P62" s="65"/>
      <c r="Q62" s="65"/>
    </row>
    <row r="63" spans="1:30" x14ac:dyDescent="0.25">
      <c r="A63" s="51"/>
      <c r="B63" s="51"/>
      <c r="C63" s="51"/>
      <c r="D63" s="51"/>
      <c r="E63" s="51"/>
      <c r="F63" s="51"/>
      <c r="G63" s="51"/>
      <c r="H63" s="51"/>
      <c r="J63" s="64"/>
      <c r="K63" s="65"/>
      <c r="L63" s="65"/>
      <c r="M63" s="1"/>
      <c r="N63" s="1"/>
      <c r="O63" s="1"/>
      <c r="P63" s="65"/>
      <c r="Q63" s="65"/>
    </row>
    <row r="64" spans="1:30" x14ac:dyDescent="0.25">
      <c r="A64" s="51"/>
      <c r="B64" s="51"/>
      <c r="C64" s="51"/>
      <c r="D64" s="51"/>
      <c r="E64" s="51"/>
      <c r="F64" s="51"/>
      <c r="G64" s="51"/>
      <c r="H64" s="51"/>
      <c r="J64" s="70" t="s">
        <v>558</v>
      </c>
      <c r="K64" s="65"/>
      <c r="L64" s="65"/>
      <c r="M64" s="1"/>
      <c r="N64" s="1" t="s">
        <v>242</v>
      </c>
      <c r="O64" s="1" t="str">
        <f>IF(COUNTIF(O9:O10,0)&lt;&gt;0,"VAPOR","TWO PHASE")</f>
        <v>VAPOR</v>
      </c>
      <c r="P64" s="65"/>
      <c r="Q64" s="65"/>
    </row>
    <row r="65" spans="1:17" ht="18.75" x14ac:dyDescent="0.3">
      <c r="A65" s="51"/>
      <c r="B65" s="51"/>
      <c r="C65" s="51"/>
      <c r="D65" s="51"/>
      <c r="E65" s="51"/>
      <c r="F65" s="51"/>
      <c r="G65" s="51"/>
      <c r="H65" s="51"/>
      <c r="J65" s="70" t="s">
        <v>559</v>
      </c>
      <c r="K65" s="65"/>
      <c r="L65" s="65"/>
      <c r="M65" s="1" t="s">
        <v>497</v>
      </c>
      <c r="N65" s="1" t="s">
        <v>242</v>
      </c>
      <c r="O65" s="1">
        <f>IF(O64="VAPOR",O14,IF(O64="TWO PHASE",1/((O9/SUM(O9:O10))/O14+(O10/SUM(O9:O10))/O15),"ERROR"))</f>
        <v>2.79</v>
      </c>
      <c r="P65" s="65" t="s">
        <v>503</v>
      </c>
      <c r="Q65" s="99" t="s">
        <v>583</v>
      </c>
    </row>
    <row r="66" spans="1:17" x14ac:dyDescent="0.25">
      <c r="A66" s="51"/>
      <c r="B66" s="51"/>
      <c r="C66" s="51"/>
      <c r="D66" s="51"/>
      <c r="E66" s="51"/>
      <c r="F66" s="51"/>
      <c r="G66" s="51"/>
      <c r="H66" s="51"/>
      <c r="J66" s="70" t="s">
        <v>560</v>
      </c>
      <c r="K66" s="65"/>
      <c r="L66" s="65"/>
      <c r="M66" s="1"/>
      <c r="N66" s="1" t="s">
        <v>242</v>
      </c>
      <c r="O66" s="1" t="str">
        <f>IF(COUNTIF(O11:O12,0)&lt;&gt;0,"VAPOR","TWO PHASE")</f>
        <v>TWO PHASE</v>
      </c>
      <c r="P66" s="65"/>
      <c r="Q66" s="65"/>
    </row>
    <row r="67" spans="1:17" ht="18.75" x14ac:dyDescent="0.3">
      <c r="A67" s="51"/>
      <c r="B67" s="51"/>
      <c r="C67" s="51"/>
      <c r="D67" s="51"/>
      <c r="E67" s="51"/>
      <c r="F67" s="51"/>
      <c r="G67" s="51"/>
      <c r="H67" s="51"/>
      <c r="J67" s="70" t="s">
        <v>561</v>
      </c>
      <c r="K67" s="65"/>
      <c r="L67" s="65"/>
      <c r="M67" s="1" t="s">
        <v>498</v>
      </c>
      <c r="N67" s="1" t="s">
        <v>242</v>
      </c>
      <c r="O67" s="100">
        <f>IF(O66="VAPOR",O16,IF(O66="TWO PHASE",1/((O11/SUM(O11:O12))/O16+(O12/SUM(O11:O12))/O17),"ERROR"))</f>
        <v>5.8457046408559066</v>
      </c>
      <c r="P67" s="65" t="s">
        <v>503</v>
      </c>
      <c r="Q67" s="99" t="s">
        <v>583</v>
      </c>
    </row>
    <row r="68" spans="1:17" ht="18.75" x14ac:dyDescent="0.3">
      <c r="A68" s="51"/>
      <c r="B68" s="51"/>
      <c r="C68" s="51"/>
      <c r="D68" s="51"/>
      <c r="E68" s="51"/>
      <c r="F68" s="51"/>
      <c r="G68" s="51"/>
      <c r="H68" s="51"/>
      <c r="J68" s="70" t="s">
        <v>562</v>
      </c>
      <c r="K68" s="65"/>
      <c r="L68" s="65"/>
      <c r="M68" s="1" t="s">
        <v>533</v>
      </c>
      <c r="N68" s="1" t="s">
        <v>242</v>
      </c>
      <c r="O68" s="100">
        <f>2*O65*O67/(O65+O67)</f>
        <v>3.7772287557929967</v>
      </c>
      <c r="P68" s="65" t="s">
        <v>503</v>
      </c>
      <c r="Q68" s="99" t="s">
        <v>585</v>
      </c>
    </row>
    <row r="69" spans="1:17" ht="16.5" x14ac:dyDescent="0.3">
      <c r="A69" s="51"/>
      <c r="B69" s="51"/>
      <c r="C69" s="51"/>
      <c r="D69" s="51"/>
      <c r="E69" s="51"/>
      <c r="F69" s="51"/>
      <c r="G69" s="51"/>
      <c r="H69" s="51"/>
      <c r="J69" s="70" t="s">
        <v>563</v>
      </c>
      <c r="K69" s="65"/>
      <c r="L69" s="65"/>
      <c r="M69" s="1" t="s">
        <v>573</v>
      </c>
      <c r="N69" s="1" t="s">
        <v>242</v>
      </c>
      <c r="O69" s="100">
        <f>IF(AND(O18=T31,O49=T17),4.4*10^-4*(O60+20)*(O54^1.8)/O68,IF(AND(O18=T32,O49=T17),8.8*10^-4*(O60+40)*(O54^1.8)/O68,IF(AND(O18=T31,O49=T18),0.95*10^-4*(O60+95)*(O54^1.8)/O68,IF(AND(O18=T32,O49=T18),1.9*10^-4*(O60+190)*(O54^1.8)/O68,"ERROR"))))</f>
        <v>9.9614961244693774</v>
      </c>
      <c r="P69" s="65" t="s">
        <v>53</v>
      </c>
      <c r="Q69" s="99" t="s">
        <v>584</v>
      </c>
    </row>
    <row r="70" spans="1:17" x14ac:dyDescent="0.25">
      <c r="A70" s="51"/>
      <c r="B70" s="51"/>
      <c r="C70" s="51"/>
      <c r="D70" s="51"/>
      <c r="E70" s="51"/>
      <c r="F70" s="51"/>
      <c r="G70" s="51"/>
      <c r="H70" s="51"/>
      <c r="J70" s="70"/>
      <c r="K70" s="65"/>
      <c r="L70" s="65"/>
      <c r="M70" s="1"/>
      <c r="N70" s="1"/>
      <c r="O70" s="1"/>
      <c r="P70" s="65"/>
      <c r="Q70" s="65"/>
    </row>
    <row r="71" spans="1:17" x14ac:dyDescent="0.25">
      <c r="A71" s="51"/>
      <c r="B71" s="51"/>
      <c r="C71" s="51"/>
      <c r="D71" s="51"/>
      <c r="E71" s="51"/>
      <c r="F71" s="51"/>
      <c r="G71" s="51"/>
      <c r="H71" s="51"/>
      <c r="J71" s="70" t="s">
        <v>566</v>
      </c>
      <c r="K71" s="65"/>
      <c r="L71" s="65"/>
      <c r="M71" s="1"/>
      <c r="N71" s="1" t="s">
        <v>242</v>
      </c>
      <c r="O71" s="1" t="str">
        <f>IF(COUNTIF(O20:O21,0)&lt;&gt;0,"VAPOR","TWO PHASE")</f>
        <v>VAPOR</v>
      </c>
      <c r="P71" s="65"/>
      <c r="Q71" s="65"/>
    </row>
    <row r="72" spans="1:17" ht="18.75" x14ac:dyDescent="0.3">
      <c r="A72" s="51"/>
      <c r="B72" s="51"/>
      <c r="C72" s="51"/>
      <c r="D72" s="51"/>
      <c r="E72" s="51"/>
      <c r="F72" s="51"/>
      <c r="G72" s="51"/>
      <c r="H72" s="51"/>
      <c r="J72" s="70" t="s">
        <v>567</v>
      </c>
      <c r="K72" s="65"/>
      <c r="L72" s="65"/>
      <c r="M72" s="1" t="s">
        <v>499</v>
      </c>
      <c r="N72" s="1" t="s">
        <v>242</v>
      </c>
      <c r="O72" s="1">
        <f>IF(O71="VAPOR",O25,IF(O71="TWO PHASE",1/((O20/SUM(O20:O21))/O25+(O21/SUM(O20:O21))/O26),"ERROR"))</f>
        <v>1.02</v>
      </c>
      <c r="P72" s="65" t="s">
        <v>503</v>
      </c>
      <c r="Q72" s="99" t="s">
        <v>583</v>
      </c>
    </row>
    <row r="73" spans="1:17" x14ac:dyDescent="0.25">
      <c r="A73" s="51"/>
      <c r="B73" s="51"/>
      <c r="C73" s="51"/>
      <c r="D73" s="51"/>
      <c r="E73" s="51"/>
      <c r="F73" s="51"/>
      <c r="G73" s="51"/>
      <c r="H73" s="51"/>
      <c r="J73" s="70" t="s">
        <v>568</v>
      </c>
      <c r="K73" s="65"/>
      <c r="L73" s="65"/>
      <c r="M73" s="1"/>
      <c r="N73" s="1" t="s">
        <v>242</v>
      </c>
      <c r="O73" s="1" t="str">
        <f>IF(COUNTIF(O22:O23,0)&lt;&gt;0,"VAPOR","TWO PHASE")</f>
        <v>VAPOR</v>
      </c>
      <c r="P73" s="65"/>
      <c r="Q73" s="65"/>
    </row>
    <row r="74" spans="1:17" ht="18.75" x14ac:dyDescent="0.3">
      <c r="A74" s="51"/>
      <c r="B74" s="51"/>
      <c r="C74" s="51"/>
      <c r="D74" s="51"/>
      <c r="E74" s="51"/>
      <c r="F74" s="51"/>
      <c r="G74" s="51"/>
      <c r="H74" s="51"/>
      <c r="J74" s="70" t="s">
        <v>569</v>
      </c>
      <c r="K74" s="65"/>
      <c r="L74" s="65"/>
      <c r="M74" s="1" t="s">
        <v>500</v>
      </c>
      <c r="N74" s="1" t="s">
        <v>242</v>
      </c>
      <c r="O74" s="1">
        <f>IF(O73="VAPOR",O27,IF(O73="TWO PHASE",1/((O22/SUM(O22:O23))/O27+(O26/SUM(O22:O23))/O28),"ERROR"))</f>
        <v>0.56000000000000005</v>
      </c>
      <c r="P74" s="65" t="s">
        <v>503</v>
      </c>
      <c r="Q74" s="99" t="s">
        <v>583</v>
      </c>
    </row>
    <row r="75" spans="1:17" ht="18.75" x14ac:dyDescent="0.3">
      <c r="A75" s="51"/>
      <c r="B75" s="51"/>
      <c r="C75" s="51"/>
      <c r="D75" s="51"/>
      <c r="E75" s="51"/>
      <c r="F75" s="51"/>
      <c r="G75" s="51"/>
      <c r="H75" s="51"/>
      <c r="J75" s="70" t="s">
        <v>570</v>
      </c>
      <c r="K75" s="65"/>
      <c r="L75" s="65"/>
      <c r="M75" s="1" t="s">
        <v>572</v>
      </c>
      <c r="N75" s="1" t="s">
        <v>242</v>
      </c>
      <c r="O75" s="100">
        <f>2*O72*O74/(O72+O74)</f>
        <v>0.72303797468354436</v>
      </c>
      <c r="P75" s="65" t="s">
        <v>503</v>
      </c>
      <c r="Q75" s="99" t="s">
        <v>585</v>
      </c>
    </row>
    <row r="76" spans="1:17" ht="16.5" x14ac:dyDescent="0.3">
      <c r="A76" s="51"/>
      <c r="B76" s="51"/>
      <c r="C76" s="51"/>
      <c r="D76" s="51"/>
      <c r="E76" s="51"/>
      <c r="F76" s="51"/>
      <c r="G76" s="51"/>
      <c r="H76" s="51"/>
      <c r="J76" s="70" t="s">
        <v>571</v>
      </c>
      <c r="K76" s="65"/>
      <c r="L76" s="65"/>
      <c r="M76" s="1" t="s">
        <v>574</v>
      </c>
      <c r="N76" s="1" t="s">
        <v>242</v>
      </c>
      <c r="O76" s="100">
        <f>IF(AND(O29=T31,O49=T17),4.4*10^-4*(O60+20)*(O55^1.8)/O75,IF(AND(O29=T32,O49=T17),8.8*10^-4*(O60+40)*(O55^1.8)/O75,IF(AND(O29=T31,O49=T18),0.95*10^-4*(O60+95)*(O55^1.8)/O75,IF(AND(O29=T32,O49=T18),1.9*10^-4*(O60+190)*(O55^1.8)/O75,"ERROR"))))</f>
        <v>6.8010769554090231</v>
      </c>
      <c r="P76" s="65" t="s">
        <v>53</v>
      </c>
      <c r="Q76" s="99" t="s">
        <v>584</v>
      </c>
    </row>
    <row r="77" spans="1:17" x14ac:dyDescent="0.25">
      <c r="A77" s="51"/>
      <c r="B77" s="51"/>
      <c r="C77" s="51"/>
      <c r="D77" s="51"/>
      <c r="E77" s="51"/>
      <c r="F77" s="51"/>
      <c r="G77" s="51"/>
      <c r="H77" s="51"/>
      <c r="J77" s="70"/>
      <c r="K77" s="65"/>
      <c r="L77" s="65"/>
      <c r="M77" s="1"/>
      <c r="N77" s="1"/>
      <c r="O77" s="1"/>
      <c r="P77" s="65"/>
      <c r="Q77" s="65"/>
    </row>
    <row r="78" spans="1:17" x14ac:dyDescent="0.25">
      <c r="A78" s="51"/>
      <c r="B78" s="51"/>
      <c r="C78" s="51"/>
      <c r="D78" s="51"/>
      <c r="E78" s="51"/>
      <c r="F78" s="51"/>
      <c r="G78" s="51"/>
      <c r="H78" s="51"/>
      <c r="J78" s="70" t="s">
        <v>575</v>
      </c>
      <c r="K78" s="65"/>
      <c r="L78" s="65"/>
      <c r="M78" s="1"/>
      <c r="N78" s="1" t="s">
        <v>242</v>
      </c>
      <c r="O78" s="1" t="str">
        <f>IF(COUNTIF(O31:O32,0)&lt;&gt;0,"VAPOR","TWO PHASE")</f>
        <v>VAPOR</v>
      </c>
      <c r="P78" s="65"/>
      <c r="Q78" s="65"/>
    </row>
    <row r="79" spans="1:17" ht="18.75" x14ac:dyDescent="0.3">
      <c r="A79" s="51"/>
      <c r="B79" s="51"/>
      <c r="C79" s="51"/>
      <c r="D79" s="51"/>
      <c r="E79" s="51"/>
      <c r="F79" s="51"/>
      <c r="G79" s="51"/>
      <c r="H79" s="51"/>
      <c r="J79" s="70" t="s">
        <v>576</v>
      </c>
      <c r="K79" s="65"/>
      <c r="L79" s="65"/>
      <c r="M79" s="1" t="s">
        <v>501</v>
      </c>
      <c r="N79" s="1" t="s">
        <v>242</v>
      </c>
      <c r="O79" s="1">
        <f>IF(O78="VAPOR",O36,IF(O78="TWO PHASE",1/((O31/SUM(O31:O32))/O36+(O32/SUM(O31:O32))/O37),"ERROR"))</f>
        <v>1.32</v>
      </c>
      <c r="P79" s="65" t="s">
        <v>503</v>
      </c>
      <c r="Q79" s="99" t="s">
        <v>583</v>
      </c>
    </row>
    <row r="80" spans="1:17" x14ac:dyDescent="0.25">
      <c r="A80" s="51"/>
      <c r="B80" s="51"/>
      <c r="C80" s="51"/>
      <c r="D80" s="51"/>
      <c r="E80" s="51"/>
      <c r="F80" s="51"/>
      <c r="G80" s="51"/>
      <c r="H80" s="51"/>
      <c r="J80" s="70" t="s">
        <v>577</v>
      </c>
      <c r="K80" s="65"/>
      <c r="L80" s="65"/>
      <c r="M80" s="1"/>
      <c r="N80" s="1" t="s">
        <v>242</v>
      </c>
      <c r="O80" s="1" t="str">
        <f>IF(COUNTIF(O33:O34,0)&lt;&gt;0,"VAPOR","TWO PHASE")</f>
        <v>VAPOR</v>
      </c>
      <c r="P80" s="65"/>
      <c r="Q80" s="65"/>
    </row>
    <row r="81" spans="1:17" ht="18.75" x14ac:dyDescent="0.3">
      <c r="A81" s="51"/>
      <c r="B81" s="51"/>
      <c r="C81" s="51"/>
      <c r="D81" s="51"/>
      <c r="E81" s="51"/>
      <c r="F81" s="51"/>
      <c r="G81" s="51"/>
      <c r="H81" s="51"/>
      <c r="J81" s="70" t="s">
        <v>578</v>
      </c>
      <c r="K81" s="65"/>
      <c r="L81" s="65"/>
      <c r="M81" s="1" t="s">
        <v>502</v>
      </c>
      <c r="N81" s="1" t="s">
        <v>242</v>
      </c>
      <c r="O81" s="1">
        <f>IF(O80="VAPOR",O38,IF(O80="TWO PHASE",1/((O33/SUM(O33:O34))/O38+(O34/SUM(O33:O34))/O39),"ERROR"))</f>
        <v>0.8</v>
      </c>
      <c r="P81" s="65" t="s">
        <v>503</v>
      </c>
      <c r="Q81" s="99" t="s">
        <v>583</v>
      </c>
    </row>
    <row r="82" spans="1:17" ht="18.75" x14ac:dyDescent="0.3">
      <c r="A82" s="51"/>
      <c r="B82" s="51"/>
      <c r="C82" s="51"/>
      <c r="D82" s="51"/>
      <c r="E82" s="51"/>
      <c r="F82" s="51"/>
      <c r="G82" s="51"/>
      <c r="H82" s="51"/>
      <c r="J82" s="70" t="s">
        <v>579</v>
      </c>
      <c r="K82" s="65"/>
      <c r="L82" s="65"/>
      <c r="M82" s="1" t="s">
        <v>581</v>
      </c>
      <c r="N82" s="1" t="s">
        <v>242</v>
      </c>
      <c r="O82" s="100">
        <f>2*O79*O81/(O79+O81)</f>
        <v>0.99622641509433962</v>
      </c>
      <c r="P82" s="65" t="s">
        <v>503</v>
      </c>
      <c r="Q82" s="99" t="s">
        <v>585</v>
      </c>
    </row>
    <row r="83" spans="1:17" ht="16.5" x14ac:dyDescent="0.3">
      <c r="A83" s="51"/>
      <c r="B83" s="51"/>
      <c r="C83" s="51"/>
      <c r="D83" s="51"/>
      <c r="E83" s="51"/>
      <c r="F83" s="51"/>
      <c r="G83" s="51"/>
      <c r="H83" s="51"/>
      <c r="J83" s="70" t="s">
        <v>580</v>
      </c>
      <c r="K83" s="65"/>
      <c r="L83" s="65"/>
      <c r="M83" s="1" t="s">
        <v>582</v>
      </c>
      <c r="N83" s="1" t="s">
        <v>242</v>
      </c>
      <c r="O83" s="100">
        <f>IF(AND(O40=T31,O49=T17),4.4*10^-4*(O60+20)*(O56^1.8)/O82,IF(AND(O40=T32,O49=T17),8.8*10^-4*(O60+40)*(O56^1.8)/O82,IF(AND(O40=T31,O49=T18),0.95*10^-4*(O60+95)*(O56^1.8)/O82,IF(AND(O40=T32,O49=T18),1.9*10^-4*(O60+190)*(O56^1.8)/O82,"ERROR"))))</f>
        <v>6.9903729784629363</v>
      </c>
      <c r="P83" s="65" t="s">
        <v>53</v>
      </c>
      <c r="Q83" s="99" t="s">
        <v>584</v>
      </c>
    </row>
    <row r="84" spans="1:17" x14ac:dyDescent="0.25">
      <c r="A84" s="51"/>
      <c r="B84" s="51"/>
      <c r="C84" s="51"/>
      <c r="D84" s="51"/>
      <c r="E84" s="51"/>
      <c r="F84" s="51"/>
      <c r="G84" s="51"/>
      <c r="H84" s="51"/>
      <c r="J84" s="70"/>
      <c r="K84" s="65"/>
      <c r="L84" s="65"/>
      <c r="M84" s="1"/>
      <c r="N84" s="1"/>
      <c r="O84" s="1"/>
      <c r="P84" s="65"/>
      <c r="Q84" s="65"/>
    </row>
    <row r="85" spans="1:17" x14ac:dyDescent="0.25">
      <c r="A85" s="51"/>
      <c r="B85" s="51"/>
      <c r="C85" s="51"/>
      <c r="D85" s="51"/>
      <c r="E85" s="51"/>
      <c r="F85" s="51"/>
      <c r="G85" s="51"/>
      <c r="H85" s="51"/>
      <c r="J85" s="65"/>
      <c r="K85" s="65"/>
      <c r="L85" s="65"/>
      <c r="M85" s="1"/>
      <c r="N85" s="1"/>
      <c r="O85" s="1"/>
      <c r="P85" s="65"/>
      <c r="Q85" s="65"/>
    </row>
    <row r="86" spans="1:17" x14ac:dyDescent="0.25">
      <c r="A86" s="51"/>
      <c r="B86" s="51"/>
      <c r="C86" s="51"/>
      <c r="D86" s="51"/>
      <c r="E86" s="51"/>
      <c r="F86" s="51"/>
      <c r="G86" s="51"/>
      <c r="H86" s="51"/>
      <c r="J86" s="159" t="s">
        <v>171</v>
      </c>
      <c r="K86" s="147"/>
      <c r="L86" s="147"/>
      <c r="M86" s="25"/>
      <c r="N86" s="119"/>
      <c r="O86" s="119"/>
      <c r="P86" s="64"/>
      <c r="Q86" s="64"/>
    </row>
    <row r="87" spans="1:17" x14ac:dyDescent="0.25">
      <c r="A87" s="51"/>
      <c r="B87" s="51"/>
      <c r="C87" s="51"/>
      <c r="D87" s="51"/>
      <c r="E87" s="51"/>
      <c r="F87" s="51"/>
      <c r="G87" s="51"/>
      <c r="H87" s="51"/>
      <c r="J87" s="157" t="s">
        <v>183</v>
      </c>
      <c r="K87" s="157"/>
      <c r="L87" s="157"/>
      <c r="M87" s="157"/>
      <c r="N87" s="157"/>
      <c r="O87" s="157"/>
      <c r="P87" s="157"/>
      <c r="Q87" s="157"/>
    </row>
    <row r="90" spans="1:17" x14ac:dyDescent="0.25">
      <c r="A90" s="45" t="s">
        <v>195</v>
      </c>
    </row>
    <row r="91" spans="1:17" ht="15" customHeight="1" x14ac:dyDescent="0.25">
      <c r="A91" s="45" t="s">
        <v>606</v>
      </c>
    </row>
    <row r="92" spans="1:17" x14ac:dyDescent="0.25">
      <c r="A92" s="45" t="s">
        <v>607</v>
      </c>
    </row>
    <row r="93" spans="1:17" x14ac:dyDescent="0.25">
      <c r="A93" s="45" t="s">
        <v>608</v>
      </c>
    </row>
    <row r="94" spans="1:17" x14ac:dyDescent="0.25">
      <c r="A94" s="48" t="s">
        <v>609</v>
      </c>
    </row>
  </sheetData>
  <sheetProtection password="E156" sheet="1" objects="1" scenarios="1"/>
  <mergeCells count="9">
    <mergeCell ref="G6:H6"/>
    <mergeCell ref="G12:H12"/>
    <mergeCell ref="A59:H59"/>
    <mergeCell ref="J87:Q87"/>
    <mergeCell ref="A41:C41"/>
    <mergeCell ref="A43:C43"/>
    <mergeCell ref="A46:C46"/>
    <mergeCell ref="A58:C58"/>
    <mergeCell ref="J86:L86"/>
  </mergeCells>
  <phoneticPr fontId="0" type="noConversion"/>
  <dataValidations disablePrompts="1" count="4">
    <dataValidation type="list" allowBlank="1" showInputMessage="1" showErrorMessage="1" sqref="O44">
      <formula1>$T$7:$T$12</formula1>
    </dataValidation>
    <dataValidation type="list" allowBlank="1" showInputMessage="1" showErrorMessage="1" sqref="O49">
      <formula1>$T$17:$T$18</formula1>
    </dataValidation>
    <dataValidation type="list" allowBlank="1" showInputMessage="1" showErrorMessage="1" sqref="O18 O40:O41 O29">
      <formula1>$T$31:$T$32</formula1>
    </dataValidation>
    <dataValidation type="list" allowBlank="1" showInputMessage="1" showErrorMessage="1" sqref="O42">
      <formula1>$T$35:$T$36</formula1>
    </dataValidation>
  </dataValidations>
  <printOptions horizontalCentered="1"/>
  <pageMargins left="0.7" right="0.7" top="0.75" bottom="0.75" header="0.3" footer="0.3"/>
  <pageSetup paperSize="199" scale="41" orientation="portrait" r:id="rId1"/>
  <headerFooter>
    <oddHeader>&amp;CCALCULATION SPREADSHEET FOR GPSA ENGINEERING DATA BOOK, 13&amp;Xth&amp;X ED.
EXAMPLE 9-4</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673"/>
  <sheetViews>
    <sheetView workbookViewId="0">
      <selection activeCell="L28" sqref="L28"/>
    </sheetView>
  </sheetViews>
  <sheetFormatPr defaultRowHeight="15" x14ac:dyDescent="0.25"/>
  <cols>
    <col min="1" max="4" width="9.140625" style="11"/>
    <col min="5" max="5" width="18.140625" style="11" customWidth="1"/>
    <col min="6" max="9" width="9.140625" style="11"/>
    <col min="10" max="10" width="18.42578125" style="11" customWidth="1"/>
    <col min="11" max="16384" width="9.140625" style="11"/>
  </cols>
  <sheetData>
    <row r="1" spans="1:5" x14ac:dyDescent="0.25">
      <c r="A1" s="9" t="s">
        <v>599</v>
      </c>
    </row>
    <row r="5" spans="1:5" ht="21" x14ac:dyDescent="0.35">
      <c r="E5" s="96" t="s">
        <v>125</v>
      </c>
    </row>
    <row r="7" spans="1:5" x14ac:dyDescent="0.25">
      <c r="B7" s="97"/>
    </row>
    <row r="38" spans="5:5" ht="21" x14ac:dyDescent="0.35">
      <c r="E38" s="96"/>
    </row>
    <row r="39" spans="5:5" ht="21" x14ac:dyDescent="0.35">
      <c r="E39" s="96" t="s">
        <v>126</v>
      </c>
    </row>
    <row r="67" spans="10:10" ht="21" x14ac:dyDescent="0.35">
      <c r="J67" s="96" t="s">
        <v>127</v>
      </c>
    </row>
    <row r="111" spans="10:10" ht="21" x14ac:dyDescent="0.35">
      <c r="J111" s="96" t="s">
        <v>128</v>
      </c>
    </row>
    <row r="156" spans="10:10" ht="21" x14ac:dyDescent="0.35">
      <c r="J156" s="96" t="s">
        <v>129</v>
      </c>
    </row>
    <row r="245" spans="5:5" ht="21" x14ac:dyDescent="0.35">
      <c r="E245" s="96" t="s">
        <v>130</v>
      </c>
    </row>
    <row r="316" spans="5:5" ht="21" x14ac:dyDescent="0.35">
      <c r="E316" s="96" t="s">
        <v>131</v>
      </c>
    </row>
    <row r="345" spans="5:5" ht="21" x14ac:dyDescent="0.35">
      <c r="E345" s="96" t="s">
        <v>163</v>
      </c>
    </row>
    <row r="346" spans="5:5" ht="21" x14ac:dyDescent="0.35">
      <c r="E346" s="96"/>
    </row>
    <row r="393" spans="5:5" ht="21" x14ac:dyDescent="0.35">
      <c r="E393" s="96" t="s">
        <v>164</v>
      </c>
    </row>
    <row r="432" spans="5:5" ht="21" x14ac:dyDescent="0.35">
      <c r="E432" s="96" t="s">
        <v>165</v>
      </c>
    </row>
    <row r="453" spans="5:5" ht="21" x14ac:dyDescent="0.35">
      <c r="E453" s="96" t="s">
        <v>166</v>
      </c>
    </row>
    <row r="454" spans="5:5" ht="21" x14ac:dyDescent="0.35">
      <c r="E454" s="96"/>
    </row>
    <row r="472" spans="5:5" ht="21" x14ac:dyDescent="0.35">
      <c r="E472" s="96" t="s">
        <v>132</v>
      </c>
    </row>
    <row r="495" spans="10:10" ht="21" x14ac:dyDescent="0.35">
      <c r="J495" s="96" t="s">
        <v>133</v>
      </c>
    </row>
    <row r="584" spans="10:10" ht="21" x14ac:dyDescent="0.35">
      <c r="J584" s="96" t="s">
        <v>134</v>
      </c>
    </row>
    <row r="673" spans="5:5" ht="21" x14ac:dyDescent="0.35">
      <c r="E673" s="96" t="s">
        <v>135</v>
      </c>
    </row>
  </sheetData>
  <sheetProtection password="E156" sheet="1" objects="1" scenarios="1"/>
  <phoneticPr fontId="0" type="noConversion"/>
  <pageMargins left="0.7" right="0.7" top="0.75" bottom="0.75" header="0.3" footer="0.3"/>
  <pageSetup paperSize="199" scale="32" fitToHeight="3" orientation="portrait" r:id="rId1"/>
  <headerFooter>
    <oddHeader>&amp;CSECTION 9, FIGURES FOR GPSA ENGINEERING DATA BOOK, 12&amp;Xth&amp;X ED.</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Revisions</vt:lpstr>
      <vt:lpstr>Nomenclature</vt:lpstr>
      <vt:lpstr>Example 9-1</vt:lpstr>
      <vt:lpstr>Example 9-2</vt:lpstr>
      <vt:lpstr>Example 9-3</vt:lpstr>
      <vt:lpstr>Example 9-4</vt:lpstr>
      <vt:lpstr>Figures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Hamilton, Stuart</dc:creator>
  <cp:lastModifiedBy>Hamilton, Stuart</cp:lastModifiedBy>
  <cp:lastPrinted>2013-09-27T22:27:20Z</cp:lastPrinted>
  <dcterms:created xsi:type="dcterms:W3CDTF">2009-06-20T17:38:55Z</dcterms:created>
  <dcterms:modified xsi:type="dcterms:W3CDTF">2017-04-09T00:09:58Z</dcterms:modified>
</cp:coreProperties>
</file>